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2.xml" ContentType="application/vnd.ms-office.chartstyle+xml"/>
  <Override PartName="/xl/charts/colors2.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drawings/drawing5.xml" ContentType="application/vnd.openxmlformats-officedocument.drawing+xml"/>
  <Override PartName="/xl/charts/chart12.xml" ContentType="application/vnd.openxmlformats-officedocument.drawingml.chart+xml"/>
  <Override PartName="/xl/drawings/drawing6.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7.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drawings/drawing8.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drawings/drawing9.xml" ContentType="application/vnd.openxmlformats-officedocument.drawing+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drawings/drawing11.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drawings/drawing12.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drawings/drawing13.xml" ContentType="application/vnd.openxmlformats-officedocument.drawing+xml"/>
  <Override PartName="/xl/charts/chart27.xml" ContentType="application/vnd.openxmlformats-officedocument.drawingml.chart+xml"/>
  <Override PartName="/xl/drawings/drawing14.xml" ContentType="application/vnd.openxmlformats-officedocument.drawing+xml"/>
  <Override PartName="/xl/charts/chart28.xml" ContentType="application/vnd.openxmlformats-officedocument.drawingml.chart+xml"/>
  <Override PartName="/xl/charts/chart29.xml" ContentType="application/vnd.openxmlformats-officedocument.drawingml.chart+xml"/>
  <Override PartName="/xl/drawings/drawing15.xml" ContentType="application/vnd.openxmlformats-officedocument.drawing+xml"/>
  <Override PartName="/xl/charts/chart3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24226"/>
  <mc:AlternateContent xmlns:mc="http://schemas.openxmlformats.org/markup-compatibility/2006">
    <mc:Choice Requires="x15">
      <x15ac:absPath xmlns:x15ac="http://schemas.microsoft.com/office/spreadsheetml/2010/11/ac" url="C:\Users\psztorc\Documents\GitHub\public\www.BitcoinHivemind.com\papers\"/>
    </mc:Choice>
  </mc:AlternateContent>
  <xr:revisionPtr revIDLastSave="0" documentId="13_ncr:1_{138D2727-4806-4BE7-8EC2-10DAC944950B}" xr6:coauthVersionLast="40" xr6:coauthVersionMax="40" xr10:uidLastSave="{00000000-0000-0000-0000-000000000000}"/>
  <bookViews>
    <workbookView xWindow="240" yWindow="210" windowWidth="21075" windowHeight="9855" xr2:uid="{00000000-000D-0000-FFFF-FFFF00000000}"/>
  </bookViews>
  <sheets>
    <sheet name="Table of Contents" sheetId="23" r:id="rId1"/>
    <sheet name="Simple Example" sheetId="10" r:id="rId2"/>
    <sheet name="LMSR" sheetId="6" r:id="rId3"/>
    <sheet name="Scaled Claims" sheetId="11" r:id="rId4"/>
    <sheet name="Conditional Scaled" sheetId="12" r:id="rId5"/>
    <sheet name="Counterfactual Refund" sheetId="19" r:id="rId6"/>
    <sheet name="MV Scaled (Explicit)" sheetId="14" r:id="rId7"/>
    <sheet name="MV Scaled (Standard)" sheetId="21" r:id="rId8"/>
    <sheet name="Derivatives and Leverage" sheetId="28" r:id="rId9"/>
    <sheet name="Blocksize Controversy" sheetId="25" r:id="rId10"/>
    <sheet name="Blocksize-usd-appendix" sheetId="26" r:id="rId11"/>
    <sheet name="Blocksize-appendix-2" sheetId="27" r:id="rId12"/>
    <sheet name="Long Variability" sheetId="17" r:id="rId13"/>
    <sheet name="Conditional Charity" sheetId="15" r:id="rId14"/>
    <sheet name="Liquidity Sensitivity" sheetId="20" r:id="rId15"/>
    <sheet name="Functions of Decisions" sheetId="24" r:id="rId16"/>
    <sheet name="Changing b mid-trading" sheetId="8" r:id="rId17"/>
    <sheet name="Insurance Fraud Experiments" sheetId="9" r:id="rId18"/>
    <sheet name="Max Shares Outstanding" sheetId="22" r:id="rId19"/>
    <sheet name="Some Accounting" sheetId="7" r:id="rId20"/>
    <sheet name="DistCalculator" sheetId="18" r:id="rId21"/>
    <sheet name="2x2 Update Calculator" sheetId="5" r:id="rId22"/>
  </sheets>
  <definedNames>
    <definedName name="solver_adj" localSheetId="13" hidden="1">'Conditional Charity'!$D$72:$E$73</definedName>
    <definedName name="solver_adj" localSheetId="4" hidden="1">'Conditional Scaled'!$E$26:$H$49</definedName>
    <definedName name="solver_adj" localSheetId="5" hidden="1">'Counterfactual Refund'!$I$27:$L$27</definedName>
    <definedName name="solver_adj" localSheetId="8" hidden="1">'Derivatives and Leverage'!$M$32:$N$41</definedName>
    <definedName name="solver_adj" localSheetId="20" hidden="1">DistCalculator!$C$5:$C$8</definedName>
    <definedName name="solver_adj" localSheetId="2" hidden="1">LMSR!$D$72:$G$72</definedName>
    <definedName name="solver_adj" localSheetId="12" hidden="1">'Long Variability'!$M$36:$P$36</definedName>
    <definedName name="solver_cvg" localSheetId="13" hidden="1">0.0001</definedName>
    <definedName name="solver_cvg" localSheetId="4" hidden="1">0.0001</definedName>
    <definedName name="solver_cvg" localSheetId="5" hidden="1">0.0001</definedName>
    <definedName name="solver_cvg" localSheetId="8" hidden="1">0.0001</definedName>
    <definedName name="solver_cvg" localSheetId="20" hidden="1">0.0001</definedName>
    <definedName name="solver_cvg" localSheetId="2" hidden="1">0.0001</definedName>
    <definedName name="solver_cvg" localSheetId="12" hidden="1">0.0001</definedName>
    <definedName name="solver_drv" localSheetId="13" hidden="1">2</definedName>
    <definedName name="solver_drv" localSheetId="4" hidden="1">2</definedName>
    <definedName name="solver_drv" localSheetId="5" hidden="1">1</definedName>
    <definedName name="solver_drv" localSheetId="8" hidden="1">2</definedName>
    <definedName name="solver_drv" localSheetId="20" hidden="1">2</definedName>
    <definedName name="solver_drv" localSheetId="2" hidden="1">1</definedName>
    <definedName name="solver_drv" localSheetId="12" hidden="1">1</definedName>
    <definedName name="solver_eng" localSheetId="13" hidden="1">1</definedName>
    <definedName name="solver_eng" localSheetId="4" hidden="1">1</definedName>
    <definedName name="solver_eng" localSheetId="5" hidden="1">1</definedName>
    <definedName name="solver_eng" localSheetId="8" hidden="1">1</definedName>
    <definedName name="solver_eng" localSheetId="20" hidden="1">1</definedName>
    <definedName name="solver_eng" localSheetId="14" hidden="1">1</definedName>
    <definedName name="solver_eng" localSheetId="2" hidden="1">1</definedName>
    <definedName name="solver_eng" localSheetId="12" hidden="1">1</definedName>
    <definedName name="solver_eng" localSheetId="18" hidden="1">1</definedName>
    <definedName name="solver_est" localSheetId="13" hidden="1">1</definedName>
    <definedName name="solver_est" localSheetId="4" hidden="1">1</definedName>
    <definedName name="solver_est" localSheetId="5" hidden="1">1</definedName>
    <definedName name="solver_est" localSheetId="8" hidden="1">1</definedName>
    <definedName name="solver_est" localSheetId="20" hidden="1">1</definedName>
    <definedName name="solver_est" localSheetId="2" hidden="1">1</definedName>
    <definedName name="solver_est" localSheetId="12" hidden="1">1</definedName>
    <definedName name="solver_itr" localSheetId="13" hidden="1">2147483647</definedName>
    <definedName name="solver_itr" localSheetId="4" hidden="1">2147483647</definedName>
    <definedName name="solver_itr" localSheetId="5" hidden="1">2147483647</definedName>
    <definedName name="solver_itr" localSheetId="8" hidden="1">2147483647</definedName>
    <definedName name="solver_itr" localSheetId="20" hidden="1">2147483647</definedName>
    <definedName name="solver_itr" localSheetId="2" hidden="1">2147483647</definedName>
    <definedName name="solver_itr" localSheetId="12" hidden="1">2147483647</definedName>
    <definedName name="solver_lhs1" localSheetId="13" hidden="1">'Conditional Charity'!$D$72:$E$73</definedName>
    <definedName name="solver_lhs1" localSheetId="4" hidden="1">'Conditional Scaled'!$O$61:$O$83</definedName>
    <definedName name="solver_lhs1" localSheetId="5" hidden="1">'Counterfactual Refund'!$F$27</definedName>
    <definedName name="solver_lhs1" localSheetId="20" hidden="1">DistCalculator!$G$5:$G$6</definedName>
    <definedName name="solver_lhs1" localSheetId="2" hidden="1">LMSR!$D$71:$G$71</definedName>
    <definedName name="solver_lhs1" localSheetId="12" hidden="1">'Long Variability'!$B$36</definedName>
    <definedName name="solver_lhs10" localSheetId="12" hidden="1">'Long Variability'!$M$42:$P$42</definedName>
    <definedName name="solver_lhs11" localSheetId="12" hidden="1">'Long Variability'!$M$43:$P$43</definedName>
    <definedName name="solver_lhs12" localSheetId="12" hidden="1">'Long Variability'!$N$36:$N$44</definedName>
    <definedName name="solver_lhs2" localSheetId="13" hidden="1">'Conditional Charity'!$K$67:$L$68</definedName>
    <definedName name="solver_lhs2" localSheetId="4" hidden="1">'Conditional Scaled'!$O$61:$O$83</definedName>
    <definedName name="solver_lhs2" localSheetId="5" hidden="1">'Counterfactual Refund'!$I$26:$L$26</definedName>
    <definedName name="solver_lhs2" localSheetId="20" hidden="1">DistCalculator!$C$7</definedName>
    <definedName name="solver_lhs2" localSheetId="2" hidden="1">LMSR!$I$96</definedName>
    <definedName name="solver_lhs2" localSheetId="12" hidden="1">'Long Variability'!$M$36:$P$36</definedName>
    <definedName name="solver_lhs3" localSheetId="13" hidden="1">'Conditional Charity'!#REF!</definedName>
    <definedName name="solver_lhs3" localSheetId="5" hidden="1">'Counterfactual Refund'!$N$103</definedName>
    <definedName name="solver_lhs3" localSheetId="20" hidden="1">DistCalculator!$C$8</definedName>
    <definedName name="solver_lhs3" localSheetId="2" hidden="1">LMSR!$L$100</definedName>
    <definedName name="solver_lhs3" localSheetId="12" hidden="1">'Long Variability'!$O$36</definedName>
    <definedName name="solver_lhs4" localSheetId="5" hidden="1">'Counterfactual Refund'!$P$30</definedName>
    <definedName name="solver_lhs4" localSheetId="20" hidden="1">DistCalculator!$C$8</definedName>
    <definedName name="solver_lhs4" localSheetId="12" hidden="1">'Long Variability'!$M$36:$P$44</definedName>
    <definedName name="solver_lhs5" localSheetId="20" hidden="1">DistCalculator!$C$8</definedName>
    <definedName name="solver_lhs5" localSheetId="12" hidden="1">'Long Variability'!$M$37:$P$37</definedName>
    <definedName name="solver_lhs6" localSheetId="12" hidden="1">'Long Variability'!$M$38:$P$38</definedName>
    <definedName name="solver_lhs7" localSheetId="12" hidden="1">'Long Variability'!$M$39:$P$39</definedName>
    <definedName name="solver_lhs8" localSheetId="12" hidden="1">'Long Variability'!$M$40:$P$40</definedName>
    <definedName name="solver_lhs9" localSheetId="12" hidden="1">'Long Variability'!$M$41:$P$41</definedName>
    <definedName name="solver_lin" localSheetId="5" hidden="1">2</definedName>
    <definedName name="solver_mip" localSheetId="13" hidden="1">2147483647</definedName>
    <definedName name="solver_mip" localSheetId="4" hidden="1">2147483647</definedName>
    <definedName name="solver_mip" localSheetId="5" hidden="1">2147483647</definedName>
    <definedName name="solver_mip" localSheetId="8" hidden="1">2147483647</definedName>
    <definedName name="solver_mip" localSheetId="20" hidden="1">2147483647</definedName>
    <definedName name="solver_mip" localSheetId="2" hidden="1">2147483647</definedName>
    <definedName name="solver_mip" localSheetId="12" hidden="1">2147483647</definedName>
    <definedName name="solver_mni" localSheetId="13" hidden="1">30</definedName>
    <definedName name="solver_mni" localSheetId="4" hidden="1">30</definedName>
    <definedName name="solver_mni" localSheetId="5" hidden="1">30</definedName>
    <definedName name="solver_mni" localSheetId="8" hidden="1">30</definedName>
    <definedName name="solver_mni" localSheetId="20" hidden="1">30</definedName>
    <definedName name="solver_mni" localSheetId="2" hidden="1">30</definedName>
    <definedName name="solver_mni" localSheetId="12" hidden="1">30</definedName>
    <definedName name="solver_mrt" localSheetId="13" hidden="1">0.075</definedName>
    <definedName name="solver_mrt" localSheetId="4" hidden="1">0.075</definedName>
    <definedName name="solver_mrt" localSheetId="5" hidden="1">0.075</definedName>
    <definedName name="solver_mrt" localSheetId="8" hidden="1">0.075</definedName>
    <definedName name="solver_mrt" localSheetId="20" hidden="1">0.075</definedName>
    <definedName name="solver_mrt" localSheetId="2" hidden="1">0.075</definedName>
    <definedName name="solver_mrt" localSheetId="12" hidden="1">0.075</definedName>
    <definedName name="solver_msl" localSheetId="13" hidden="1">2</definedName>
    <definedName name="solver_msl" localSheetId="4" hidden="1">2</definedName>
    <definedName name="solver_msl" localSheetId="5" hidden="1">2</definedName>
    <definedName name="solver_msl" localSheetId="8" hidden="1">2</definedName>
    <definedName name="solver_msl" localSheetId="20" hidden="1">2</definedName>
    <definedName name="solver_msl" localSheetId="2" hidden="1">2</definedName>
    <definedName name="solver_msl" localSheetId="12" hidden="1">2</definedName>
    <definedName name="solver_neg" localSheetId="13" hidden="1">1</definedName>
    <definedName name="solver_neg" localSheetId="4" hidden="1">1</definedName>
    <definedName name="solver_neg" localSheetId="5" hidden="1">2</definedName>
    <definedName name="solver_neg" localSheetId="8" hidden="1">1</definedName>
    <definedName name="solver_neg" localSheetId="20" hidden="1">2</definedName>
    <definedName name="solver_neg" localSheetId="14" hidden="1">1</definedName>
    <definedName name="solver_neg" localSheetId="2" hidden="1">1</definedName>
    <definedName name="solver_neg" localSheetId="12" hidden="1">1</definedName>
    <definedName name="solver_neg" localSheetId="18" hidden="1">1</definedName>
    <definedName name="solver_nod" localSheetId="13" hidden="1">2147483647</definedName>
    <definedName name="solver_nod" localSheetId="4" hidden="1">2147483647</definedName>
    <definedName name="solver_nod" localSheetId="5" hidden="1">2147483647</definedName>
    <definedName name="solver_nod" localSheetId="8" hidden="1">2147483647</definedName>
    <definedName name="solver_nod" localSheetId="20" hidden="1">2147483647</definedName>
    <definedName name="solver_nod" localSheetId="2" hidden="1">2147483647</definedName>
    <definedName name="solver_nod" localSheetId="12" hidden="1">2147483647</definedName>
    <definedName name="solver_num" localSheetId="13" hidden="1">2</definedName>
    <definedName name="solver_num" localSheetId="4" hidden="1">0</definedName>
    <definedName name="solver_num" localSheetId="5" hidden="1">2</definedName>
    <definedName name="solver_num" localSheetId="8" hidden="1">0</definedName>
    <definedName name="solver_num" localSheetId="20" hidden="1">1</definedName>
    <definedName name="solver_num" localSheetId="14" hidden="1">0</definedName>
    <definedName name="solver_num" localSheetId="2" hidden="1">3</definedName>
    <definedName name="solver_num" localSheetId="12" hidden="1">3</definedName>
    <definedName name="solver_num" localSheetId="18" hidden="1">0</definedName>
    <definedName name="solver_nwt" localSheetId="13" hidden="1">1</definedName>
    <definedName name="solver_nwt" localSheetId="4" hidden="1">1</definedName>
    <definedName name="solver_nwt" localSheetId="5" hidden="1">1</definedName>
    <definedName name="solver_nwt" localSheetId="8" hidden="1">1</definedName>
    <definedName name="solver_nwt" localSheetId="20" hidden="1">1</definedName>
    <definedName name="solver_nwt" localSheetId="2" hidden="1">1</definedName>
    <definedName name="solver_nwt" localSheetId="12" hidden="1">1</definedName>
    <definedName name="solver_opt" localSheetId="13" hidden="1">'Conditional Charity'!$K$79</definedName>
    <definedName name="solver_opt" localSheetId="4" hidden="1">'Conditional Scaled'!$S$83</definedName>
    <definedName name="solver_opt" localSheetId="5" hidden="1">'Counterfactual Refund'!$V$27</definedName>
    <definedName name="solver_opt" localSheetId="8" hidden="1">'Derivatives and Leverage'!$Y$41</definedName>
    <definedName name="solver_opt" localSheetId="20" hidden="1">DistCalculator!$K$5</definedName>
    <definedName name="solver_opt" localSheetId="14" hidden="1">'Liquidity Sensitivity'!$Q$41</definedName>
    <definedName name="solver_opt" localSheetId="2" hidden="1">LMSR!$M$72</definedName>
    <definedName name="solver_opt" localSheetId="12" hidden="1">'Long Variability'!$K$36</definedName>
    <definedName name="solver_opt" localSheetId="18" hidden="1">'Max Shares Outstanding'!$S$41</definedName>
    <definedName name="solver_pre" localSheetId="13" hidden="1">0.000001</definedName>
    <definedName name="solver_pre" localSheetId="4" hidden="1">0.000001</definedName>
    <definedName name="solver_pre" localSheetId="5" hidden="1">0.000001</definedName>
    <definedName name="solver_pre" localSheetId="8" hidden="1">0.000001</definedName>
    <definedName name="solver_pre" localSheetId="20" hidden="1">0.000001</definedName>
    <definedName name="solver_pre" localSheetId="2" hidden="1">0.000001</definedName>
    <definedName name="solver_pre" localSheetId="12" hidden="1">0.000001</definedName>
    <definedName name="solver_rbv" localSheetId="13" hidden="1">2</definedName>
    <definedName name="solver_rbv" localSheetId="4" hidden="1">2</definedName>
    <definedName name="solver_rbv" localSheetId="5" hidden="1">1</definedName>
    <definedName name="solver_rbv" localSheetId="8" hidden="1">2</definedName>
    <definedName name="solver_rbv" localSheetId="20" hidden="1">2</definedName>
    <definedName name="solver_rbv" localSheetId="2" hidden="1">1</definedName>
    <definedName name="solver_rbv" localSheetId="12" hidden="1">1</definedName>
    <definedName name="solver_rel1" localSheetId="13" hidden="1">3</definedName>
    <definedName name="solver_rel1" localSheetId="4" hidden="1">3</definedName>
    <definedName name="solver_rel1" localSheetId="5" hidden="1">2</definedName>
    <definedName name="solver_rel1" localSheetId="20" hidden="1">2</definedName>
    <definedName name="solver_rel1" localSheetId="2" hidden="1">1</definedName>
    <definedName name="solver_rel1" localSheetId="12" hidden="1">2</definedName>
    <definedName name="solver_rel10" localSheetId="12" hidden="1">1</definedName>
    <definedName name="solver_rel11" localSheetId="12" hidden="1">1</definedName>
    <definedName name="solver_rel12" localSheetId="12" hidden="1">3</definedName>
    <definedName name="solver_rel2" localSheetId="13" hidden="1">2</definedName>
    <definedName name="solver_rel2" localSheetId="4" hidden="1">3</definedName>
    <definedName name="solver_rel2" localSheetId="5" hidden="1">1</definedName>
    <definedName name="solver_rel2" localSheetId="20" hidden="1">3</definedName>
    <definedName name="solver_rel2" localSheetId="2" hidden="1">2</definedName>
    <definedName name="solver_rel2" localSheetId="12" hidden="1">3</definedName>
    <definedName name="solver_rel3" localSheetId="13" hidden="1">2</definedName>
    <definedName name="solver_rel3" localSheetId="5" hidden="1">2</definedName>
    <definedName name="solver_rel3" localSheetId="20" hidden="1">3</definedName>
    <definedName name="solver_rel3" localSheetId="2" hidden="1">2</definedName>
    <definedName name="solver_rel3" localSheetId="12" hidden="1">1</definedName>
    <definedName name="solver_rel4" localSheetId="5" hidden="1">2</definedName>
    <definedName name="solver_rel4" localSheetId="20" hidden="1">3</definedName>
    <definedName name="solver_rel4" localSheetId="12" hidden="1">1</definedName>
    <definedName name="solver_rel5" localSheetId="20" hidden="1">3</definedName>
    <definedName name="solver_rel5" localSheetId="12" hidden="1">1</definedName>
    <definedName name="solver_rel6" localSheetId="12" hidden="1">1</definedName>
    <definedName name="solver_rel7" localSheetId="12" hidden="1">1</definedName>
    <definedName name="solver_rel8" localSheetId="12" hidden="1">1</definedName>
    <definedName name="solver_rel9" localSheetId="12" hidden="1">1</definedName>
    <definedName name="solver_rhs1" localSheetId="13" hidden="1">'Conditional Charity'!$D$62:$E$63</definedName>
    <definedName name="solver_rhs1" localSheetId="4" hidden="1">0.04</definedName>
    <definedName name="solver_rhs1" localSheetId="5" hidden="1">0</definedName>
    <definedName name="solver_rhs1" localSheetId="20" hidden="1">DistCalculator!$I$5:$I$6</definedName>
    <definedName name="solver_rhs1" localSheetId="2" hidden="1">LMSR!$D$72:$G$72</definedName>
    <definedName name="solver_rhs1" localSheetId="12" hidden="1">'Long Variability'!$G$36</definedName>
    <definedName name="solver_rhs10" localSheetId="12" hidden="1">'Long Variability'!$M$43:$P$43</definedName>
    <definedName name="solver_rhs11" localSheetId="12" hidden="1">'Long Variability'!$M$44:$P$44</definedName>
    <definedName name="solver_rhs12" localSheetId="12" hidden="1">'Long Variability'!$O$36:$O$44</definedName>
    <definedName name="solver_rhs2" localSheetId="13" hidden="1">'Conditional Charity'!$K$72:$L$73</definedName>
    <definedName name="solver_rhs2" localSheetId="4" hidden="1">0.04</definedName>
    <definedName name="solver_rhs2" localSheetId="5" hidden="1">'Counterfactual Refund'!$I$27:$L$27</definedName>
    <definedName name="solver_rhs2" localSheetId="20" hidden="1">DistCalculator!$C$6</definedName>
    <definedName name="solver_rhs2" localSheetId="2" hidden="1">LMSR!$I$102</definedName>
    <definedName name="solver_rhs2" localSheetId="12" hidden="1">'Long Variability'!$M$35:$P$35</definedName>
    <definedName name="solver_rhs3" localSheetId="13" hidden="1">0</definedName>
    <definedName name="solver_rhs3" localSheetId="5" hidden="1">'Counterfactual Refund'!$N$111</definedName>
    <definedName name="solver_rhs3" localSheetId="20" hidden="1">DistCalculator!$C$7</definedName>
    <definedName name="solver_rhs3" localSheetId="2" hidden="1">LMSR!$L$108</definedName>
    <definedName name="solver_rhs3" localSheetId="12" hidden="1">'Long Variability'!$N$36</definedName>
    <definedName name="solver_rhs4" localSheetId="5" hidden="1">'Counterfactual Refund'!$E$30</definedName>
    <definedName name="solver_rhs4" localSheetId="20" hidden="1">DistCalculator!$C$7</definedName>
    <definedName name="solver_rhs4" localSheetId="12" hidden="1">60</definedName>
    <definedName name="solver_rhs5" localSheetId="20" hidden="1">DistCalculator!$C$7</definedName>
    <definedName name="solver_rhs5" localSheetId="12" hidden="1">'Long Variability'!$M$38:$P$38</definedName>
    <definedName name="solver_rhs6" localSheetId="12" hidden="1">'Long Variability'!$M$39:$P$39</definedName>
    <definedName name="solver_rhs7" localSheetId="12" hidden="1">'Long Variability'!$M$40:$P$40</definedName>
    <definedName name="solver_rhs8" localSheetId="12" hidden="1">'Long Variability'!$M$41:$P$41</definedName>
    <definedName name="solver_rhs9" localSheetId="12" hidden="1">'Long Variability'!$M$42:$P$42</definedName>
    <definedName name="solver_rlx" localSheetId="13" hidden="1">2</definedName>
    <definedName name="solver_rlx" localSheetId="4" hidden="1">2</definedName>
    <definedName name="solver_rlx" localSheetId="5" hidden="1">2</definedName>
    <definedName name="solver_rlx" localSheetId="8" hidden="1">2</definedName>
    <definedName name="solver_rlx" localSheetId="20" hidden="1">2</definedName>
    <definedName name="solver_rlx" localSheetId="2" hidden="1">2</definedName>
    <definedName name="solver_rlx" localSheetId="12" hidden="1">2</definedName>
    <definedName name="solver_rsd" localSheetId="13" hidden="1">0</definedName>
    <definedName name="solver_rsd" localSheetId="4" hidden="1">0</definedName>
    <definedName name="solver_rsd" localSheetId="5" hidden="1">0</definedName>
    <definedName name="solver_rsd" localSheetId="8" hidden="1">0</definedName>
    <definedName name="solver_rsd" localSheetId="20" hidden="1">0</definedName>
    <definedName name="solver_rsd" localSheetId="2" hidden="1">0</definedName>
    <definedName name="solver_rsd" localSheetId="12" hidden="1">0</definedName>
    <definedName name="solver_scl" localSheetId="13" hidden="1">2</definedName>
    <definedName name="solver_scl" localSheetId="4" hidden="1">2</definedName>
    <definedName name="solver_scl" localSheetId="5" hidden="1">1</definedName>
    <definedName name="solver_scl" localSheetId="8" hidden="1">2</definedName>
    <definedName name="solver_scl" localSheetId="20" hidden="1">2</definedName>
    <definedName name="solver_scl" localSheetId="2" hidden="1">1</definedName>
    <definedName name="solver_scl" localSheetId="12" hidden="1">1</definedName>
    <definedName name="solver_sho" localSheetId="13" hidden="1">2</definedName>
    <definedName name="solver_sho" localSheetId="4" hidden="1">2</definedName>
    <definedName name="solver_sho" localSheetId="5" hidden="1">2</definedName>
    <definedName name="solver_sho" localSheetId="8" hidden="1">2</definedName>
    <definedName name="solver_sho" localSheetId="20" hidden="1">2</definedName>
    <definedName name="solver_sho" localSheetId="2" hidden="1">2</definedName>
    <definedName name="solver_sho" localSheetId="12" hidden="1">2</definedName>
    <definedName name="solver_ssz" localSheetId="13" hidden="1">100</definedName>
    <definedName name="solver_ssz" localSheetId="4" hidden="1">100</definedName>
    <definedName name="solver_ssz" localSheetId="5" hidden="1">100</definedName>
    <definedName name="solver_ssz" localSheetId="8" hidden="1">100</definedName>
    <definedName name="solver_ssz" localSheetId="20" hidden="1">100</definedName>
    <definedName name="solver_ssz" localSheetId="2" hidden="1">100</definedName>
    <definedName name="solver_ssz" localSheetId="12" hidden="1">100</definedName>
    <definedName name="solver_tim" localSheetId="13" hidden="1">2147483647</definedName>
    <definedName name="solver_tim" localSheetId="4" hidden="1">2147483647</definedName>
    <definedName name="solver_tim" localSheetId="5" hidden="1">2147483647</definedName>
    <definedName name="solver_tim" localSheetId="8" hidden="1">2147483647</definedName>
    <definedName name="solver_tim" localSheetId="20" hidden="1">2147483647</definedName>
    <definedName name="solver_tim" localSheetId="2" hidden="1">2147483647</definedName>
    <definedName name="solver_tim" localSheetId="12" hidden="1">2147483647</definedName>
    <definedName name="solver_tol" localSheetId="13" hidden="1">0.01</definedName>
    <definedName name="solver_tol" localSheetId="4" hidden="1">0.01</definedName>
    <definedName name="solver_tol" localSheetId="5" hidden="1">0.01</definedName>
    <definedName name="solver_tol" localSheetId="8" hidden="1">0.01</definedName>
    <definedName name="solver_tol" localSheetId="20" hidden="1">0.01</definedName>
    <definedName name="solver_tol" localSheetId="2" hidden="1">0.01</definedName>
    <definedName name="solver_tol" localSheetId="12" hidden="1">0.01</definedName>
    <definedName name="solver_typ" localSheetId="13" hidden="1">2</definedName>
    <definedName name="solver_typ" localSheetId="4" hidden="1">2</definedName>
    <definedName name="solver_typ" localSheetId="5" hidden="1">2</definedName>
    <definedName name="solver_typ" localSheetId="8" hidden="1">2</definedName>
    <definedName name="solver_typ" localSheetId="20" hidden="1">2</definedName>
    <definedName name="solver_typ" localSheetId="14" hidden="1">1</definedName>
    <definedName name="solver_typ" localSheetId="2" hidden="1">2</definedName>
    <definedName name="solver_typ" localSheetId="12" hidden="1">2</definedName>
    <definedName name="solver_typ" localSheetId="18" hidden="1">1</definedName>
    <definedName name="solver_val" localSheetId="13" hidden="1">0</definedName>
    <definedName name="solver_val" localSheetId="4" hidden="1">0</definedName>
    <definedName name="solver_val" localSheetId="5" hidden="1">0</definedName>
    <definedName name="solver_val" localSheetId="8" hidden="1">0</definedName>
    <definedName name="solver_val" localSheetId="20" hidden="1">0</definedName>
    <definedName name="solver_val" localSheetId="14" hidden="1">0</definedName>
    <definedName name="solver_val" localSheetId="2" hidden="1">0</definedName>
    <definedName name="solver_val" localSheetId="12" hidden="1">0</definedName>
    <definedName name="solver_val" localSheetId="18" hidden="1">0</definedName>
    <definedName name="solver_ver" localSheetId="13" hidden="1">3</definedName>
    <definedName name="solver_ver" localSheetId="4" hidden="1">3</definedName>
    <definedName name="solver_ver" localSheetId="5" hidden="1">3</definedName>
    <definedName name="solver_ver" localSheetId="8" hidden="1">3</definedName>
    <definedName name="solver_ver" localSheetId="20" hidden="1">3</definedName>
    <definedName name="solver_ver" localSheetId="14" hidden="1">3</definedName>
    <definedName name="solver_ver" localSheetId="2" hidden="1">3</definedName>
    <definedName name="solver_ver" localSheetId="12" hidden="1">3</definedName>
    <definedName name="solver_ver" localSheetId="18" hidden="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15" i="10" l="1"/>
  <c r="K59" i="12" l="1"/>
  <c r="H99" i="28" l="1"/>
  <c r="N114" i="28"/>
  <c r="N113" i="28"/>
  <c r="N112" i="28"/>
  <c r="N111" i="28"/>
  <c r="D124" i="28"/>
  <c r="D123" i="28"/>
  <c r="D122" i="28"/>
  <c r="D121" i="28"/>
  <c r="D120" i="28"/>
  <c r="D119" i="28"/>
  <c r="D118" i="28"/>
  <c r="D117" i="28"/>
  <c r="D116" i="28"/>
  <c r="D115" i="28"/>
  <c r="D114" i="28"/>
  <c r="D113" i="28"/>
  <c r="D112" i="28"/>
  <c r="D111" i="28"/>
  <c r="D110" i="28"/>
  <c r="D109" i="28"/>
  <c r="D108" i="28"/>
  <c r="D107" i="28"/>
  <c r="D106" i="28"/>
  <c r="D105" i="28"/>
  <c r="D104" i="28"/>
  <c r="D103" i="28"/>
  <c r="D102" i="28"/>
  <c r="D101" i="28"/>
  <c r="D100" i="28"/>
  <c r="N75" i="28"/>
  <c r="N76" i="28"/>
  <c r="N77" i="28"/>
  <c r="N74" i="28"/>
  <c r="D92" i="28"/>
  <c r="P30" i="28" l="1"/>
  <c r="D89" i="28"/>
  <c r="D90" i="28"/>
  <c r="D91" i="28"/>
  <c r="S40" i="28"/>
  <c r="S39" i="28"/>
  <c r="S38" i="28"/>
  <c r="S37" i="28"/>
  <c r="S36" i="28"/>
  <c r="S35" i="28"/>
  <c r="S34" i="28"/>
  <c r="S33" i="28"/>
  <c r="S32" i="28"/>
  <c r="S31" i="28"/>
  <c r="T31" i="28" s="1"/>
  <c r="G68" i="21"/>
  <c r="J58" i="21"/>
  <c r="P40" i="28"/>
  <c r="P39" i="28"/>
  <c r="K75" i="28" s="1"/>
  <c r="P38" i="28"/>
  <c r="K74" i="28" s="1"/>
  <c r="P37" i="28"/>
  <c r="P36" i="28"/>
  <c r="P35" i="28"/>
  <c r="P34" i="28"/>
  <c r="P33" i="28"/>
  <c r="P32" i="28"/>
  <c r="P31" i="28"/>
  <c r="O40" i="28"/>
  <c r="O39" i="28"/>
  <c r="O38" i="28"/>
  <c r="O37" i="28"/>
  <c r="O36" i="28"/>
  <c r="O35" i="28"/>
  <c r="O34" i="28"/>
  <c r="O33" i="28"/>
  <c r="O31" i="28"/>
  <c r="O32" i="28"/>
  <c r="N45" i="28"/>
  <c r="N30" i="28"/>
  <c r="D30" i="28"/>
  <c r="C30" i="28"/>
  <c r="O27" i="28"/>
  <c r="E27" i="28"/>
  <c r="I33" i="28"/>
  <c r="D88" i="28"/>
  <c r="D87" i="28"/>
  <c r="D86" i="28"/>
  <c r="D85" i="28"/>
  <c r="D84" i="28"/>
  <c r="D83" i="28"/>
  <c r="D82" i="28"/>
  <c r="D81" i="28"/>
  <c r="D80" i="28"/>
  <c r="D79" i="28"/>
  <c r="D78" i="28"/>
  <c r="D77" i="28"/>
  <c r="D76" i="28"/>
  <c r="D75" i="28"/>
  <c r="D74" i="28"/>
  <c r="D73" i="28"/>
  <c r="D72" i="28"/>
  <c r="D71" i="28"/>
  <c r="D70" i="28"/>
  <c r="D69" i="28"/>
  <c r="D68" i="28"/>
  <c r="D16" i="28"/>
  <c r="D18" i="28" s="1"/>
  <c r="D41" i="28"/>
  <c r="C41" i="28"/>
  <c r="I40" i="28"/>
  <c r="F40" i="28"/>
  <c r="E60" i="28" s="1"/>
  <c r="E40" i="28"/>
  <c r="I39" i="28"/>
  <c r="F39" i="28"/>
  <c r="E59" i="28" s="1"/>
  <c r="E39" i="28"/>
  <c r="I38" i="28"/>
  <c r="F38" i="28"/>
  <c r="E58" i="28" s="1"/>
  <c r="E38" i="28"/>
  <c r="I37" i="28"/>
  <c r="F37" i="28"/>
  <c r="E54" i="28" s="1"/>
  <c r="E37" i="28"/>
  <c r="I36" i="28"/>
  <c r="F36" i="28"/>
  <c r="E36" i="28"/>
  <c r="I35" i="28"/>
  <c r="F35" i="28"/>
  <c r="E35" i="28"/>
  <c r="I34" i="28"/>
  <c r="F34" i="28"/>
  <c r="E34" i="28"/>
  <c r="F33" i="28"/>
  <c r="E33" i="28"/>
  <c r="I32" i="28"/>
  <c r="F32" i="28"/>
  <c r="E32" i="28"/>
  <c r="I31" i="28"/>
  <c r="F31" i="28"/>
  <c r="E31" i="28"/>
  <c r="F30" i="28"/>
  <c r="E30" i="28"/>
  <c r="D8" i="28"/>
  <c r="O28" i="14"/>
  <c r="M28" i="14"/>
  <c r="P28" i="21"/>
  <c r="N28" i="21"/>
  <c r="Y11" i="21"/>
  <c r="Y7" i="21"/>
  <c r="Y5" i="21"/>
  <c r="Y4" i="21"/>
  <c r="F24" i="21"/>
  <c r="G28" i="21"/>
  <c r="E124" i="28" l="1"/>
  <c r="E122" i="28"/>
  <c r="E120" i="28"/>
  <c r="E118" i="28"/>
  <c r="E116" i="28"/>
  <c r="E114" i="28"/>
  <c r="E112" i="28"/>
  <c r="E110" i="28"/>
  <c r="E108" i="28"/>
  <c r="E106" i="28"/>
  <c r="E104" i="28"/>
  <c r="E102" i="28"/>
  <c r="E123" i="28"/>
  <c r="E121" i="28"/>
  <c r="E119" i="28"/>
  <c r="E117" i="28"/>
  <c r="E115" i="28"/>
  <c r="E113" i="28"/>
  <c r="E111" i="28"/>
  <c r="E109" i="28"/>
  <c r="E107" i="28"/>
  <c r="E105" i="28"/>
  <c r="E103" i="28"/>
  <c r="E101" i="28"/>
  <c r="E100" i="28"/>
  <c r="Q31" i="28"/>
  <c r="Q36" i="28"/>
  <c r="Q40" i="28"/>
  <c r="Q33" i="28"/>
  <c r="Q37" i="28"/>
  <c r="R31" i="28"/>
  <c r="P45" i="28"/>
  <c r="P41" i="28" s="1"/>
  <c r="Q34" i="28"/>
  <c r="Q38" i="28"/>
  <c r="R32" i="28"/>
  <c r="R36" i="28"/>
  <c r="Q32" i="28"/>
  <c r="Q35" i="28"/>
  <c r="Q39" i="28"/>
  <c r="R33" i="28"/>
  <c r="R37" i="28"/>
  <c r="F58" i="28"/>
  <c r="R38" i="28"/>
  <c r="I74" i="28" s="1"/>
  <c r="R35" i="28"/>
  <c r="J70" i="28" s="1"/>
  <c r="J107" i="28" s="1"/>
  <c r="K70" i="28"/>
  <c r="R40" i="28"/>
  <c r="I76" i="28" s="1"/>
  <c r="I113" i="28" s="1"/>
  <c r="K76" i="28"/>
  <c r="R39" i="28"/>
  <c r="I75" i="28" s="1"/>
  <c r="I112" i="28" s="1"/>
  <c r="F45" i="28"/>
  <c r="E68" i="28"/>
  <c r="E92" i="28"/>
  <c r="E88" i="28"/>
  <c r="E84" i="28"/>
  <c r="E80" i="28"/>
  <c r="E76" i="28"/>
  <c r="E72" i="28"/>
  <c r="E15" i="28"/>
  <c r="M107" i="28" s="1"/>
  <c r="N107" i="28" s="1"/>
  <c r="E91" i="28"/>
  <c r="E87" i="28"/>
  <c r="E83" i="28"/>
  <c r="E79" i="28"/>
  <c r="E75" i="28"/>
  <c r="F75" i="28" s="1"/>
  <c r="E71" i="28"/>
  <c r="R34" i="28"/>
  <c r="E90" i="28"/>
  <c r="F90" i="28" s="1"/>
  <c r="E86" i="28"/>
  <c r="E82" i="28"/>
  <c r="E78" i="28"/>
  <c r="E74" i="28"/>
  <c r="E70" i="28"/>
  <c r="F70" i="28" s="1"/>
  <c r="O30" i="28"/>
  <c r="E89" i="28"/>
  <c r="E85" i="28"/>
  <c r="F85" i="28" s="1"/>
  <c r="E81" i="28"/>
  <c r="E77" i="28"/>
  <c r="E73" i="28"/>
  <c r="E69" i="28"/>
  <c r="S41" i="28"/>
  <c r="T33" i="28"/>
  <c r="T34" i="28"/>
  <c r="F59" i="28"/>
  <c r="F60" i="28"/>
  <c r="T38" i="28"/>
  <c r="H37" i="28"/>
  <c r="T36" i="28"/>
  <c r="M30" i="28"/>
  <c r="T40" i="28"/>
  <c r="T32" i="28"/>
  <c r="T35" i="28"/>
  <c r="T37" i="28"/>
  <c r="T39" i="28"/>
  <c r="G32" i="28"/>
  <c r="J40" i="28"/>
  <c r="J34" i="28"/>
  <c r="J35" i="28"/>
  <c r="J37" i="28"/>
  <c r="J33" i="28"/>
  <c r="H34" i="28"/>
  <c r="V34" i="28" s="1"/>
  <c r="W34" i="28" s="1"/>
  <c r="J36" i="28"/>
  <c r="J39" i="28"/>
  <c r="G31" i="28"/>
  <c r="H32" i="28"/>
  <c r="V32" i="28" s="1"/>
  <c r="W32" i="28" s="1"/>
  <c r="G33" i="28"/>
  <c r="G36" i="28"/>
  <c r="H39" i="28"/>
  <c r="J38" i="28"/>
  <c r="H31" i="28"/>
  <c r="V31" i="28" s="1"/>
  <c r="W31" i="28" s="1"/>
  <c r="G39" i="28"/>
  <c r="G35" i="28"/>
  <c r="H36" i="28"/>
  <c r="V36" i="28" s="1"/>
  <c r="W36" i="28" s="1"/>
  <c r="G38" i="28"/>
  <c r="G40" i="28"/>
  <c r="I41" i="28"/>
  <c r="J32" i="28"/>
  <c r="G37" i="28"/>
  <c r="H38" i="28"/>
  <c r="H40" i="28"/>
  <c r="J31" i="28"/>
  <c r="G34" i="28"/>
  <c r="H33" i="28"/>
  <c r="V33" i="28" s="1"/>
  <c r="W33" i="28" s="1"/>
  <c r="H35" i="28"/>
  <c r="V35" i="28" s="1"/>
  <c r="W35" i="28" s="1"/>
  <c r="C41" i="27"/>
  <c r="C40" i="27"/>
  <c r="C37" i="27"/>
  <c r="C36" i="27"/>
  <c r="M23" i="27"/>
  <c r="O22" i="27"/>
  <c r="O19" i="27"/>
  <c r="I16" i="27"/>
  <c r="G16" i="27"/>
  <c r="E16" i="27"/>
  <c r="K12" i="27"/>
  <c r="I12" i="27"/>
  <c r="G12" i="27"/>
  <c r="E12" i="27"/>
  <c r="R7" i="27"/>
  <c r="P7" i="27"/>
  <c r="K6" i="27"/>
  <c r="J6" i="27"/>
  <c r="I6" i="27"/>
  <c r="H6" i="27"/>
  <c r="G6" i="27"/>
  <c r="F6" i="27"/>
  <c r="E6" i="27"/>
  <c r="D6" i="27"/>
  <c r="C41" i="26"/>
  <c r="C40" i="26"/>
  <c r="C37" i="26"/>
  <c r="C36" i="26"/>
  <c r="M23" i="26"/>
  <c r="O22" i="26"/>
  <c r="O19" i="26"/>
  <c r="I15" i="26"/>
  <c r="G15" i="26"/>
  <c r="E15" i="26"/>
  <c r="K12" i="26"/>
  <c r="I12" i="26"/>
  <c r="G12" i="26"/>
  <c r="E12" i="26"/>
  <c r="R7" i="26"/>
  <c r="P7" i="26"/>
  <c r="K6" i="26"/>
  <c r="J6" i="26"/>
  <c r="I6" i="26"/>
  <c r="H6" i="26"/>
  <c r="G6" i="26"/>
  <c r="F6" i="26"/>
  <c r="E6" i="26"/>
  <c r="D6" i="26"/>
  <c r="F101" i="28" l="1"/>
  <c r="F117" i="28"/>
  <c r="F110" i="28"/>
  <c r="F69" i="28"/>
  <c r="F74" i="28"/>
  <c r="F79" i="28"/>
  <c r="F109" i="28"/>
  <c r="F102" i="28"/>
  <c r="F81" i="28"/>
  <c r="F86" i="28"/>
  <c r="F91" i="28"/>
  <c r="F118" i="28"/>
  <c r="F80" i="28"/>
  <c r="O45" i="28"/>
  <c r="O41" i="28" s="1"/>
  <c r="Q41" i="28" s="1"/>
  <c r="R41" i="28"/>
  <c r="I77" i="28" s="1"/>
  <c r="I114" i="28" s="1"/>
  <c r="K77" i="28"/>
  <c r="K114" i="28" s="1"/>
  <c r="C58" i="28"/>
  <c r="V38" i="28"/>
  <c r="W38" i="28" s="1"/>
  <c r="F77" i="28"/>
  <c r="K107" i="28"/>
  <c r="F103" i="28"/>
  <c r="F111" i="28"/>
  <c r="F119" i="28"/>
  <c r="F104" i="28"/>
  <c r="F112" i="28"/>
  <c r="F120" i="28"/>
  <c r="F105" i="28"/>
  <c r="F113" i="28"/>
  <c r="F121" i="28"/>
  <c r="F106" i="28"/>
  <c r="F114" i="28"/>
  <c r="F122" i="28"/>
  <c r="C60" i="28"/>
  <c r="V40" i="28"/>
  <c r="W40" i="28" s="1"/>
  <c r="C59" i="28"/>
  <c r="V39" i="28"/>
  <c r="W39" i="28" s="1"/>
  <c r="K113" i="28"/>
  <c r="K112" i="28"/>
  <c r="K111" i="28"/>
  <c r="F100" i="28"/>
  <c r="F107" i="28"/>
  <c r="F115" i="28"/>
  <c r="F123" i="28"/>
  <c r="F108" i="28"/>
  <c r="F116" i="28"/>
  <c r="F124" i="28"/>
  <c r="J74" i="28"/>
  <c r="I111" i="28"/>
  <c r="D59" i="28"/>
  <c r="D54" i="28"/>
  <c r="F54" i="28" s="1"/>
  <c r="V37" i="28"/>
  <c r="W37" i="28" s="1"/>
  <c r="L75" i="28"/>
  <c r="M75" i="28" s="1"/>
  <c r="O75" i="28" s="1"/>
  <c r="L76" i="28"/>
  <c r="M76" i="28" s="1"/>
  <c r="O76" i="28" s="1"/>
  <c r="L74" i="28"/>
  <c r="M74" i="28" s="1"/>
  <c r="O74" i="28" s="1"/>
  <c r="J76" i="28"/>
  <c r="J75" i="28"/>
  <c r="F84" i="28"/>
  <c r="E45" i="28"/>
  <c r="E41" i="28" s="1"/>
  <c r="F41" i="28"/>
  <c r="F73" i="28"/>
  <c r="F89" i="28"/>
  <c r="F78" i="28"/>
  <c r="F83" i="28"/>
  <c r="F72" i="28"/>
  <c r="F88" i="28"/>
  <c r="F82" i="28"/>
  <c r="F71" i="28"/>
  <c r="F87" i="28"/>
  <c r="F76" i="28"/>
  <c r="F92" i="28"/>
  <c r="F68" i="28"/>
  <c r="S42" i="28"/>
  <c r="S43" i="28" s="1"/>
  <c r="S44" i="28" s="1"/>
  <c r="C12" i="27"/>
  <c r="K13" i="27" s="1"/>
  <c r="C12" i="26"/>
  <c r="J13" i="26" s="1"/>
  <c r="C6" i="27"/>
  <c r="D7" i="27" s="1"/>
  <c r="C6" i="26"/>
  <c r="I7" i="26" s="1"/>
  <c r="L77" i="28" l="1"/>
  <c r="M77" i="28" s="1"/>
  <c r="O77" i="28" s="1"/>
  <c r="D60" i="28"/>
  <c r="D58" i="28"/>
  <c r="H59" i="28"/>
  <c r="G59" i="28"/>
  <c r="I59" i="28" s="1"/>
  <c r="H61" i="28"/>
  <c r="J77" i="28"/>
  <c r="J114" i="28" s="1"/>
  <c r="J59" i="28"/>
  <c r="J113" i="28"/>
  <c r="P76" i="28"/>
  <c r="L114" i="28"/>
  <c r="M114" i="28" s="1"/>
  <c r="O114" i="28" s="1"/>
  <c r="L112" i="28"/>
  <c r="M112" i="28" s="1"/>
  <c r="O112" i="28" s="1"/>
  <c r="L111" i="28"/>
  <c r="M111" i="28" s="1"/>
  <c r="O111" i="28" s="1"/>
  <c r="L113" i="28"/>
  <c r="M113" i="28" s="1"/>
  <c r="O113" i="28" s="1"/>
  <c r="J112" i="28"/>
  <c r="P75" i="28"/>
  <c r="P77" i="28"/>
  <c r="P74" i="28"/>
  <c r="J111" i="28"/>
  <c r="H58" i="28"/>
  <c r="G58" i="28"/>
  <c r="H60" i="28"/>
  <c r="G60" i="28"/>
  <c r="H41" i="28"/>
  <c r="V41" i="28" s="1"/>
  <c r="W41" i="28" s="1"/>
  <c r="Y41" i="28" s="1"/>
  <c r="E61" i="28"/>
  <c r="F61" i="28" s="1"/>
  <c r="G61" i="28" s="1"/>
  <c r="I61" i="28" s="1"/>
  <c r="G41" i="28"/>
  <c r="I42" i="28"/>
  <c r="I43" i="28" s="1"/>
  <c r="G13" i="27"/>
  <c r="C13" i="27" s="1"/>
  <c r="D13" i="27"/>
  <c r="G13" i="26"/>
  <c r="F13" i="27"/>
  <c r="H13" i="26"/>
  <c r="I13" i="27"/>
  <c r="C14" i="27" s="1"/>
  <c r="J13" i="27"/>
  <c r="E13" i="26"/>
  <c r="F13" i="26"/>
  <c r="K13" i="26"/>
  <c r="E13" i="27"/>
  <c r="H13" i="27"/>
  <c r="D13" i="26"/>
  <c r="I13" i="26"/>
  <c r="K7" i="27"/>
  <c r="S13" i="27" s="1"/>
  <c r="E7" i="27"/>
  <c r="P13" i="27" s="1"/>
  <c r="J7" i="27"/>
  <c r="S12" i="27" s="1"/>
  <c r="F7" i="27"/>
  <c r="Q12" i="27" s="1"/>
  <c r="P12" i="27"/>
  <c r="H7" i="26"/>
  <c r="R12" i="26" s="1"/>
  <c r="D7" i="26"/>
  <c r="P12" i="26" s="1"/>
  <c r="H7" i="27"/>
  <c r="G7" i="27"/>
  <c r="Q13" i="27" s="1"/>
  <c r="K7" i="26"/>
  <c r="S13" i="26" s="1"/>
  <c r="I7" i="27"/>
  <c r="R13" i="26"/>
  <c r="J7" i="26"/>
  <c r="S12" i="26" s="1"/>
  <c r="G7" i="26"/>
  <c r="Q13" i="26" s="1"/>
  <c r="F7" i="26"/>
  <c r="E7" i="26"/>
  <c r="P13" i="26" s="1"/>
  <c r="I58" i="28" l="1"/>
  <c r="J58" i="28" s="1"/>
  <c r="P112" i="28"/>
  <c r="P114" i="28"/>
  <c r="P111" i="28"/>
  <c r="P113" i="28"/>
  <c r="I60" i="28"/>
  <c r="J60" i="28" s="1"/>
  <c r="C61" i="28"/>
  <c r="D61" i="28" s="1"/>
  <c r="J61" i="28" s="1"/>
  <c r="I44" i="28"/>
  <c r="Q15" i="27"/>
  <c r="C14" i="26"/>
  <c r="D20" i="27"/>
  <c r="C20" i="26"/>
  <c r="N20" i="26" s="1"/>
  <c r="E20" i="26"/>
  <c r="C20" i="27"/>
  <c r="C23" i="27"/>
  <c r="D23" i="27" s="1"/>
  <c r="R12" i="27"/>
  <c r="S16" i="26"/>
  <c r="R13" i="27"/>
  <c r="U13" i="27" s="1"/>
  <c r="E20" i="27"/>
  <c r="U13" i="26"/>
  <c r="Q12" i="26"/>
  <c r="Q15" i="26" s="1"/>
  <c r="D20" i="26"/>
  <c r="C23" i="26"/>
  <c r="D23" i="26" s="1"/>
  <c r="H23" i="26" l="1"/>
  <c r="G9" i="26" s="1"/>
  <c r="B23" i="26" s="1"/>
  <c r="E23" i="26" s="1"/>
  <c r="S16" i="27"/>
  <c r="G20" i="26"/>
  <c r="F20" i="26" s="1"/>
  <c r="H22" i="26" s="1"/>
  <c r="G20" i="27"/>
  <c r="F20" i="27" s="1"/>
  <c r="N20" i="27"/>
  <c r="H23" i="27"/>
  <c r="G9" i="27" s="1"/>
  <c r="B23" i="27" s="1"/>
  <c r="E23" i="27" s="1"/>
  <c r="O20" i="26"/>
  <c r="M20" i="26"/>
  <c r="W27" i="27" l="1"/>
  <c r="D14" i="27" s="1"/>
  <c r="D14" i="26"/>
  <c r="I16" i="26" s="1"/>
  <c r="H22" i="27"/>
  <c r="O20" i="27"/>
  <c r="M20" i="27"/>
  <c r="K16" i="26" l="1"/>
  <c r="J15" i="26" s="1"/>
  <c r="K15" i="27"/>
  <c r="J16" i="27" s="1"/>
  <c r="I15" i="27"/>
  <c r="H16" i="27" s="1"/>
  <c r="H15" i="26"/>
  <c r="E16" i="26"/>
  <c r="N21" i="26" l="1"/>
  <c r="O21" i="26" s="1"/>
  <c r="C29" i="26"/>
  <c r="D29" i="26" s="1"/>
  <c r="G16" i="26"/>
  <c r="B29" i="26" s="1"/>
  <c r="C16" i="26"/>
  <c r="S28" i="26"/>
  <c r="N21" i="27"/>
  <c r="O21" i="27" s="1"/>
  <c r="G15" i="27"/>
  <c r="F16" i="27" s="1"/>
  <c r="C28" i="27"/>
  <c r="D28" i="27" s="1"/>
  <c r="E15" i="27"/>
  <c r="S27" i="27"/>
  <c r="C15" i="27"/>
  <c r="C29" i="27"/>
  <c r="D29" i="27" s="1"/>
  <c r="D15" i="26"/>
  <c r="C28" i="26"/>
  <c r="D28" i="26" s="1"/>
  <c r="S27" i="26" l="1"/>
  <c r="S29" i="26" s="1"/>
  <c r="E29" i="26"/>
  <c r="M21" i="26"/>
  <c r="J20" i="26" s="1"/>
  <c r="G28" i="26" s="1"/>
  <c r="F15" i="26"/>
  <c r="B28" i="26" s="1"/>
  <c r="E28" i="26" s="1"/>
  <c r="M21" i="27"/>
  <c r="J20" i="27" s="1"/>
  <c r="S26" i="27"/>
  <c r="S28" i="27" s="1"/>
  <c r="B28" i="27"/>
  <c r="E28" i="27" s="1"/>
  <c r="D16" i="27"/>
  <c r="B29" i="27" s="1"/>
  <c r="E29" i="27" s="1"/>
  <c r="H28" i="26" l="1"/>
  <c r="I28" i="26" s="1"/>
  <c r="J28" i="26" s="1"/>
  <c r="K28" i="26" s="1"/>
  <c r="L28" i="26" s="1"/>
  <c r="M28" i="26" s="1"/>
  <c r="N28" i="26" s="1"/>
  <c r="O28" i="26" s="1"/>
  <c r="G29" i="26"/>
  <c r="H29" i="26"/>
  <c r="I29" i="26" s="1"/>
  <c r="J29" i="26" s="1"/>
  <c r="K29" i="26" s="1"/>
  <c r="L29" i="26" s="1"/>
  <c r="M29" i="26" s="1"/>
  <c r="G29" i="27"/>
  <c r="H28" i="27"/>
  <c r="I28" i="27" s="1"/>
  <c r="J28" i="27" s="1"/>
  <c r="K28" i="27" s="1"/>
  <c r="L28" i="27" s="1"/>
  <c r="M28" i="27" s="1"/>
  <c r="G28" i="27"/>
  <c r="H29" i="27"/>
  <c r="I29" i="27" s="1"/>
  <c r="J29" i="27" s="1"/>
  <c r="K29" i="27" s="1"/>
  <c r="L29" i="27" s="1"/>
  <c r="M29" i="27" s="1"/>
  <c r="N29" i="26" l="1"/>
  <c r="O29" i="26" s="1"/>
  <c r="N29" i="27"/>
  <c r="O29" i="27" s="1"/>
  <c r="N28" i="27"/>
  <c r="O28" i="27" s="1"/>
  <c r="J102" i="21" l="1"/>
  <c r="G24" i="25" l="1"/>
  <c r="F24" i="25"/>
  <c r="AG29" i="25" s="1"/>
  <c r="AL29" i="25" s="1"/>
  <c r="E24" i="25"/>
  <c r="E17" i="25"/>
  <c r="H27" i="25"/>
  <c r="H28" i="25" s="1"/>
  <c r="G27" i="25"/>
  <c r="G28" i="25" s="1"/>
  <c r="F27" i="25"/>
  <c r="F28" i="25" s="1"/>
  <c r="E27" i="25"/>
  <c r="AG25" i="25"/>
  <c r="AH25" i="25" s="1"/>
  <c r="AI25" i="25" s="1"/>
  <c r="AM25" i="25"/>
  <c r="AM26" i="25"/>
  <c r="AN26" i="25" s="1"/>
  <c r="AH26" i="25"/>
  <c r="E51" i="25"/>
  <c r="F51" i="25" s="1"/>
  <c r="E50" i="25"/>
  <c r="F50" i="25" s="1"/>
  <c r="P26" i="25"/>
  <c r="P25" i="25"/>
  <c r="P22" i="25"/>
  <c r="Q22" i="25" s="1"/>
  <c r="G47" i="25"/>
  <c r="E47" i="25"/>
  <c r="S46" i="25"/>
  <c r="W46" i="25" s="1"/>
  <c r="S45" i="25"/>
  <c r="W45" i="25" s="1"/>
  <c r="T26" i="25"/>
  <c r="S26" i="25"/>
  <c r="L26" i="25"/>
  <c r="K26" i="25"/>
  <c r="M26" i="25" s="1"/>
  <c r="J26" i="25"/>
  <c r="I26" i="25"/>
  <c r="L25" i="25"/>
  <c r="K25" i="25"/>
  <c r="M25" i="25" s="1"/>
  <c r="J25" i="25"/>
  <c r="I25" i="25"/>
  <c r="T23" i="25"/>
  <c r="L22" i="25"/>
  <c r="N22" i="25" s="1"/>
  <c r="K22" i="25"/>
  <c r="J22" i="25"/>
  <c r="I22" i="25"/>
  <c r="L21" i="25"/>
  <c r="K21" i="25"/>
  <c r="J21" i="25"/>
  <c r="I21" i="25"/>
  <c r="H21" i="25"/>
  <c r="T21" i="25" s="1"/>
  <c r="G21" i="25"/>
  <c r="F21" i="25"/>
  <c r="E21" i="25"/>
  <c r="S21" i="25" s="1"/>
  <c r="E7" i="25"/>
  <c r="N26" i="25" l="1"/>
  <c r="I49" i="25"/>
  <c r="N25" i="25"/>
  <c r="O22" i="25"/>
  <c r="M22" i="25"/>
  <c r="Z22" i="25" s="1"/>
  <c r="AA22" i="25" s="1"/>
  <c r="AN28" i="25"/>
  <c r="O26" i="25"/>
  <c r="O25" i="25"/>
  <c r="F29" i="25"/>
  <c r="G29" i="25"/>
  <c r="H29" i="25"/>
  <c r="T28" i="25"/>
  <c r="J27" i="25"/>
  <c r="E28" i="25"/>
  <c r="J28" i="25" s="1"/>
  <c r="K27" i="25"/>
  <c r="L27" i="25"/>
  <c r="I27" i="25"/>
  <c r="P27" i="25"/>
  <c r="AH29" i="25"/>
  <c r="AL25" i="25"/>
  <c r="J49" i="25"/>
  <c r="K49" i="25"/>
  <c r="L49" i="25"/>
  <c r="AM28" i="25"/>
  <c r="AI26" i="25"/>
  <c r="AF28" i="25" s="1"/>
  <c r="AN25" i="25"/>
  <c r="AG28" i="25"/>
  <c r="AI28" i="25"/>
  <c r="L47" i="25"/>
  <c r="N47" i="25" s="1"/>
  <c r="K47" i="25"/>
  <c r="M47" i="25" s="1"/>
  <c r="J47" i="25"/>
  <c r="O47" i="25" s="1"/>
  <c r="I47" i="25"/>
  <c r="G48" i="20"/>
  <c r="F48" i="20"/>
  <c r="F29" i="20"/>
  <c r="AH28" i="25" l="1"/>
  <c r="Z47" i="25"/>
  <c r="AA47" i="25" s="1"/>
  <c r="M27" i="25"/>
  <c r="N27" i="25"/>
  <c r="Z26" i="25"/>
  <c r="AA26" i="25" s="1"/>
  <c r="Z25" i="25"/>
  <c r="AA25" i="25" s="1"/>
  <c r="L28" i="25"/>
  <c r="N28" i="25" s="1"/>
  <c r="E29" i="25"/>
  <c r="J29" i="25" s="1"/>
  <c r="P28" i="25"/>
  <c r="Q28" i="25" s="1"/>
  <c r="U28" i="25" s="1"/>
  <c r="I28" i="25"/>
  <c r="H30" i="25"/>
  <c r="F30" i="25"/>
  <c r="K28" i="25"/>
  <c r="G30" i="25"/>
  <c r="O27" i="25"/>
  <c r="AM29" i="25"/>
  <c r="AL28" i="25"/>
  <c r="AK28" i="25"/>
  <c r="Q27" i="25"/>
  <c r="U27" i="25" s="1"/>
  <c r="Q26" i="25"/>
  <c r="U26" i="25" s="1"/>
  <c r="M28" i="25" l="1"/>
  <c r="O28" i="25"/>
  <c r="L29" i="25"/>
  <c r="N29" i="25" s="1"/>
  <c r="K29" i="25"/>
  <c r="Z27" i="25"/>
  <c r="AA27" i="25" s="1"/>
  <c r="G31" i="25"/>
  <c r="F31" i="25"/>
  <c r="H31" i="25"/>
  <c r="T30" i="25"/>
  <c r="P29" i="25"/>
  <c r="Q29" i="25" s="1"/>
  <c r="U29" i="25" s="1"/>
  <c r="E30" i="25"/>
  <c r="L30" i="25" s="1"/>
  <c r="I29" i="25"/>
  <c r="X28" i="25"/>
  <c r="X26" i="25"/>
  <c r="W26" i="25"/>
  <c r="AG103" i="17"/>
  <c r="AG104" i="17" s="1"/>
  <c r="AG98" i="17"/>
  <c r="AG93" i="17"/>
  <c r="AG94" i="17" s="1"/>
  <c r="AG88" i="17"/>
  <c r="AG89" i="17" s="1"/>
  <c r="AG83" i="17"/>
  <c r="AK78" i="17"/>
  <c r="AI78" i="17"/>
  <c r="AH64" i="17"/>
  <c r="AI64" i="17"/>
  <c r="AJ64" i="17"/>
  <c r="AG64" i="17"/>
  <c r="BE61" i="17"/>
  <c r="BF61" i="17" s="1"/>
  <c r="BE62" i="17"/>
  <c r="AK62" i="17"/>
  <c r="AL62" i="17"/>
  <c r="AO62" i="17" s="1"/>
  <c r="AM62" i="17"/>
  <c r="AN62" i="17"/>
  <c r="AL61" i="17"/>
  <c r="AM61" i="17"/>
  <c r="AN61" i="17"/>
  <c r="AK61" i="17"/>
  <c r="Q30" i="17"/>
  <c r="AK44" i="17"/>
  <c r="AK43" i="17"/>
  <c r="AK42" i="17"/>
  <c r="AK41" i="17"/>
  <c r="AK40" i="17"/>
  <c r="AK39" i="17"/>
  <c r="AK38" i="17"/>
  <c r="AK37" i="17"/>
  <c r="AK36" i="17"/>
  <c r="AK35" i="17"/>
  <c r="AK34" i="17"/>
  <c r="AK33" i="17"/>
  <c r="AK32" i="17"/>
  <c r="AK31" i="17"/>
  <c r="AK30" i="17"/>
  <c r="AK29" i="17"/>
  <c r="N24" i="17"/>
  <c r="AQ62" i="17" l="1"/>
  <c r="BF62" i="17"/>
  <c r="AG65" i="17" s="1"/>
  <c r="AQ61" i="17"/>
  <c r="AG66" i="17"/>
  <c r="AO61" i="17"/>
  <c r="AR62" i="17"/>
  <c r="AR61" i="17"/>
  <c r="M29" i="25"/>
  <c r="O29" i="25"/>
  <c r="Z28" i="25"/>
  <c r="AA28" i="25" s="1"/>
  <c r="K30" i="25"/>
  <c r="H32" i="25"/>
  <c r="T31" i="25"/>
  <c r="J30" i="25"/>
  <c r="O30" i="25" s="1"/>
  <c r="F32" i="25"/>
  <c r="P30" i="25"/>
  <c r="Q30" i="25" s="1"/>
  <c r="U30" i="25" s="1"/>
  <c r="X30" i="25" s="1"/>
  <c r="E31" i="25"/>
  <c r="J31" i="25" s="1"/>
  <c r="I30" i="25"/>
  <c r="G32" i="25"/>
  <c r="Y26" i="25"/>
  <c r="AG99" i="17"/>
  <c r="AG84" i="17"/>
  <c r="AP61" i="17"/>
  <c r="AP62" i="17"/>
  <c r="M30" i="25" l="1"/>
  <c r="N30" i="25"/>
  <c r="Z29" i="25"/>
  <c r="AA29" i="25" s="1"/>
  <c r="K31" i="25"/>
  <c r="L31" i="25"/>
  <c r="N31" i="25" s="1"/>
  <c r="P31" i="25"/>
  <c r="Q31" i="25" s="1"/>
  <c r="U31" i="25" s="1"/>
  <c r="S31" i="25"/>
  <c r="I31" i="25"/>
  <c r="E32" i="25"/>
  <c r="L32" i="25" s="1"/>
  <c r="F33" i="25"/>
  <c r="H33" i="25"/>
  <c r="T32" i="25"/>
  <c r="G33" i="25"/>
  <c r="M31" i="25" l="1"/>
  <c r="Z30" i="25"/>
  <c r="AA30" i="25" s="1"/>
  <c r="W31" i="25"/>
  <c r="F34" i="25"/>
  <c r="S32" i="25"/>
  <c r="I32" i="25"/>
  <c r="E33" i="25"/>
  <c r="K33" i="25" s="1"/>
  <c r="P32" i="25"/>
  <c r="Q32" i="25" s="1"/>
  <c r="U32" i="25" s="1"/>
  <c r="X32" i="25" s="1"/>
  <c r="X31" i="25"/>
  <c r="K32" i="25"/>
  <c r="H34" i="25"/>
  <c r="O31" i="25"/>
  <c r="G34" i="25"/>
  <c r="J32" i="25"/>
  <c r="O32" i="25" s="1"/>
  <c r="M32" i="25" l="1"/>
  <c r="N32" i="25"/>
  <c r="L33" i="25"/>
  <c r="Z31" i="25"/>
  <c r="AA31" i="25" s="1"/>
  <c r="Y31" i="25"/>
  <c r="W32" i="25"/>
  <c r="Y32" i="25" s="1"/>
  <c r="G35" i="25"/>
  <c r="H35" i="25"/>
  <c r="T34" i="25"/>
  <c r="P33" i="25"/>
  <c r="Q33" i="25" s="1"/>
  <c r="U33" i="25" s="1"/>
  <c r="I33" i="25"/>
  <c r="M33" i="25" s="1"/>
  <c r="E34" i="25"/>
  <c r="L34" i="25" s="1"/>
  <c r="J33" i="25"/>
  <c r="F35" i="25"/>
  <c r="N33" i="25" l="1"/>
  <c r="Z32" i="25"/>
  <c r="AA32" i="25" s="1"/>
  <c r="O33" i="25"/>
  <c r="J34" i="25"/>
  <c r="O34" i="25" s="1"/>
  <c r="G36" i="25"/>
  <c r="P34" i="25"/>
  <c r="Q34" i="25" s="1"/>
  <c r="U34" i="25" s="1"/>
  <c r="X34" i="25" s="1"/>
  <c r="S34" i="25"/>
  <c r="I34" i="25"/>
  <c r="E35" i="25"/>
  <c r="K35" i="25" s="1"/>
  <c r="K34" i="25"/>
  <c r="F36" i="25"/>
  <c r="H36" i="25"/>
  <c r="T35" i="25"/>
  <c r="M34" i="25" l="1"/>
  <c r="N34" i="25"/>
  <c r="Z33" i="25"/>
  <c r="AA33" i="25" s="1"/>
  <c r="L35" i="25"/>
  <c r="J35" i="25"/>
  <c r="W34" i="25"/>
  <c r="Y34" i="25" s="1"/>
  <c r="P35" i="25"/>
  <c r="Q35" i="25" s="1"/>
  <c r="U35" i="25" s="1"/>
  <c r="S35" i="25"/>
  <c r="I35" i="25"/>
  <c r="M35" i="25" s="1"/>
  <c r="E36" i="25"/>
  <c r="L36" i="25" s="1"/>
  <c r="F37" i="25"/>
  <c r="H37" i="25"/>
  <c r="G37" i="25"/>
  <c r="D30" i="24"/>
  <c r="E30" i="24"/>
  <c r="E31" i="24" s="1"/>
  <c r="E32" i="24" s="1"/>
  <c r="C30" i="24"/>
  <c r="C31" i="24" s="1"/>
  <c r="E23" i="24"/>
  <c r="D23" i="24"/>
  <c r="D24" i="24" s="1"/>
  <c r="C23" i="24"/>
  <c r="C24" i="24" s="1"/>
  <c r="E17" i="24"/>
  <c r="E18" i="24" s="1"/>
  <c r="C17" i="24"/>
  <c r="C18" i="24" s="1"/>
  <c r="C10" i="24"/>
  <c r="C11" i="24" s="1"/>
  <c r="D16" i="24"/>
  <c r="D17" i="24" s="1"/>
  <c r="D18" i="24" s="1"/>
  <c r="C16" i="24"/>
  <c r="E16" i="24"/>
  <c r="C9" i="24"/>
  <c r="E9" i="24"/>
  <c r="E10" i="24" s="1"/>
  <c r="E11" i="24" s="1"/>
  <c r="D9" i="24"/>
  <c r="D10" i="24" s="1"/>
  <c r="D11" i="24" s="1"/>
  <c r="E24" i="24" l="1"/>
  <c r="E25" i="24" s="1"/>
  <c r="N35" i="25"/>
  <c r="Z34" i="25"/>
  <c r="AA34" i="25" s="1"/>
  <c r="O35" i="25"/>
  <c r="J36" i="25"/>
  <c r="N36" i="25" s="1"/>
  <c r="K36" i="25"/>
  <c r="W35" i="25"/>
  <c r="F38" i="25"/>
  <c r="I36" i="25"/>
  <c r="E37" i="25"/>
  <c r="L37" i="25" s="1"/>
  <c r="P36" i="25"/>
  <c r="Q36" i="25" s="1"/>
  <c r="U36" i="25" s="1"/>
  <c r="H38" i="25"/>
  <c r="T37" i="25"/>
  <c r="X35" i="25"/>
  <c r="G38" i="25"/>
  <c r="D31" i="24"/>
  <c r="D32" i="24" s="1"/>
  <c r="D25" i="24" l="1"/>
  <c r="C25" i="24"/>
  <c r="M36" i="25"/>
  <c r="Z35" i="25"/>
  <c r="AA35" i="25" s="1"/>
  <c r="O36" i="25"/>
  <c r="Y35" i="25"/>
  <c r="P37" i="25"/>
  <c r="Q37" i="25" s="1"/>
  <c r="U37" i="25" s="1"/>
  <c r="S37" i="25"/>
  <c r="I37" i="25"/>
  <c r="E38" i="25"/>
  <c r="G39" i="25"/>
  <c r="K37" i="25"/>
  <c r="H39" i="25"/>
  <c r="T38" i="25"/>
  <c r="J37" i="25"/>
  <c r="O37" i="25" s="1"/>
  <c r="F39" i="25"/>
  <c r="C32" i="24"/>
  <c r="M37" i="25" l="1"/>
  <c r="N37" i="25"/>
  <c r="Z36" i="25"/>
  <c r="AA36" i="25" s="1"/>
  <c r="W37" i="25"/>
  <c r="X37" i="25"/>
  <c r="S38" i="25"/>
  <c r="I38" i="25"/>
  <c r="E39" i="25"/>
  <c r="K39" i="25" s="1"/>
  <c r="P38" i="25"/>
  <c r="Q38" i="25" s="1"/>
  <c r="U38" i="25" s="1"/>
  <c r="X38" i="25" s="1"/>
  <c r="J38" i="25"/>
  <c r="L38" i="25"/>
  <c r="K38" i="25"/>
  <c r="F40" i="25"/>
  <c r="H40" i="25"/>
  <c r="T39" i="25"/>
  <c r="G40" i="25"/>
  <c r="H40" i="20"/>
  <c r="I30" i="11"/>
  <c r="I29" i="11"/>
  <c r="I28" i="11"/>
  <c r="I27" i="11"/>
  <c r="I26" i="11"/>
  <c r="I25" i="11"/>
  <c r="I24" i="11"/>
  <c r="I23" i="11"/>
  <c r="I22" i="11"/>
  <c r="I21" i="11"/>
  <c r="N38" i="25" l="1"/>
  <c r="M38" i="25"/>
  <c r="Z37" i="25"/>
  <c r="AA37" i="25" s="1"/>
  <c r="W38" i="25"/>
  <c r="Y38" i="25" s="1"/>
  <c r="Y37" i="25"/>
  <c r="P39" i="25"/>
  <c r="Q39" i="25" s="1"/>
  <c r="U39" i="25" s="1"/>
  <c r="X39" i="25" s="1"/>
  <c r="S39" i="25"/>
  <c r="I39" i="25"/>
  <c r="M39" i="25" s="1"/>
  <c r="E40" i="25"/>
  <c r="J40" i="25" s="1"/>
  <c r="S44" i="25"/>
  <c r="G41" i="25"/>
  <c r="H41" i="25"/>
  <c r="T40" i="25"/>
  <c r="F41" i="25"/>
  <c r="O38" i="25"/>
  <c r="L39" i="25"/>
  <c r="J39" i="25"/>
  <c r="P62" i="20"/>
  <c r="Q62" i="20" s="1"/>
  <c r="P74" i="20"/>
  <c r="Q74" i="20" s="1"/>
  <c r="P73" i="20"/>
  <c r="Q73" i="20" s="1"/>
  <c r="P72" i="20"/>
  <c r="Q72" i="20" s="1"/>
  <c r="P71" i="20"/>
  <c r="Q71" i="20" s="1"/>
  <c r="P70" i="20"/>
  <c r="Q70" i="20" s="1"/>
  <c r="P69" i="20"/>
  <c r="Q69" i="20" s="1"/>
  <c r="P68" i="20"/>
  <c r="Q68" i="20" s="1"/>
  <c r="P67" i="20"/>
  <c r="Q67" i="20" s="1"/>
  <c r="P66" i="20"/>
  <c r="Q66" i="20" s="1"/>
  <c r="P65" i="20"/>
  <c r="Q65" i="20" s="1"/>
  <c r="P64" i="20"/>
  <c r="Q64" i="20" s="1"/>
  <c r="P63" i="20"/>
  <c r="Q63" i="20" s="1"/>
  <c r="O69" i="20"/>
  <c r="O63" i="20"/>
  <c r="O64" i="20"/>
  <c r="O65" i="20"/>
  <c r="O66" i="20"/>
  <c r="O67" i="20"/>
  <c r="O68" i="20"/>
  <c r="O70" i="20"/>
  <c r="O71" i="20"/>
  <c r="O72" i="20"/>
  <c r="O73" i="20"/>
  <c r="O74" i="20"/>
  <c r="O62" i="20"/>
  <c r="F15" i="20"/>
  <c r="G15" i="20"/>
  <c r="N39" i="25" l="1"/>
  <c r="O39" i="25"/>
  <c r="K40" i="25"/>
  <c r="L40" i="25"/>
  <c r="N40" i="25" s="1"/>
  <c r="G42" i="25"/>
  <c r="W39" i="25"/>
  <c r="Y39" i="25" s="1"/>
  <c r="S40" i="25"/>
  <c r="I40" i="25"/>
  <c r="E41" i="25"/>
  <c r="J41" i="25" s="1"/>
  <c r="P40" i="25"/>
  <c r="Q40" i="25" s="1"/>
  <c r="U40" i="25" s="1"/>
  <c r="X40" i="25" s="1"/>
  <c r="F42" i="25"/>
  <c r="F43" i="25" s="1"/>
  <c r="F44" i="25" s="1"/>
  <c r="F45" i="25" s="1"/>
  <c r="F46" i="25" s="1"/>
  <c r="H42" i="25"/>
  <c r="T41" i="25"/>
  <c r="Z38" i="25"/>
  <c r="AA38" i="25" s="1"/>
  <c r="AC102" i="20"/>
  <c r="AC103" i="20"/>
  <c r="AC95" i="20"/>
  <c r="AC96" i="20"/>
  <c r="AC97" i="20"/>
  <c r="AC98" i="20"/>
  <c r="AC99" i="20"/>
  <c r="AC100" i="20"/>
  <c r="AC101" i="20"/>
  <c r="AC94" i="20"/>
  <c r="D68" i="20"/>
  <c r="D65" i="20"/>
  <c r="D64" i="20"/>
  <c r="D40" i="20"/>
  <c r="I40" i="20" s="1"/>
  <c r="K40" i="20" s="1"/>
  <c r="M40" i="25" l="1"/>
  <c r="H43" i="25"/>
  <c r="K43" i="25" s="1"/>
  <c r="Z39" i="25"/>
  <c r="AA39" i="25" s="1"/>
  <c r="O40" i="25"/>
  <c r="K41" i="25"/>
  <c r="L41" i="25"/>
  <c r="N41" i="25" s="1"/>
  <c r="W40" i="25"/>
  <c r="Y40" i="25" s="1"/>
  <c r="T42" i="25"/>
  <c r="P41" i="25"/>
  <c r="Q41" i="25" s="1"/>
  <c r="U41" i="25" s="1"/>
  <c r="X41" i="25" s="1"/>
  <c r="S41" i="25"/>
  <c r="I41" i="25"/>
  <c r="E42" i="25"/>
  <c r="J71" i="22"/>
  <c r="D67" i="22"/>
  <c r="D66" i="22"/>
  <c r="D65" i="22"/>
  <c r="D64" i="22"/>
  <c r="R57" i="22"/>
  <c r="H56" i="22"/>
  <c r="D56" i="22" s="1"/>
  <c r="H55" i="22"/>
  <c r="D55" i="22" s="1"/>
  <c r="I55" i="22" s="1"/>
  <c r="K55" i="22" s="1"/>
  <c r="H54" i="22"/>
  <c r="D54" i="22" s="1"/>
  <c r="H53" i="22"/>
  <c r="D53" i="22" s="1"/>
  <c r="I53" i="22" s="1"/>
  <c r="K53" i="22" s="1"/>
  <c r="H52" i="22"/>
  <c r="D52" i="22" s="1"/>
  <c r="H51" i="22"/>
  <c r="D51" i="22" s="1"/>
  <c r="I51" i="22" s="1"/>
  <c r="K51" i="22" s="1"/>
  <c r="H50" i="22"/>
  <c r="D50" i="22" s="1"/>
  <c r="H49" i="22"/>
  <c r="D49" i="22" s="1"/>
  <c r="R49" i="22" s="1"/>
  <c r="H81" i="22" s="1"/>
  <c r="J81" i="22" s="1"/>
  <c r="H48" i="22"/>
  <c r="D48" i="22" s="1"/>
  <c r="H47" i="22"/>
  <c r="D47" i="22" s="1"/>
  <c r="R47" i="22" s="1"/>
  <c r="H79" i="22" s="1"/>
  <c r="J79" i="22" s="1"/>
  <c r="H46" i="22"/>
  <c r="D46" i="22" s="1"/>
  <c r="H45" i="22"/>
  <c r="D45" i="22" s="1"/>
  <c r="H44" i="22"/>
  <c r="D44" i="22" s="1"/>
  <c r="H43" i="22"/>
  <c r="D43" i="22" s="1"/>
  <c r="H42" i="22"/>
  <c r="D42" i="22" s="1"/>
  <c r="H40" i="22"/>
  <c r="D40" i="22" s="1"/>
  <c r="G31" i="22"/>
  <c r="F31" i="22"/>
  <c r="R32" i="22" s="1"/>
  <c r="G30" i="22"/>
  <c r="F30" i="22"/>
  <c r="G29" i="22"/>
  <c r="F29" i="22"/>
  <c r="G28" i="22"/>
  <c r="F28" i="22"/>
  <c r="G27" i="22"/>
  <c r="F27" i="22"/>
  <c r="G26" i="22"/>
  <c r="F26" i="22"/>
  <c r="G25" i="22"/>
  <c r="F25" i="22"/>
  <c r="G24" i="22"/>
  <c r="F24" i="22"/>
  <c r="G23" i="22"/>
  <c r="F23" i="22"/>
  <c r="G22" i="22"/>
  <c r="F22" i="22"/>
  <c r="G21" i="22"/>
  <c r="F21" i="22"/>
  <c r="G20" i="22"/>
  <c r="F20" i="22"/>
  <c r="G19" i="22"/>
  <c r="F19" i="22"/>
  <c r="G18" i="22"/>
  <c r="F18" i="22"/>
  <c r="G17" i="22"/>
  <c r="F17" i="22"/>
  <c r="G16" i="22"/>
  <c r="F16" i="22"/>
  <c r="G15" i="22"/>
  <c r="F15" i="22"/>
  <c r="M41" i="25" l="1"/>
  <c r="J43" i="25"/>
  <c r="H44" i="25"/>
  <c r="P44" i="25" s="1"/>
  <c r="T43" i="25"/>
  <c r="L43" i="25"/>
  <c r="I43" i="25"/>
  <c r="M43" i="25" s="1"/>
  <c r="P43" i="25"/>
  <c r="Z40" i="25"/>
  <c r="AA40" i="25" s="1"/>
  <c r="S42" i="25"/>
  <c r="I42" i="25"/>
  <c r="S43" i="25"/>
  <c r="P42" i="25"/>
  <c r="O41" i="25"/>
  <c r="W41" i="25"/>
  <c r="Y41" i="25" s="1"/>
  <c r="J42" i="25"/>
  <c r="K42" i="25"/>
  <c r="L42" i="25"/>
  <c r="J49" i="22"/>
  <c r="L49" i="22" s="1"/>
  <c r="R43" i="22"/>
  <c r="H75" i="22" s="1"/>
  <c r="J75" i="22" s="1"/>
  <c r="I43" i="22"/>
  <c r="K43" i="22" s="1"/>
  <c r="J43" i="22"/>
  <c r="L43" i="22" s="1"/>
  <c r="R45" i="22"/>
  <c r="H77" i="22" s="1"/>
  <c r="J77" i="22" s="1"/>
  <c r="J45" i="22"/>
  <c r="L45" i="22" s="1"/>
  <c r="I45" i="22"/>
  <c r="K45" i="22" s="1"/>
  <c r="J47" i="22"/>
  <c r="L47" i="22" s="1"/>
  <c r="I49" i="22"/>
  <c r="K49" i="22" s="1"/>
  <c r="I47" i="22"/>
  <c r="K47" i="22" s="1"/>
  <c r="R40" i="22"/>
  <c r="J40" i="22"/>
  <c r="L40" i="22" s="1"/>
  <c r="I40" i="22"/>
  <c r="K40" i="22" s="1"/>
  <c r="M40" i="22" s="1"/>
  <c r="P40" i="22" s="1"/>
  <c r="J46" i="22"/>
  <c r="L46" i="22" s="1"/>
  <c r="R46" i="22"/>
  <c r="S47" i="22" s="1"/>
  <c r="I46" i="22"/>
  <c r="K46" i="22" s="1"/>
  <c r="J48" i="22"/>
  <c r="L48" i="22" s="1"/>
  <c r="R48" i="22"/>
  <c r="S49" i="22" s="1"/>
  <c r="I48" i="22"/>
  <c r="K48" i="22" s="1"/>
  <c r="I42" i="22"/>
  <c r="K42" i="22" s="1"/>
  <c r="R42" i="22"/>
  <c r="J42" i="22"/>
  <c r="L42" i="22" s="1"/>
  <c r="J50" i="22"/>
  <c r="L50" i="22" s="1"/>
  <c r="R50" i="22"/>
  <c r="I50" i="22"/>
  <c r="K50" i="22" s="1"/>
  <c r="J44" i="22"/>
  <c r="L44" i="22" s="1"/>
  <c r="R44" i="22"/>
  <c r="I44" i="22"/>
  <c r="K44" i="22" s="1"/>
  <c r="H41" i="22"/>
  <c r="D41" i="22" s="1"/>
  <c r="R52" i="22"/>
  <c r="J52" i="22"/>
  <c r="L52" i="22" s="1"/>
  <c r="R54" i="22"/>
  <c r="J54" i="22"/>
  <c r="L54" i="22" s="1"/>
  <c r="R56" i="22"/>
  <c r="R58" i="22" s="1"/>
  <c r="J56" i="22"/>
  <c r="L56" i="22" s="1"/>
  <c r="J51" i="22"/>
  <c r="L51" i="22" s="1"/>
  <c r="M51" i="22" s="1"/>
  <c r="R51" i="22"/>
  <c r="I52" i="22"/>
  <c r="K52" i="22" s="1"/>
  <c r="J53" i="22"/>
  <c r="L53" i="22" s="1"/>
  <c r="M53" i="22" s="1"/>
  <c r="R53" i="22"/>
  <c r="I54" i="22"/>
  <c r="K54" i="22" s="1"/>
  <c r="M54" i="22" s="1"/>
  <c r="J55" i="22"/>
  <c r="L55" i="22" s="1"/>
  <c r="M55" i="22" s="1"/>
  <c r="R55" i="22"/>
  <c r="I56" i="22"/>
  <c r="K56" i="22" s="1"/>
  <c r="P57" i="20"/>
  <c r="M56" i="22" l="1"/>
  <c r="M47" i="22"/>
  <c r="P47" i="22" s="1"/>
  <c r="N42" i="25"/>
  <c r="N43" i="25"/>
  <c r="M42" i="25"/>
  <c r="L44" i="25"/>
  <c r="O43" i="25"/>
  <c r="Q44" i="25"/>
  <c r="U44" i="25" s="1"/>
  <c r="W44" i="25" s="1"/>
  <c r="K44" i="25"/>
  <c r="J44" i="25"/>
  <c r="H45" i="25"/>
  <c r="H46" i="25" s="1"/>
  <c r="I44" i="25"/>
  <c r="T44" i="25"/>
  <c r="O42" i="25"/>
  <c r="Z41" i="25"/>
  <c r="AA41" i="25" s="1"/>
  <c r="Q43" i="25"/>
  <c r="U43" i="25" s="1"/>
  <c r="Q42" i="25"/>
  <c r="U42" i="25" s="1"/>
  <c r="X42" i="25" s="1"/>
  <c r="M44" i="22"/>
  <c r="S45" i="22"/>
  <c r="M49" i="22"/>
  <c r="M45" i="22"/>
  <c r="P45" i="22" s="1"/>
  <c r="K77" i="22" s="1"/>
  <c r="Q47" i="22"/>
  <c r="T47" i="22" s="1"/>
  <c r="M50" i="22"/>
  <c r="P50" i="22" s="1"/>
  <c r="M48" i="22"/>
  <c r="P48" i="22" s="1"/>
  <c r="M43" i="22"/>
  <c r="S43" i="22"/>
  <c r="M52" i="22"/>
  <c r="P52" i="22" s="1"/>
  <c r="P51" i="22"/>
  <c r="Q51" i="22"/>
  <c r="P53" i="22"/>
  <c r="Q53" i="22"/>
  <c r="P55" i="22"/>
  <c r="Q55" i="22"/>
  <c r="I41" i="22"/>
  <c r="K41" i="22" s="1"/>
  <c r="R41" i="22"/>
  <c r="S42" i="22" s="1"/>
  <c r="H87" i="22"/>
  <c r="J87" i="22" s="1"/>
  <c r="S55" i="22"/>
  <c r="K79" i="22"/>
  <c r="M42" i="22"/>
  <c r="H78" i="22"/>
  <c r="J78" i="22" s="1"/>
  <c r="S46" i="22"/>
  <c r="H72" i="22"/>
  <c r="J72" i="22" s="1"/>
  <c r="S40" i="22"/>
  <c r="E10" i="22" s="1"/>
  <c r="Q52" i="22"/>
  <c r="P54" i="22"/>
  <c r="Q54" i="22"/>
  <c r="H82" i="22"/>
  <c r="J82" i="22" s="1"/>
  <c r="S50" i="22"/>
  <c r="H80" i="22"/>
  <c r="J80" i="22" s="1"/>
  <c r="S48" i="22"/>
  <c r="J41" i="22"/>
  <c r="L41" i="22" s="1"/>
  <c r="Q40" i="22"/>
  <c r="H84" i="22"/>
  <c r="J84" i="22" s="1"/>
  <c r="S52" i="22"/>
  <c r="H83" i="22"/>
  <c r="J83" i="22" s="1"/>
  <c r="S51" i="22"/>
  <c r="P44" i="22"/>
  <c r="Q44" i="22"/>
  <c r="H85" i="22"/>
  <c r="J85" i="22" s="1"/>
  <c r="S53" i="22"/>
  <c r="H86" i="22"/>
  <c r="J86" i="22" s="1"/>
  <c r="S54" i="22"/>
  <c r="H76" i="22"/>
  <c r="J76" i="22" s="1"/>
  <c r="S44" i="22"/>
  <c r="H74" i="22"/>
  <c r="J74" i="22" s="1"/>
  <c r="M46" i="22"/>
  <c r="M44" i="25" l="1"/>
  <c r="Z43" i="25"/>
  <c r="AA43" i="25" s="1"/>
  <c r="N44" i="25"/>
  <c r="J45" i="25"/>
  <c r="P45" i="25"/>
  <c r="Q45" i="25" s="1"/>
  <c r="U45" i="25" s="1"/>
  <c r="X44" i="25"/>
  <c r="Y44" i="25" s="1"/>
  <c r="K45" i="25"/>
  <c r="M45" i="25" s="1"/>
  <c r="O44" i="25"/>
  <c r="I45" i="25"/>
  <c r="L45" i="25"/>
  <c r="L46" i="25"/>
  <c r="T45" i="25"/>
  <c r="W42" i="25"/>
  <c r="Y42" i="25" s="1"/>
  <c r="P46" i="25"/>
  <c r="K46" i="25"/>
  <c r="M46" i="25" s="1"/>
  <c r="I46" i="25"/>
  <c r="J46" i="25"/>
  <c r="F47" i="25"/>
  <c r="W43" i="25"/>
  <c r="X43" i="25"/>
  <c r="Z42" i="25"/>
  <c r="AA42" i="25" s="1"/>
  <c r="G69" i="21"/>
  <c r="Q45" i="22"/>
  <c r="T45" i="22" s="1"/>
  <c r="V45" i="22" s="1"/>
  <c r="Q48" i="22"/>
  <c r="T48" i="22" s="1"/>
  <c r="Q49" i="22"/>
  <c r="P49" i="22"/>
  <c r="Q50" i="22"/>
  <c r="T50" i="22" s="1"/>
  <c r="Q43" i="22"/>
  <c r="P43" i="22"/>
  <c r="P46" i="22"/>
  <c r="Q46" i="22"/>
  <c r="K80" i="22"/>
  <c r="V47" i="22"/>
  <c r="U47" i="22"/>
  <c r="O47" i="22" s="1"/>
  <c r="H73" i="22"/>
  <c r="J73" i="22" s="1"/>
  <c r="S41" i="22"/>
  <c r="K76" i="22"/>
  <c r="T44" i="22"/>
  <c r="K84" i="22"/>
  <c r="T52" i="22"/>
  <c r="R31" i="22"/>
  <c r="R33" i="22" s="1"/>
  <c r="D30" i="22"/>
  <c r="D28" i="22"/>
  <c r="D26" i="22"/>
  <c r="D24" i="22"/>
  <c r="D22" i="22"/>
  <c r="D20" i="22"/>
  <c r="D29" i="22"/>
  <c r="D27" i="22"/>
  <c r="D25" i="22"/>
  <c r="D23" i="22"/>
  <c r="D21" i="22"/>
  <c r="P21" i="22" s="1"/>
  <c r="D19" i="22"/>
  <c r="D17" i="22"/>
  <c r="E11" i="22"/>
  <c r="D15" i="22"/>
  <c r="D18" i="22"/>
  <c r="P18" i="22" s="1"/>
  <c r="D16" i="22"/>
  <c r="P42" i="22"/>
  <c r="Q42" i="22"/>
  <c r="M41" i="22"/>
  <c r="K85" i="22"/>
  <c r="T53" i="22"/>
  <c r="V53" i="22" s="1"/>
  <c r="K72" i="22"/>
  <c r="T40" i="22"/>
  <c r="V40" i="22" s="1"/>
  <c r="K86" i="22"/>
  <c r="T54" i="22"/>
  <c r="V54" i="22" s="1"/>
  <c r="K82" i="22"/>
  <c r="T55" i="22"/>
  <c r="K87" i="22"/>
  <c r="T51" i="22"/>
  <c r="K83" i="22"/>
  <c r="J81" i="21"/>
  <c r="G89" i="21" s="1"/>
  <c r="G90" i="21" s="1"/>
  <c r="I90" i="21" s="1"/>
  <c r="J90" i="21" s="1"/>
  <c r="K104" i="21"/>
  <c r="G110" i="21"/>
  <c r="G111" i="21" s="1"/>
  <c r="K105" i="21"/>
  <c r="K61" i="21"/>
  <c r="J100" i="21"/>
  <c r="J79" i="21"/>
  <c r="J55" i="21"/>
  <c r="J57" i="21" s="1"/>
  <c r="K84" i="21"/>
  <c r="K83" i="21"/>
  <c r="K60" i="21"/>
  <c r="AD29" i="21"/>
  <c r="I38" i="21"/>
  <c r="H38" i="21"/>
  <c r="G38" i="21"/>
  <c r="F38" i="21"/>
  <c r="M37" i="21"/>
  <c r="L37" i="21"/>
  <c r="K37" i="21"/>
  <c r="J37" i="21"/>
  <c r="M36" i="21"/>
  <c r="L36" i="21"/>
  <c r="K36" i="21"/>
  <c r="J36" i="21"/>
  <c r="M35" i="21"/>
  <c r="L35" i="21"/>
  <c r="K35" i="21"/>
  <c r="J35" i="21"/>
  <c r="M34" i="21"/>
  <c r="L34" i="21"/>
  <c r="K34" i="21"/>
  <c r="J34" i="21"/>
  <c r="M33" i="21"/>
  <c r="L33" i="21"/>
  <c r="K33" i="21"/>
  <c r="J33" i="21"/>
  <c r="M32" i="21"/>
  <c r="L32" i="21"/>
  <c r="K32" i="21"/>
  <c r="J32" i="21"/>
  <c r="M31" i="21"/>
  <c r="L31" i="21"/>
  <c r="K31" i="21"/>
  <c r="J31" i="21"/>
  <c r="M30" i="21"/>
  <c r="L30" i="21"/>
  <c r="K30" i="21"/>
  <c r="J30" i="21"/>
  <c r="M29" i="21"/>
  <c r="L29" i="21"/>
  <c r="K29" i="21"/>
  <c r="J29" i="21"/>
  <c r="T28" i="21"/>
  <c r="X28" i="21" s="1"/>
  <c r="R28" i="21"/>
  <c r="V28" i="21" s="1"/>
  <c r="I28" i="21"/>
  <c r="M28" i="21" s="1"/>
  <c r="H28" i="21"/>
  <c r="L28" i="21" s="1"/>
  <c r="AB28" i="21" s="1"/>
  <c r="K28" i="21"/>
  <c r="AA28" i="21" s="1"/>
  <c r="F28" i="21"/>
  <c r="J28" i="21" s="1"/>
  <c r="F15" i="21"/>
  <c r="F42" i="21" s="1"/>
  <c r="F7" i="21"/>
  <c r="F41" i="21" s="1"/>
  <c r="G41" i="21" s="1"/>
  <c r="AG26" i="15"/>
  <c r="N29" i="21" l="1"/>
  <c r="AG32" i="21"/>
  <c r="Q33" i="21"/>
  <c r="C34" i="21"/>
  <c r="C30" i="21"/>
  <c r="AO33" i="21"/>
  <c r="AO35" i="21" s="1"/>
  <c r="P31" i="21"/>
  <c r="O31" i="21"/>
  <c r="N46" i="25"/>
  <c r="N45" i="25"/>
  <c r="X45" i="25"/>
  <c r="Y45" i="25" s="1"/>
  <c r="Q46" i="25"/>
  <c r="U46" i="25" s="1"/>
  <c r="O45" i="25"/>
  <c r="Z44" i="25"/>
  <c r="AA44" i="25" s="1"/>
  <c r="H47" i="25"/>
  <c r="P48" i="25" s="1"/>
  <c r="T46" i="25"/>
  <c r="O46" i="25"/>
  <c r="Y43" i="25"/>
  <c r="K81" i="22"/>
  <c r="T49" i="22"/>
  <c r="U49" i="22" s="1"/>
  <c r="U54" i="22"/>
  <c r="O54" i="22" s="1"/>
  <c r="U45" i="22"/>
  <c r="O45" i="22" s="1"/>
  <c r="U40" i="22"/>
  <c r="O40" i="22" s="1"/>
  <c r="U53" i="22"/>
  <c r="O53" i="22" s="1"/>
  <c r="U48" i="22"/>
  <c r="O48" i="22" s="1"/>
  <c r="U50" i="22"/>
  <c r="K75" i="22"/>
  <c r="T43" i="22"/>
  <c r="U44" i="22"/>
  <c r="O44" i="22" s="1"/>
  <c r="V52" i="22"/>
  <c r="U52" i="22"/>
  <c r="O52" i="22" s="1"/>
  <c r="U51" i="22"/>
  <c r="O51" i="22" s="1"/>
  <c r="U55" i="22"/>
  <c r="O55" i="22" s="1"/>
  <c r="V50" i="22"/>
  <c r="Q18" i="22"/>
  <c r="R18" i="22"/>
  <c r="Q19" i="22"/>
  <c r="R19" i="22"/>
  <c r="P19" i="22"/>
  <c r="P27" i="22"/>
  <c r="R27" i="22"/>
  <c r="Q27" i="22"/>
  <c r="R24" i="22"/>
  <c r="P24" i="22"/>
  <c r="Q24" i="22"/>
  <c r="V44" i="22"/>
  <c r="R15" i="22"/>
  <c r="S15" i="22" s="1"/>
  <c r="Q15" i="22"/>
  <c r="P15" i="22"/>
  <c r="R21" i="22"/>
  <c r="Q21" i="22"/>
  <c r="P29" i="22"/>
  <c r="R29" i="22"/>
  <c r="Q29" i="22"/>
  <c r="R26" i="22"/>
  <c r="P26" i="22"/>
  <c r="Q26" i="22"/>
  <c r="L79" i="22"/>
  <c r="V48" i="22"/>
  <c r="V51" i="22"/>
  <c r="Q41" i="22"/>
  <c r="P41" i="22"/>
  <c r="K74" i="22"/>
  <c r="T42" i="22"/>
  <c r="R23" i="22"/>
  <c r="P23" i="22"/>
  <c r="Q23" i="22"/>
  <c r="R20" i="22"/>
  <c r="S20" i="22" s="1"/>
  <c r="P20" i="22"/>
  <c r="Q20" i="22"/>
  <c r="R28" i="22"/>
  <c r="Q28" i="22"/>
  <c r="P28" i="22"/>
  <c r="L84" i="22"/>
  <c r="L77" i="22"/>
  <c r="V55" i="22"/>
  <c r="L85" i="22"/>
  <c r="R16" i="22"/>
  <c r="Q16" i="22"/>
  <c r="P16" i="22"/>
  <c r="P17" i="22"/>
  <c r="R17" i="22"/>
  <c r="Q17" i="22"/>
  <c r="P25" i="22"/>
  <c r="R25" i="22"/>
  <c r="Q25" i="22"/>
  <c r="P22" i="22"/>
  <c r="R22" i="22"/>
  <c r="Q22" i="22"/>
  <c r="R30" i="22"/>
  <c r="P30" i="22"/>
  <c r="Q30" i="22"/>
  <c r="K78" i="22"/>
  <c r="T46" i="22"/>
  <c r="I110" i="21"/>
  <c r="I111" i="21" s="1"/>
  <c r="J111" i="21" s="1"/>
  <c r="I68" i="21"/>
  <c r="I69" i="21"/>
  <c r="J69" i="21" s="1"/>
  <c r="I89" i="21"/>
  <c r="J89" i="21" s="1"/>
  <c r="Q31" i="21"/>
  <c r="Q32" i="21"/>
  <c r="U32" i="21" s="1"/>
  <c r="Q35" i="21"/>
  <c r="U35" i="21" s="1"/>
  <c r="Y35" i="21" s="1"/>
  <c r="O35" i="21"/>
  <c r="S35" i="21" s="1"/>
  <c r="W35" i="21" s="1"/>
  <c r="R29" i="21"/>
  <c r="V29" i="21" s="1"/>
  <c r="N30" i="21"/>
  <c r="R30" i="21" s="1"/>
  <c r="V30" i="21" s="1"/>
  <c r="N32" i="21"/>
  <c r="R32" i="21" s="1"/>
  <c r="V32" i="21" s="1"/>
  <c r="N33" i="21"/>
  <c r="AH36" i="21"/>
  <c r="P29" i="21"/>
  <c r="T29" i="21" s="1"/>
  <c r="X29" i="21" s="1"/>
  <c r="U31" i="21"/>
  <c r="Y31" i="21" s="1"/>
  <c r="AH30" i="21"/>
  <c r="AH31" i="21"/>
  <c r="AH32" i="21"/>
  <c r="AH33" i="21"/>
  <c r="AH34" i="21"/>
  <c r="AH35" i="21"/>
  <c r="P36" i="21"/>
  <c r="AG35" i="21"/>
  <c r="AH37" i="21"/>
  <c r="Q29" i="21"/>
  <c r="U29" i="21" s="1"/>
  <c r="P30" i="21"/>
  <c r="T30" i="21" s="1"/>
  <c r="X30" i="21" s="1"/>
  <c r="T31" i="21"/>
  <c r="X31" i="21" s="1"/>
  <c r="P32" i="21"/>
  <c r="T32" i="21" s="1"/>
  <c r="X32" i="21" s="1"/>
  <c r="P33" i="21"/>
  <c r="P35" i="21"/>
  <c r="Q36" i="21"/>
  <c r="U36" i="21" s="1"/>
  <c r="Y36" i="21" s="1"/>
  <c r="O29" i="21"/>
  <c r="S29" i="21" s="1"/>
  <c r="W29" i="21" s="1"/>
  <c r="O34" i="21"/>
  <c r="S34" i="21" s="1"/>
  <c r="W34" i="21" s="1"/>
  <c r="N34" i="21"/>
  <c r="AG37" i="21"/>
  <c r="N37" i="21"/>
  <c r="R37" i="21" s="1"/>
  <c r="Q37" i="21"/>
  <c r="U37" i="21" s="1"/>
  <c r="Y37" i="21" s="1"/>
  <c r="P37" i="21"/>
  <c r="T37" i="21" s="1"/>
  <c r="X37" i="21" s="1"/>
  <c r="AD38" i="21"/>
  <c r="AG28" i="21"/>
  <c r="Z28" i="21"/>
  <c r="M38" i="21"/>
  <c r="M41" i="21"/>
  <c r="K38" i="21"/>
  <c r="G42" i="21"/>
  <c r="L38" i="21" s="1"/>
  <c r="AP33" i="21" s="1"/>
  <c r="AC28" i="21"/>
  <c r="AH28" i="21"/>
  <c r="O30" i="21"/>
  <c r="S30" i="21" s="1"/>
  <c r="N31" i="21"/>
  <c r="R31" i="21" s="1"/>
  <c r="O33" i="21"/>
  <c r="S33" i="21" s="1"/>
  <c r="P34" i="21"/>
  <c r="AG34" i="21"/>
  <c r="N36" i="21"/>
  <c r="O44" i="21" s="1"/>
  <c r="AG30" i="21"/>
  <c r="S31" i="21"/>
  <c r="O32" i="21"/>
  <c r="S32" i="21" s="1"/>
  <c r="AG33" i="21"/>
  <c r="Q34" i="21"/>
  <c r="U34" i="21" s="1"/>
  <c r="Y34" i="21" s="1"/>
  <c r="N35" i="21"/>
  <c r="O36" i="21"/>
  <c r="S36" i="21" s="1"/>
  <c r="O37" i="21"/>
  <c r="S37" i="21" s="1"/>
  <c r="Q30" i="21"/>
  <c r="U30" i="21" s="1"/>
  <c r="Y30" i="21" s="1"/>
  <c r="AG31" i="21"/>
  <c r="U33" i="21"/>
  <c r="Y33" i="21" s="1"/>
  <c r="AG36" i="21"/>
  <c r="H74" i="20"/>
  <c r="D70" i="20"/>
  <c r="D69" i="20"/>
  <c r="D67" i="20"/>
  <c r="D66" i="20"/>
  <c r="H56" i="20"/>
  <c r="D56" i="20" s="1"/>
  <c r="H55" i="20"/>
  <c r="D55" i="20" s="1"/>
  <c r="H54" i="20"/>
  <c r="D54" i="20" s="1"/>
  <c r="H53" i="20"/>
  <c r="D53" i="20" s="1"/>
  <c r="J53" i="20" s="1"/>
  <c r="L53" i="20" s="1"/>
  <c r="H52" i="20"/>
  <c r="D52" i="20" s="1"/>
  <c r="H51" i="20"/>
  <c r="D51" i="20"/>
  <c r="J51" i="20" s="1"/>
  <c r="L51" i="20" s="1"/>
  <c r="H50" i="20"/>
  <c r="D50" i="20" s="1"/>
  <c r="H49" i="20"/>
  <c r="D49" i="20"/>
  <c r="J49" i="20" s="1"/>
  <c r="L49" i="20" s="1"/>
  <c r="H48" i="20"/>
  <c r="D48" i="20" s="1"/>
  <c r="H47" i="20"/>
  <c r="D47" i="20" s="1"/>
  <c r="P47" i="20" s="1"/>
  <c r="H46" i="20"/>
  <c r="D46" i="20" s="1"/>
  <c r="H45" i="20"/>
  <c r="D45" i="20" s="1"/>
  <c r="H44" i="20"/>
  <c r="D44" i="20"/>
  <c r="H43" i="20"/>
  <c r="D43" i="20"/>
  <c r="J43" i="20" s="1"/>
  <c r="L43" i="20" s="1"/>
  <c r="H42" i="20"/>
  <c r="D42" i="20"/>
  <c r="J42" i="20" s="1"/>
  <c r="L42" i="20" s="1"/>
  <c r="G41" i="20"/>
  <c r="G31" i="20"/>
  <c r="F31" i="20"/>
  <c r="G30" i="20"/>
  <c r="F30" i="20"/>
  <c r="G29" i="20"/>
  <c r="G28" i="20"/>
  <c r="F28" i="20"/>
  <c r="G27" i="20"/>
  <c r="F27" i="20"/>
  <c r="G26" i="20"/>
  <c r="F26" i="20"/>
  <c r="G25" i="20"/>
  <c r="F25" i="20"/>
  <c r="G24" i="20"/>
  <c r="F24" i="20"/>
  <c r="G23" i="20"/>
  <c r="F23" i="20"/>
  <c r="G22" i="20"/>
  <c r="F22" i="20"/>
  <c r="G21" i="20"/>
  <c r="F21" i="20"/>
  <c r="G20" i="20"/>
  <c r="F20" i="20"/>
  <c r="G19" i="20"/>
  <c r="F19" i="20"/>
  <c r="G18" i="20"/>
  <c r="F18" i="20"/>
  <c r="G17" i="20"/>
  <c r="F17" i="20"/>
  <c r="F16" i="20"/>
  <c r="Y14" i="20"/>
  <c r="L72" i="22" l="1"/>
  <c r="AP35" i="21"/>
  <c r="AQ35" i="21" s="1"/>
  <c r="AQ33" i="21"/>
  <c r="T33" i="21"/>
  <c r="Q41" i="21"/>
  <c r="R33" i="21"/>
  <c r="O41" i="21"/>
  <c r="S17" i="22"/>
  <c r="O43" i="21"/>
  <c r="T34" i="21"/>
  <c r="Q42" i="21"/>
  <c r="C37" i="21"/>
  <c r="D30" i="21" s="1"/>
  <c r="R34" i="21"/>
  <c r="O42" i="21"/>
  <c r="T35" i="21"/>
  <c r="Q43" i="21"/>
  <c r="T36" i="21"/>
  <c r="Q44" i="21"/>
  <c r="Z45" i="25"/>
  <c r="AA45" i="25" s="1"/>
  <c r="X46" i="25"/>
  <c r="Y46" i="25" s="1"/>
  <c r="P47" i="25"/>
  <c r="P49" i="25" s="1"/>
  <c r="P50" i="25" s="1"/>
  <c r="Z46" i="25"/>
  <c r="AA46" i="25" s="1"/>
  <c r="L86" i="22"/>
  <c r="L80" i="22"/>
  <c r="H41" i="20"/>
  <c r="D41" i="20" s="1"/>
  <c r="J41" i="20" s="1"/>
  <c r="L41" i="20" s="1"/>
  <c r="G16" i="20"/>
  <c r="I53" i="20"/>
  <c r="K53" i="20" s="1"/>
  <c r="M53" i="20" s="1"/>
  <c r="I42" i="20"/>
  <c r="K42" i="20" s="1"/>
  <c r="I43" i="20"/>
  <c r="K43" i="20" s="1"/>
  <c r="M43" i="20" s="1"/>
  <c r="N43" i="20" s="1"/>
  <c r="Z61" i="20" s="1"/>
  <c r="V61" i="20" s="1"/>
  <c r="I49" i="20"/>
  <c r="K49" i="20" s="1"/>
  <c r="M49" i="20" s="1"/>
  <c r="N49" i="20" s="1"/>
  <c r="I51" i="20"/>
  <c r="K51" i="20" s="1"/>
  <c r="M51" i="20" s="1"/>
  <c r="P42" i="20"/>
  <c r="F77" i="20" s="1"/>
  <c r="H77" i="20" s="1"/>
  <c r="L82" i="22"/>
  <c r="O50" i="22"/>
  <c r="O49" i="22"/>
  <c r="L81" i="22"/>
  <c r="V49" i="22"/>
  <c r="S28" i="22"/>
  <c r="S25" i="22"/>
  <c r="S30" i="22"/>
  <c r="S16" i="22"/>
  <c r="S21" i="22"/>
  <c r="L76" i="22"/>
  <c r="U46" i="22"/>
  <c r="S27" i="22"/>
  <c r="V43" i="22"/>
  <c r="U43" i="22"/>
  <c r="O43" i="22" s="1"/>
  <c r="S22" i="22"/>
  <c r="U42" i="22"/>
  <c r="O42" i="22" s="1"/>
  <c r="S19" i="22"/>
  <c r="V46" i="22"/>
  <c r="K73" i="22"/>
  <c r="T41" i="22"/>
  <c r="S26" i="22"/>
  <c r="I81" i="22"/>
  <c r="M81" i="22" s="1"/>
  <c r="T24" i="22"/>
  <c r="V24" i="22" s="1"/>
  <c r="I84" i="22"/>
  <c r="M84" i="22" s="1"/>
  <c r="T27" i="22"/>
  <c r="V27" i="22" s="1"/>
  <c r="I75" i="22"/>
  <c r="T18" i="22"/>
  <c r="L87" i="22"/>
  <c r="I74" i="22"/>
  <c r="M74" i="22" s="1"/>
  <c r="T17" i="22"/>
  <c r="S24" i="22"/>
  <c r="I76" i="22"/>
  <c r="M76" i="22" s="1"/>
  <c r="T19" i="22"/>
  <c r="S18" i="22"/>
  <c r="L83" i="22"/>
  <c r="I82" i="22"/>
  <c r="M82" i="22" s="1"/>
  <c r="T25" i="22"/>
  <c r="I73" i="22"/>
  <c r="T16" i="22"/>
  <c r="I80" i="22"/>
  <c r="M80" i="22" s="1"/>
  <c r="T23" i="22"/>
  <c r="S29" i="22"/>
  <c r="I78" i="22"/>
  <c r="M78" i="22" s="1"/>
  <c r="T21" i="22"/>
  <c r="V42" i="22"/>
  <c r="I87" i="22"/>
  <c r="M87" i="22" s="1"/>
  <c r="T30" i="22"/>
  <c r="I79" i="22"/>
  <c r="M79" i="22" s="1"/>
  <c r="T22" i="22"/>
  <c r="I85" i="22"/>
  <c r="M85" i="22" s="1"/>
  <c r="T28" i="22"/>
  <c r="I77" i="22"/>
  <c r="M77" i="22" s="1"/>
  <c r="T20" i="22"/>
  <c r="S23" i="22"/>
  <c r="I83" i="22"/>
  <c r="M83" i="22" s="1"/>
  <c r="T26" i="22"/>
  <c r="I86" i="22"/>
  <c r="M86" i="22" s="1"/>
  <c r="T29" i="22"/>
  <c r="U29" i="22" s="1"/>
  <c r="I72" i="22"/>
  <c r="M72" i="22" s="1"/>
  <c r="T15" i="22"/>
  <c r="P32" i="20"/>
  <c r="J55" i="20"/>
  <c r="L55" i="20" s="1"/>
  <c r="I55" i="20"/>
  <c r="K55" i="20" s="1"/>
  <c r="I112" i="21"/>
  <c r="J110" i="21"/>
  <c r="J112" i="21" s="1"/>
  <c r="I70" i="21"/>
  <c r="Y32" i="21"/>
  <c r="AA32" i="21"/>
  <c r="AC35" i="21"/>
  <c r="Y29" i="21"/>
  <c r="AC29" i="21"/>
  <c r="Z30" i="21"/>
  <c r="I91" i="21"/>
  <c r="J91" i="21"/>
  <c r="AB35" i="21"/>
  <c r="AP32" i="21"/>
  <c r="K41" i="21"/>
  <c r="L41" i="21"/>
  <c r="Q38" i="21"/>
  <c r="U38" i="21" s="1"/>
  <c r="D35" i="21" s="1"/>
  <c r="C38" i="21"/>
  <c r="D34" i="21" s="1"/>
  <c r="AB29" i="21"/>
  <c r="Z33" i="21"/>
  <c r="AA29" i="21"/>
  <c r="Z29" i="21"/>
  <c r="Z32" i="21"/>
  <c r="AA34" i="21"/>
  <c r="O38" i="21"/>
  <c r="S38" i="21" s="1"/>
  <c r="AO30" i="21" s="1"/>
  <c r="AD33" i="21"/>
  <c r="AD30" i="21"/>
  <c r="AD34" i="21"/>
  <c r="AD35" i="21"/>
  <c r="AD37" i="21"/>
  <c r="AD36" i="21"/>
  <c r="AD32" i="21"/>
  <c r="AD31" i="21"/>
  <c r="AA30" i="21"/>
  <c r="AC34" i="21"/>
  <c r="Z34" i="21"/>
  <c r="J41" i="21"/>
  <c r="J38" i="21"/>
  <c r="AD39" i="21" s="1"/>
  <c r="AC36" i="21"/>
  <c r="AB36" i="21"/>
  <c r="W36" i="21"/>
  <c r="AC32" i="21"/>
  <c r="AB32" i="21"/>
  <c r="W32" i="21"/>
  <c r="R36" i="21"/>
  <c r="S44" i="21" s="1"/>
  <c r="AA31" i="21"/>
  <c r="Z31" i="21"/>
  <c r="V31" i="21"/>
  <c r="AA37" i="21"/>
  <c r="Z37" i="21"/>
  <c r="V37" i="21"/>
  <c r="AA33" i="21"/>
  <c r="AC37" i="21"/>
  <c r="AB37" i="21"/>
  <c r="W37" i="21"/>
  <c r="AC33" i="21"/>
  <c r="AB33" i="21"/>
  <c r="W33" i="21"/>
  <c r="R35" i="21"/>
  <c r="S43" i="21" s="1"/>
  <c r="AC31" i="21"/>
  <c r="AB31" i="21"/>
  <c r="W31" i="21"/>
  <c r="AC30" i="21"/>
  <c r="AB30" i="21"/>
  <c r="W30" i="21"/>
  <c r="AB34" i="21"/>
  <c r="P40" i="20"/>
  <c r="J40" i="20"/>
  <c r="L40" i="20" s="1"/>
  <c r="M40" i="20" s="1"/>
  <c r="N40" i="20" s="1"/>
  <c r="Z58" i="20" s="1"/>
  <c r="V58" i="20" s="1"/>
  <c r="M42" i="20"/>
  <c r="N42" i="20" s="1"/>
  <c r="O43" i="20"/>
  <c r="T59" i="20" s="1"/>
  <c r="O51" i="20"/>
  <c r="N51" i="20"/>
  <c r="I41" i="20"/>
  <c r="K41" i="20" s="1"/>
  <c r="O53" i="20"/>
  <c r="N53" i="20"/>
  <c r="S69" i="20" s="1"/>
  <c r="J45" i="20"/>
  <c r="L45" i="20" s="1"/>
  <c r="P45" i="20"/>
  <c r="I45" i="20"/>
  <c r="K45" i="20" s="1"/>
  <c r="I46" i="20"/>
  <c r="K46" i="20" s="1"/>
  <c r="P46" i="20"/>
  <c r="Q47" i="20" s="1"/>
  <c r="J46" i="20"/>
  <c r="L46" i="20" s="1"/>
  <c r="I44" i="20"/>
  <c r="K44" i="20" s="1"/>
  <c r="P44" i="20"/>
  <c r="J44" i="20"/>
  <c r="L44" i="20" s="1"/>
  <c r="J47" i="20"/>
  <c r="L47" i="20" s="1"/>
  <c r="I47" i="20"/>
  <c r="K47" i="20" s="1"/>
  <c r="I48" i="20"/>
  <c r="K48" i="20" s="1"/>
  <c r="P48" i="20"/>
  <c r="J48" i="20"/>
  <c r="L48" i="20" s="1"/>
  <c r="I50" i="20"/>
  <c r="K50" i="20" s="1"/>
  <c r="P50" i="20"/>
  <c r="J50" i="20"/>
  <c r="L50" i="20" s="1"/>
  <c r="I52" i="20"/>
  <c r="K52" i="20" s="1"/>
  <c r="P52" i="20"/>
  <c r="J52" i="20"/>
  <c r="L52" i="20" s="1"/>
  <c r="I54" i="20"/>
  <c r="K54" i="20" s="1"/>
  <c r="P54" i="20"/>
  <c r="J54" i="20"/>
  <c r="L54" i="20" s="1"/>
  <c r="I56" i="20"/>
  <c r="K56" i="20" s="1"/>
  <c r="P56" i="20"/>
  <c r="P58" i="20" s="1"/>
  <c r="J56" i="20"/>
  <c r="L56" i="20" s="1"/>
  <c r="P43" i="20"/>
  <c r="P49" i="20"/>
  <c r="P51" i="20"/>
  <c r="P53" i="20"/>
  <c r="P55" i="20"/>
  <c r="X35" i="21" l="1"/>
  <c r="Y43" i="21" s="1"/>
  <c r="U43" i="21"/>
  <c r="V34" i="21"/>
  <c r="W42" i="21" s="1"/>
  <c r="S42" i="21"/>
  <c r="V33" i="21"/>
  <c r="W41" i="21" s="1"/>
  <c r="S41" i="21"/>
  <c r="X33" i="21"/>
  <c r="Y41" i="21" s="1"/>
  <c r="U41" i="21"/>
  <c r="S67" i="20"/>
  <c r="X36" i="21"/>
  <c r="Y44" i="21" s="1"/>
  <c r="U44" i="21"/>
  <c r="X34" i="21"/>
  <c r="Y42" i="21" s="1"/>
  <c r="U42" i="21"/>
  <c r="P41" i="20"/>
  <c r="F76" i="20" s="1"/>
  <c r="H76" i="20" s="1"/>
  <c r="L74" i="22"/>
  <c r="T69" i="20"/>
  <c r="T67" i="20"/>
  <c r="Z67" i="20"/>
  <c r="V67" i="20" s="1"/>
  <c r="I113" i="21"/>
  <c r="AA71" i="20"/>
  <c r="Y71" i="20" s="1"/>
  <c r="W71" i="20" s="1"/>
  <c r="X71" i="20" s="1"/>
  <c r="Z71" i="20"/>
  <c r="V71" i="20" s="1"/>
  <c r="AA69" i="20"/>
  <c r="Y69" i="20" s="1"/>
  <c r="W69" i="20" s="1"/>
  <c r="X69" i="20" s="1"/>
  <c r="Z69" i="20"/>
  <c r="V69" i="20" s="1"/>
  <c r="S59" i="20"/>
  <c r="AA61" i="20" s="1"/>
  <c r="Y61" i="20" s="1"/>
  <c r="W61" i="20" s="1"/>
  <c r="X61" i="20" s="1"/>
  <c r="M45" i="20"/>
  <c r="N45" i="20" s="1"/>
  <c r="Z63" i="20" s="1"/>
  <c r="V63" i="20" s="1"/>
  <c r="M48" i="20"/>
  <c r="N48" i="20" s="1"/>
  <c r="Q46" i="20"/>
  <c r="O49" i="20"/>
  <c r="Q42" i="20"/>
  <c r="Q45" i="20"/>
  <c r="L78" i="22"/>
  <c r="P78" i="22" s="1"/>
  <c r="O46" i="22"/>
  <c r="P82" i="22"/>
  <c r="V16" i="22"/>
  <c r="U27" i="22"/>
  <c r="P79" i="22"/>
  <c r="P81" i="22"/>
  <c r="L75" i="22"/>
  <c r="P75" i="22" s="1"/>
  <c r="P74" i="22"/>
  <c r="V17" i="22"/>
  <c r="U17" i="22"/>
  <c r="U16" i="22"/>
  <c r="P85" i="22"/>
  <c r="V41" i="22"/>
  <c r="U41" i="22"/>
  <c r="O41" i="22" s="1"/>
  <c r="V21" i="22"/>
  <c r="U21" i="22"/>
  <c r="P84" i="22"/>
  <c r="P80" i="22"/>
  <c r="P77" i="22"/>
  <c r="U15" i="22"/>
  <c r="V30" i="22"/>
  <c r="V19" i="22"/>
  <c r="U22" i="22"/>
  <c r="U30" i="22"/>
  <c r="V18" i="22"/>
  <c r="U23" i="22"/>
  <c r="U19" i="22"/>
  <c r="V29" i="22"/>
  <c r="P76" i="22"/>
  <c r="P87" i="22"/>
  <c r="M75" i="22"/>
  <c r="V28" i="22"/>
  <c r="V26" i="22"/>
  <c r="P83" i="22"/>
  <c r="V15" i="22"/>
  <c r="U20" i="22"/>
  <c r="U28" i="22"/>
  <c r="P86" i="22"/>
  <c r="V23" i="22"/>
  <c r="U18" i="22"/>
  <c r="U24" i="22"/>
  <c r="P72" i="22"/>
  <c r="U26" i="22"/>
  <c r="V20" i="22"/>
  <c r="U25" i="22"/>
  <c r="V22" i="22"/>
  <c r="M73" i="22"/>
  <c r="V25" i="22"/>
  <c r="M56" i="20"/>
  <c r="M54" i="20"/>
  <c r="N54" i="20" s="1"/>
  <c r="M55" i="20"/>
  <c r="L60" i="21"/>
  <c r="J68" i="21" s="1"/>
  <c r="J70" i="21" s="1"/>
  <c r="I71" i="21" s="1"/>
  <c r="I92" i="21"/>
  <c r="Y38" i="21"/>
  <c r="AP34" i="21"/>
  <c r="D31" i="21"/>
  <c r="AE36" i="21"/>
  <c r="AK36" i="21" s="1"/>
  <c r="AE31" i="21"/>
  <c r="AK31" i="21" s="1"/>
  <c r="AE34" i="21"/>
  <c r="AK34" i="21" s="1"/>
  <c r="AE37" i="21"/>
  <c r="AL37" i="21" s="1"/>
  <c r="AA36" i="21"/>
  <c r="Z36" i="21"/>
  <c r="V36" i="21"/>
  <c r="W44" i="21" s="1"/>
  <c r="N38" i="21"/>
  <c r="AE35" i="21"/>
  <c r="AE33" i="21"/>
  <c r="Z43" i="21"/>
  <c r="AC38" i="21"/>
  <c r="W38" i="21"/>
  <c r="L61" i="21" s="1"/>
  <c r="AA35" i="21"/>
  <c r="Z35" i="21"/>
  <c r="V35" i="21"/>
  <c r="W43" i="21" s="1"/>
  <c r="AE32" i="21"/>
  <c r="AE29" i="21"/>
  <c r="AE30" i="21"/>
  <c r="AO32" i="21" s="1"/>
  <c r="AQ32" i="21" s="1"/>
  <c r="P38" i="21"/>
  <c r="T38" i="21" s="1"/>
  <c r="X38" i="21" s="1"/>
  <c r="F81" i="20"/>
  <c r="H81" i="20" s="1"/>
  <c r="X53" i="20"/>
  <c r="I88" i="20"/>
  <c r="R53" i="20"/>
  <c r="Y53" i="20" s="1"/>
  <c r="X43" i="20"/>
  <c r="R43" i="20"/>
  <c r="Y43" i="20" s="1"/>
  <c r="I78" i="20"/>
  <c r="F75" i="20"/>
  <c r="H75" i="20" s="1"/>
  <c r="Q40" i="20"/>
  <c r="E10" i="20" s="1"/>
  <c r="F86" i="20"/>
  <c r="H86" i="20" s="1"/>
  <c r="Q51" i="20"/>
  <c r="F84" i="20"/>
  <c r="H84" i="20" s="1"/>
  <c r="Q49" i="20"/>
  <c r="Q50" i="20"/>
  <c r="F85" i="20"/>
  <c r="H85" i="20" s="1"/>
  <c r="F90" i="20"/>
  <c r="H90" i="20" s="1"/>
  <c r="Q55" i="20"/>
  <c r="F78" i="20"/>
  <c r="H78" i="20" s="1"/>
  <c r="Q43" i="20"/>
  <c r="Q52" i="20"/>
  <c r="F87" i="20"/>
  <c r="H87" i="20" s="1"/>
  <c r="M50" i="20"/>
  <c r="M47" i="20"/>
  <c r="Q44" i="20"/>
  <c r="F79" i="20"/>
  <c r="H79" i="20" s="1"/>
  <c r="M46" i="20"/>
  <c r="F80" i="20"/>
  <c r="H80" i="20" s="1"/>
  <c r="F88" i="20"/>
  <c r="H88" i="20" s="1"/>
  <c r="Q53" i="20"/>
  <c r="Q54" i="20"/>
  <c r="F89" i="20"/>
  <c r="H89" i="20" s="1"/>
  <c r="M52" i="20"/>
  <c r="F82" i="20"/>
  <c r="H82" i="20" s="1"/>
  <c r="M44" i="20"/>
  <c r="M41" i="20"/>
  <c r="N41" i="20" s="1"/>
  <c r="Z59" i="20" s="1"/>
  <c r="V59" i="20" s="1"/>
  <c r="X51" i="20"/>
  <c r="R51" i="20"/>
  <c r="Y51" i="20" s="1"/>
  <c r="I86" i="20"/>
  <c r="O42" i="20"/>
  <c r="Z60" i="20"/>
  <c r="V60" i="20" s="1"/>
  <c r="X49" i="20"/>
  <c r="I84" i="20"/>
  <c r="Q48" i="20"/>
  <c r="F83" i="20"/>
  <c r="H83" i="20" s="1"/>
  <c r="O45" i="20" l="1"/>
  <c r="T61" i="20" s="1"/>
  <c r="Q41" i="20"/>
  <c r="L73" i="22"/>
  <c r="P73" i="22" s="1"/>
  <c r="Z72" i="20"/>
  <c r="V72" i="20" s="1"/>
  <c r="AA67" i="20"/>
  <c r="Y67" i="20" s="1"/>
  <c r="W67" i="20" s="1"/>
  <c r="X67" i="20" s="1"/>
  <c r="T65" i="20"/>
  <c r="D15" i="20"/>
  <c r="P15" i="20" s="1"/>
  <c r="Q15" i="20" s="1"/>
  <c r="J11" i="20" s="1"/>
  <c r="E11" i="20"/>
  <c r="Z66" i="20"/>
  <c r="V66" i="20" s="1"/>
  <c r="S65" i="20"/>
  <c r="T58" i="20"/>
  <c r="R49" i="20"/>
  <c r="Y49" i="20" s="1"/>
  <c r="X42" i="20"/>
  <c r="S58" i="20"/>
  <c r="AA60" i="20" s="1"/>
  <c r="Y60" i="20" s="1"/>
  <c r="W60" i="20" s="1"/>
  <c r="X60" i="20" s="1"/>
  <c r="O48" i="20"/>
  <c r="O54" i="20"/>
  <c r="S70" i="20" s="1"/>
  <c r="T43" i="20"/>
  <c r="T51" i="20"/>
  <c r="S51" i="20"/>
  <c r="Z51" i="20" s="1"/>
  <c r="O55" i="20"/>
  <c r="N55" i="20"/>
  <c r="AL36" i="21"/>
  <c r="AM36" i="21" s="1"/>
  <c r="AI31" i="21"/>
  <c r="AI36" i="21"/>
  <c r="AI34" i="21"/>
  <c r="AK37" i="21"/>
  <c r="AM37" i="21" s="1"/>
  <c r="AI33" i="21"/>
  <c r="AL33" i="21"/>
  <c r="AK33" i="21"/>
  <c r="AL34" i="21"/>
  <c r="AM34" i="21" s="1"/>
  <c r="AO34" i="21"/>
  <c r="Z41" i="21"/>
  <c r="AB38" i="21"/>
  <c r="AI37" i="21"/>
  <c r="AL31" i="21"/>
  <c r="AM31" i="21" s="1"/>
  <c r="AI32" i="21"/>
  <c r="AL32" i="21"/>
  <c r="AK32" i="21"/>
  <c r="Z42" i="21"/>
  <c r="AI30" i="21"/>
  <c r="AL30" i="21"/>
  <c r="AK30" i="21"/>
  <c r="R38" i="21"/>
  <c r="AI35" i="21"/>
  <c r="AL35" i="21"/>
  <c r="AK35" i="21"/>
  <c r="I77" i="20"/>
  <c r="R42" i="20"/>
  <c r="Y42" i="20" s="1"/>
  <c r="T49" i="20"/>
  <c r="J86" i="20"/>
  <c r="O41" i="20"/>
  <c r="T57" i="20" s="1"/>
  <c r="N46" i="20"/>
  <c r="O46" i="20"/>
  <c r="T62" i="20" s="1"/>
  <c r="N50" i="20"/>
  <c r="S66" i="20" s="1"/>
  <c r="O50" i="20"/>
  <c r="X45" i="20"/>
  <c r="I80" i="20"/>
  <c r="R45" i="20"/>
  <c r="Y45" i="20" s="1"/>
  <c r="T53" i="20"/>
  <c r="P31" i="20"/>
  <c r="P33" i="20" s="1"/>
  <c r="D30" i="20"/>
  <c r="D28" i="20"/>
  <c r="D26" i="20"/>
  <c r="D24" i="20"/>
  <c r="D22" i="20"/>
  <c r="D20" i="20"/>
  <c r="D18" i="20"/>
  <c r="D16" i="20"/>
  <c r="D17" i="20"/>
  <c r="D27" i="20"/>
  <c r="D23" i="20"/>
  <c r="D19" i="20"/>
  <c r="D29" i="20"/>
  <c r="D25" i="20"/>
  <c r="D21" i="20"/>
  <c r="S43" i="20"/>
  <c r="Z43" i="20" s="1"/>
  <c r="S53" i="20"/>
  <c r="Z53" i="20" s="1"/>
  <c r="N52" i="20"/>
  <c r="S68" i="20" s="1"/>
  <c r="O52" i="20"/>
  <c r="I89" i="20"/>
  <c r="X54" i="20"/>
  <c r="N44" i="20"/>
  <c r="O44" i="20"/>
  <c r="O40" i="20"/>
  <c r="O47" i="20"/>
  <c r="N47" i="20"/>
  <c r="I83" i="20"/>
  <c r="X48" i="20"/>
  <c r="S61" i="20" l="1"/>
  <c r="AA63" i="20" s="1"/>
  <c r="Y63" i="20" s="1"/>
  <c r="W63" i="20" s="1"/>
  <c r="X63" i="20" s="1"/>
  <c r="T71" i="20"/>
  <c r="T64" i="20"/>
  <c r="Z64" i="20"/>
  <c r="V64" i="20" s="1"/>
  <c r="S62" i="20"/>
  <c r="S71" i="20"/>
  <c r="AA73" i="20" s="1"/>
  <c r="Y73" i="20" s="1"/>
  <c r="W73" i="20" s="1"/>
  <c r="X73" i="20" s="1"/>
  <c r="T68" i="20"/>
  <c r="T66" i="20"/>
  <c r="AA72" i="20"/>
  <c r="Y72" i="20" s="1"/>
  <c r="W72" i="20" s="1"/>
  <c r="X72" i="20" s="1"/>
  <c r="T70" i="20"/>
  <c r="S64" i="20"/>
  <c r="AA66" i="20" s="1"/>
  <c r="Y66" i="20" s="1"/>
  <c r="W66" i="20" s="1"/>
  <c r="X66" i="20" s="1"/>
  <c r="T63" i="20"/>
  <c r="Z65" i="20"/>
  <c r="V65" i="20" s="1"/>
  <c r="S63" i="20"/>
  <c r="AA65" i="20" s="1"/>
  <c r="Y65" i="20" s="1"/>
  <c r="W65" i="20" s="1"/>
  <c r="X65" i="20" s="1"/>
  <c r="S49" i="20"/>
  <c r="Z49" i="20" s="1"/>
  <c r="AA49" i="20" s="1"/>
  <c r="AB49" i="20" s="1"/>
  <c r="S60" i="20"/>
  <c r="AA62" i="20" s="1"/>
  <c r="Y62" i="20" s="1"/>
  <c r="W62" i="20" s="1"/>
  <c r="X62" i="20" s="1"/>
  <c r="Z62" i="20"/>
  <c r="V62" i="20" s="1"/>
  <c r="Z73" i="20"/>
  <c r="V73" i="20" s="1"/>
  <c r="AA70" i="20"/>
  <c r="Y70" i="20" s="1"/>
  <c r="W70" i="20" s="1"/>
  <c r="X70" i="20" s="1"/>
  <c r="Z70" i="20"/>
  <c r="V70" i="20" s="1"/>
  <c r="AA68" i="20"/>
  <c r="Y68" i="20" s="1"/>
  <c r="W68" i="20" s="1"/>
  <c r="X68" i="20" s="1"/>
  <c r="Z68" i="20"/>
  <c r="V68" i="20" s="1"/>
  <c r="T60" i="20"/>
  <c r="AA64" i="20"/>
  <c r="Y64" i="20" s="1"/>
  <c r="W64" i="20" s="1"/>
  <c r="X64" i="20" s="1"/>
  <c r="R48" i="20"/>
  <c r="Y48" i="20" s="1"/>
  <c r="S57" i="20"/>
  <c r="AA59" i="20" s="1"/>
  <c r="Y59" i="20" s="1"/>
  <c r="W59" i="20" s="1"/>
  <c r="X59" i="20" s="1"/>
  <c r="R40" i="20"/>
  <c r="Y40" i="20" s="1"/>
  <c r="T56" i="20"/>
  <c r="S56" i="20"/>
  <c r="AA58" i="20" s="1"/>
  <c r="Y58" i="20" s="1"/>
  <c r="W58" i="20" s="1"/>
  <c r="X58" i="20" s="1"/>
  <c r="R54" i="20"/>
  <c r="Y54" i="20" s="1"/>
  <c r="AA43" i="20"/>
  <c r="AB43" i="20" s="1"/>
  <c r="AB61" i="20"/>
  <c r="AC61" i="20" s="1"/>
  <c r="AD61" i="20" s="1"/>
  <c r="AA53" i="20"/>
  <c r="AB53" i="20" s="1"/>
  <c r="AB71" i="20"/>
  <c r="AC71" i="20" s="1"/>
  <c r="AD71" i="20" s="1"/>
  <c r="AB67" i="20"/>
  <c r="AC67" i="20" s="1"/>
  <c r="AD67" i="20" s="1"/>
  <c r="AA51" i="20"/>
  <c r="AB51" i="20" s="1"/>
  <c r="AB69" i="20"/>
  <c r="AC69" i="20" s="1"/>
  <c r="AD69" i="20" s="1"/>
  <c r="T45" i="20"/>
  <c r="R55" i="20"/>
  <c r="Y55" i="20" s="1"/>
  <c r="I90" i="20"/>
  <c r="X55" i="20"/>
  <c r="AM33" i="21"/>
  <c r="AM30" i="21"/>
  <c r="AM35" i="21"/>
  <c r="AM32" i="21"/>
  <c r="AQ34" i="21"/>
  <c r="AA38" i="21"/>
  <c r="Z38" i="21"/>
  <c r="V38" i="21"/>
  <c r="X47" i="20"/>
  <c r="R47" i="20"/>
  <c r="Y47" i="20" s="1"/>
  <c r="I82" i="20"/>
  <c r="P23" i="20"/>
  <c r="O23" i="20"/>
  <c r="N23" i="20"/>
  <c r="N25" i="20"/>
  <c r="P25" i="20"/>
  <c r="O25" i="20"/>
  <c r="P27" i="20"/>
  <c r="O27" i="20"/>
  <c r="N27" i="20"/>
  <c r="P24" i="20"/>
  <c r="O24" i="20"/>
  <c r="N24" i="20"/>
  <c r="I79" i="20"/>
  <c r="R44" i="20"/>
  <c r="Y44" i="20" s="1"/>
  <c r="X44" i="20"/>
  <c r="J88" i="20"/>
  <c r="N29" i="20"/>
  <c r="P29" i="20"/>
  <c r="O29" i="20"/>
  <c r="P18" i="20"/>
  <c r="N18" i="20"/>
  <c r="O18" i="20"/>
  <c r="P26" i="20"/>
  <c r="N26" i="20"/>
  <c r="O26" i="20"/>
  <c r="S45" i="20"/>
  <c r="Z45" i="20" s="1"/>
  <c r="S42" i="20"/>
  <c r="I75" i="20"/>
  <c r="X40" i="20"/>
  <c r="T42" i="20"/>
  <c r="J78" i="20"/>
  <c r="P19" i="20"/>
  <c r="O19" i="20"/>
  <c r="N19" i="20"/>
  <c r="N17" i="20"/>
  <c r="P17" i="20"/>
  <c r="O17" i="20"/>
  <c r="P20" i="20"/>
  <c r="N20" i="20"/>
  <c r="O20" i="20"/>
  <c r="P28" i="20"/>
  <c r="O28" i="20"/>
  <c r="N28" i="20"/>
  <c r="I81" i="20"/>
  <c r="R46" i="20"/>
  <c r="Y46" i="20" s="1"/>
  <c r="X46" i="20"/>
  <c r="P21" i="20"/>
  <c r="O21" i="20"/>
  <c r="N21" i="20"/>
  <c r="N15" i="20"/>
  <c r="O15" i="20"/>
  <c r="N22" i="20"/>
  <c r="P22" i="20"/>
  <c r="O22" i="20"/>
  <c r="P30" i="20"/>
  <c r="N30" i="20"/>
  <c r="O30" i="20"/>
  <c r="I76" i="20"/>
  <c r="X41" i="20"/>
  <c r="R41" i="20"/>
  <c r="Y41" i="20" s="1"/>
  <c r="I87" i="20"/>
  <c r="R52" i="20"/>
  <c r="Y52" i="20" s="1"/>
  <c r="X52" i="20"/>
  <c r="P16" i="20"/>
  <c r="Q16" i="20" s="1"/>
  <c r="N16" i="20"/>
  <c r="O16" i="20"/>
  <c r="I85" i="20"/>
  <c r="R50" i="20"/>
  <c r="Y50" i="20" s="1"/>
  <c r="X50" i="20"/>
  <c r="J84" i="20" l="1"/>
  <c r="S54" i="20"/>
  <c r="J89" i="20" s="1"/>
  <c r="T40" i="20"/>
  <c r="T48" i="20"/>
  <c r="S48" i="20"/>
  <c r="AB58" i="20"/>
  <c r="AC58" i="20" s="1"/>
  <c r="AD58" i="20" s="1"/>
  <c r="T54" i="20"/>
  <c r="S41" i="20"/>
  <c r="Z41" i="20" s="1"/>
  <c r="T47" i="20"/>
  <c r="AA45" i="20"/>
  <c r="AB45" i="20" s="1"/>
  <c r="AB63" i="20"/>
  <c r="AC63" i="20" s="1"/>
  <c r="AD63" i="20" s="1"/>
  <c r="AB72" i="20"/>
  <c r="AC72" i="20" s="1"/>
  <c r="AD72" i="20" s="1"/>
  <c r="AB66" i="20"/>
  <c r="AC66" i="20" s="1"/>
  <c r="AD66" i="20" s="1"/>
  <c r="T41" i="20"/>
  <c r="U43" i="20"/>
  <c r="V43" i="20" s="1"/>
  <c r="Z42" i="20"/>
  <c r="S52" i="20"/>
  <c r="Z52" i="20" s="1"/>
  <c r="S50" i="20"/>
  <c r="J85" i="20" s="1"/>
  <c r="Q25" i="20"/>
  <c r="Q19" i="20"/>
  <c r="Q24" i="20"/>
  <c r="Q29" i="20"/>
  <c r="Q27" i="20"/>
  <c r="S47" i="20"/>
  <c r="Q22" i="20"/>
  <c r="S46" i="20"/>
  <c r="T46" i="20"/>
  <c r="Q30" i="20"/>
  <c r="T55" i="20"/>
  <c r="S55" i="20"/>
  <c r="Z55" i="20" s="1"/>
  <c r="Z44" i="21"/>
  <c r="AD40" i="21"/>
  <c r="AD41" i="21" s="1"/>
  <c r="Q20" i="20"/>
  <c r="Q18" i="20"/>
  <c r="G79" i="20"/>
  <c r="K79" i="20" s="1"/>
  <c r="X19" i="20"/>
  <c r="R19" i="20"/>
  <c r="Y19" i="20" s="1"/>
  <c r="G86" i="20"/>
  <c r="X26" i="20"/>
  <c r="R26" i="20"/>
  <c r="Y26" i="20" s="1"/>
  <c r="G76" i="20"/>
  <c r="K76" i="20" s="1"/>
  <c r="X16" i="20"/>
  <c r="R16" i="20"/>
  <c r="Y16" i="20" s="1"/>
  <c r="T50" i="20"/>
  <c r="G75" i="20"/>
  <c r="K75" i="20" s="1"/>
  <c r="X15" i="20"/>
  <c r="R15" i="20"/>
  <c r="Y15" i="20" s="1"/>
  <c r="Q21" i="20"/>
  <c r="Q28" i="20"/>
  <c r="S40" i="20"/>
  <c r="J77" i="20"/>
  <c r="J80" i="20"/>
  <c r="Q26" i="20"/>
  <c r="Q23" i="20"/>
  <c r="Q17" i="20"/>
  <c r="S44" i="20"/>
  <c r="Z44" i="20" s="1"/>
  <c r="G87" i="20"/>
  <c r="K87" i="20" s="1"/>
  <c r="X27" i="20"/>
  <c r="R27" i="20"/>
  <c r="Y27" i="20" s="1"/>
  <c r="T44" i="20"/>
  <c r="T52" i="20"/>
  <c r="G90" i="20"/>
  <c r="X30" i="20"/>
  <c r="R30" i="20"/>
  <c r="Y30" i="20" s="1"/>
  <c r="G82" i="20"/>
  <c r="K82" i="20" s="1"/>
  <c r="X22" i="20"/>
  <c r="R22" i="20"/>
  <c r="Y22" i="20" s="1"/>
  <c r="G81" i="20"/>
  <c r="K81" i="20" s="1"/>
  <c r="X21" i="20"/>
  <c r="R21" i="20"/>
  <c r="Y21" i="20" s="1"/>
  <c r="G88" i="20"/>
  <c r="K88" i="20" s="1"/>
  <c r="X28" i="20"/>
  <c r="R28" i="20"/>
  <c r="Y28" i="20" s="1"/>
  <c r="G80" i="20"/>
  <c r="K80" i="20" s="1"/>
  <c r="X20" i="20"/>
  <c r="R20" i="20"/>
  <c r="Y20" i="20" s="1"/>
  <c r="G77" i="20"/>
  <c r="K77" i="20" s="1"/>
  <c r="R17" i="20"/>
  <c r="Y17" i="20" s="1"/>
  <c r="X17" i="20"/>
  <c r="G78" i="20"/>
  <c r="K78" i="20" s="1"/>
  <c r="X18" i="20"/>
  <c r="R18" i="20"/>
  <c r="Y18" i="20" s="1"/>
  <c r="G89" i="20"/>
  <c r="K89" i="20" s="1"/>
  <c r="X29" i="20"/>
  <c r="R29" i="20"/>
  <c r="Y29" i="20" s="1"/>
  <c r="G84" i="20"/>
  <c r="K84" i="20" s="1"/>
  <c r="X24" i="20"/>
  <c r="R24" i="20"/>
  <c r="Y24" i="20" s="1"/>
  <c r="G85" i="20"/>
  <c r="K85" i="20" s="1"/>
  <c r="X25" i="20"/>
  <c r="R25" i="20"/>
  <c r="Y25" i="20" s="1"/>
  <c r="G83" i="20"/>
  <c r="K83" i="20" s="1"/>
  <c r="R23" i="20"/>
  <c r="Y23" i="20" s="1"/>
  <c r="X23" i="20"/>
  <c r="Z54" i="20" l="1"/>
  <c r="AA54" i="20" s="1"/>
  <c r="AB54" i="20" s="1"/>
  <c r="U54" i="20"/>
  <c r="V54" i="20" s="1"/>
  <c r="U50" i="20"/>
  <c r="V50" i="20" s="1"/>
  <c r="Z48" i="20"/>
  <c r="AA48" i="20" s="1"/>
  <c r="AB48" i="20" s="1"/>
  <c r="U49" i="20"/>
  <c r="V49" i="20" s="1"/>
  <c r="J83" i="20"/>
  <c r="L83" i="20" s="1"/>
  <c r="AA55" i="20"/>
  <c r="AB55" i="20" s="1"/>
  <c r="AB73" i="20"/>
  <c r="AC73" i="20" s="1"/>
  <c r="AD73" i="20" s="1"/>
  <c r="AA41" i="20"/>
  <c r="AB41" i="20" s="1"/>
  <c r="AB59" i="20"/>
  <c r="AC59" i="20" s="1"/>
  <c r="AD59" i="20" s="1"/>
  <c r="AA42" i="20"/>
  <c r="AB42" i="20" s="1"/>
  <c r="AB60" i="20"/>
  <c r="AC60" i="20" s="1"/>
  <c r="AD60" i="20" s="1"/>
  <c r="U42" i="20"/>
  <c r="V42" i="20" s="1"/>
  <c r="AA52" i="20"/>
  <c r="AB52" i="20" s="1"/>
  <c r="AB70" i="20"/>
  <c r="AC70" i="20" s="1"/>
  <c r="AD70" i="20" s="1"/>
  <c r="AA44" i="20"/>
  <c r="AB44" i="20" s="1"/>
  <c r="AB62" i="20"/>
  <c r="AC62" i="20" s="1"/>
  <c r="AD62" i="20" s="1"/>
  <c r="J87" i="20"/>
  <c r="L87" i="20" s="1"/>
  <c r="J75" i="20"/>
  <c r="L75" i="20" s="1"/>
  <c r="Z40" i="20"/>
  <c r="J76" i="20"/>
  <c r="L76" i="20" s="1"/>
  <c r="U48" i="20"/>
  <c r="V48" i="20" s="1"/>
  <c r="Z47" i="20"/>
  <c r="U53" i="20"/>
  <c r="V53" i="20" s="1"/>
  <c r="U52" i="20"/>
  <c r="V52" i="20" s="1"/>
  <c r="U46" i="20"/>
  <c r="V46" i="20" s="1"/>
  <c r="Z46" i="20"/>
  <c r="U51" i="20"/>
  <c r="V51" i="20" s="1"/>
  <c r="Z50" i="20"/>
  <c r="T27" i="20"/>
  <c r="U41" i="20"/>
  <c r="V41" i="20" s="1"/>
  <c r="S25" i="20"/>
  <c r="S15" i="20"/>
  <c r="S24" i="20"/>
  <c r="S18" i="20"/>
  <c r="S29" i="20"/>
  <c r="T25" i="20"/>
  <c r="T15" i="20"/>
  <c r="T16" i="20"/>
  <c r="L84" i="20"/>
  <c r="S16" i="20"/>
  <c r="S26" i="20"/>
  <c r="S27" i="20"/>
  <c r="L77" i="20"/>
  <c r="T24" i="20"/>
  <c r="J82" i="20"/>
  <c r="L82" i="20" s="1"/>
  <c r="J81" i="20"/>
  <c r="L81" i="20" s="1"/>
  <c r="U47" i="20"/>
  <c r="V47" i="20" s="1"/>
  <c r="T29" i="20"/>
  <c r="J90" i="20"/>
  <c r="L90" i="20" s="1"/>
  <c r="U55" i="20"/>
  <c r="V55" i="20" s="1"/>
  <c r="S21" i="20"/>
  <c r="U44" i="20"/>
  <c r="V44" i="20" s="1"/>
  <c r="J79" i="20"/>
  <c r="L79" i="20" s="1"/>
  <c r="U45" i="20"/>
  <c r="V45" i="20" s="1"/>
  <c r="S23" i="20"/>
  <c r="T26" i="20"/>
  <c r="S17" i="20"/>
  <c r="S20" i="20"/>
  <c r="S28" i="20"/>
  <c r="K90" i="20"/>
  <c r="T18" i="20"/>
  <c r="L88" i="20"/>
  <c r="L80" i="20"/>
  <c r="T19" i="20"/>
  <c r="T22" i="20"/>
  <c r="S19" i="20"/>
  <c r="T21" i="20"/>
  <c r="L85" i="20"/>
  <c r="T17" i="20"/>
  <c r="K86" i="20"/>
  <c r="L86" i="20"/>
  <c r="T23" i="20"/>
  <c r="S22" i="20"/>
  <c r="S30" i="20"/>
  <c r="T30" i="20"/>
  <c r="T20" i="20"/>
  <c r="T28" i="20"/>
  <c r="L89" i="20"/>
  <c r="L78" i="20"/>
  <c r="U27" i="20" l="1"/>
  <c r="V27" i="20" s="1"/>
  <c r="AA40" i="20"/>
  <c r="AB40" i="20" s="1"/>
  <c r="U26" i="20"/>
  <c r="V26" i="20" s="1"/>
  <c r="AA46" i="20"/>
  <c r="AB46" i="20" s="1"/>
  <c r="AB64" i="20"/>
  <c r="AC64" i="20" s="1"/>
  <c r="AD64" i="20" s="1"/>
  <c r="AA47" i="20"/>
  <c r="AB47" i="20" s="1"/>
  <c r="AB65" i="20"/>
  <c r="AC65" i="20" s="1"/>
  <c r="AD65" i="20" s="1"/>
  <c r="AA50" i="20"/>
  <c r="AB50" i="20" s="1"/>
  <c r="AB68" i="20"/>
  <c r="AC68" i="20" s="1"/>
  <c r="AD68" i="20" s="1"/>
  <c r="U30" i="20"/>
  <c r="V30" i="20" s="1"/>
  <c r="U16" i="20"/>
  <c r="V16" i="20" s="1"/>
  <c r="U25" i="20"/>
  <c r="V25" i="20" s="1"/>
  <c r="U22" i="20"/>
  <c r="V22" i="20" s="1"/>
  <c r="U24" i="20"/>
  <c r="V24" i="20" s="1"/>
  <c r="U17" i="20"/>
  <c r="V17" i="20" s="1"/>
  <c r="U18" i="20"/>
  <c r="V18" i="20" s="1"/>
  <c r="U19" i="20"/>
  <c r="V19" i="20" s="1"/>
  <c r="U28" i="20"/>
  <c r="V28" i="20" s="1"/>
  <c r="U23" i="20"/>
  <c r="V23" i="20" s="1"/>
  <c r="U20" i="20"/>
  <c r="V20" i="20" s="1"/>
  <c r="U29" i="20"/>
  <c r="V29" i="20" s="1"/>
  <c r="U21" i="20"/>
  <c r="V21" i="20" s="1"/>
  <c r="P132" i="19" l="1"/>
  <c r="R132" i="19"/>
  <c r="P133" i="19"/>
  <c r="R133" i="19"/>
  <c r="Q136" i="19"/>
  <c r="S136" i="19"/>
  <c r="L117" i="19" l="1"/>
  <c r="K117" i="19"/>
  <c r="J117" i="19"/>
  <c r="I117" i="19"/>
  <c r="R109" i="19"/>
  <c r="Q109" i="19"/>
  <c r="Q107" i="19" a="1"/>
  <c r="Q107" i="19" s="1"/>
  <c r="R106" i="19"/>
  <c r="L62" i="19"/>
  <c r="K62" i="19"/>
  <c r="J62" i="19"/>
  <c r="I62" i="19"/>
  <c r="R54" i="19"/>
  <c r="Q54" i="19"/>
  <c r="R53" i="19" a="1"/>
  <c r="R53" i="19" s="1"/>
  <c r="R52" i="19"/>
  <c r="R36" i="19"/>
  <c r="T36" i="19" s="1"/>
  <c r="Q36" i="19"/>
  <c r="S36" i="19" s="1"/>
  <c r="L36" i="19"/>
  <c r="K36" i="19"/>
  <c r="J36" i="19"/>
  <c r="I36" i="19"/>
  <c r="U35" i="19"/>
  <c r="P35" i="19"/>
  <c r="O35" i="19"/>
  <c r="N35" i="19"/>
  <c r="M35" i="19"/>
  <c r="U34" i="19"/>
  <c r="P34" i="19"/>
  <c r="O34" i="19"/>
  <c r="N34" i="19"/>
  <c r="M34" i="19"/>
  <c r="U33" i="19"/>
  <c r="P33" i="19"/>
  <c r="O33" i="19"/>
  <c r="N33" i="19"/>
  <c r="M33" i="19"/>
  <c r="A33" i="19"/>
  <c r="U32" i="19"/>
  <c r="P32" i="19"/>
  <c r="O32" i="19"/>
  <c r="N32" i="19"/>
  <c r="M32" i="19"/>
  <c r="A32" i="19"/>
  <c r="U31" i="19"/>
  <c r="P31" i="19"/>
  <c r="O31" i="19"/>
  <c r="N31" i="19"/>
  <c r="S31" i="19" s="1"/>
  <c r="M31" i="19"/>
  <c r="A31" i="19"/>
  <c r="U30" i="19"/>
  <c r="P30" i="19"/>
  <c r="O30" i="19"/>
  <c r="N30" i="19"/>
  <c r="J130" i="19" s="1"/>
  <c r="M30" i="19"/>
  <c r="I130" i="19" s="1"/>
  <c r="D30" i="19"/>
  <c r="U29" i="19"/>
  <c r="P29" i="19"/>
  <c r="O29" i="19"/>
  <c r="N29" i="19"/>
  <c r="M29" i="19"/>
  <c r="I157" i="19" s="1"/>
  <c r="A29" i="19"/>
  <c r="U28" i="19"/>
  <c r="P28" i="19"/>
  <c r="O28" i="19"/>
  <c r="N28" i="19"/>
  <c r="M28" i="19"/>
  <c r="A28" i="19"/>
  <c r="U27" i="19"/>
  <c r="P27" i="19"/>
  <c r="L76" i="19" s="1"/>
  <c r="O27" i="19"/>
  <c r="J56" i="19" s="1"/>
  <c r="N27" i="19"/>
  <c r="K55" i="19" s="1"/>
  <c r="M27" i="19"/>
  <c r="J55" i="19" s="1"/>
  <c r="A27" i="19"/>
  <c r="U26" i="19"/>
  <c r="P26" i="19"/>
  <c r="L75" i="19" s="1"/>
  <c r="O26" i="19"/>
  <c r="J48" i="19" s="1"/>
  <c r="N26" i="19"/>
  <c r="M26" i="19"/>
  <c r="J47" i="19" s="1"/>
  <c r="A26" i="19"/>
  <c r="U25" i="19"/>
  <c r="P25" i="19"/>
  <c r="O25" i="19"/>
  <c r="N25" i="19"/>
  <c r="M25" i="19"/>
  <c r="A25" i="19"/>
  <c r="U24" i="19"/>
  <c r="P24" i="19"/>
  <c r="O24" i="19"/>
  <c r="N24" i="19"/>
  <c r="M24" i="19"/>
  <c r="U23" i="19"/>
  <c r="V23" i="19" s="1"/>
  <c r="P23" i="19"/>
  <c r="O23" i="19"/>
  <c r="N23" i="19"/>
  <c r="M23" i="19"/>
  <c r="I13" i="19"/>
  <c r="R33" i="19" l="1"/>
  <c r="S29" i="19"/>
  <c r="I71" i="19"/>
  <c r="S25" i="19"/>
  <c r="Q23" i="19"/>
  <c r="C30" i="19"/>
  <c r="J131" i="19"/>
  <c r="B30" i="19"/>
  <c r="S24" i="19"/>
  <c r="Q25" i="19"/>
  <c r="V27" i="19"/>
  <c r="Q31" i="19"/>
  <c r="Q33" i="19"/>
  <c r="V33" i="19"/>
  <c r="I124" i="19"/>
  <c r="I126" i="19"/>
  <c r="L126" i="19"/>
  <c r="J124" i="19"/>
  <c r="J126" i="19"/>
  <c r="K124" i="19"/>
  <c r="K126" i="19"/>
  <c r="L124" i="19"/>
  <c r="R23" i="19"/>
  <c r="V26" i="19"/>
  <c r="Q28" i="19"/>
  <c r="I131" i="19"/>
  <c r="T31" i="19"/>
  <c r="Q32" i="19"/>
  <c r="S34" i="19"/>
  <c r="R28" i="19"/>
  <c r="R35" i="19"/>
  <c r="U36" i="19"/>
  <c r="L158" i="19"/>
  <c r="L134" i="19"/>
  <c r="L130" i="19"/>
  <c r="T28" i="19"/>
  <c r="K158" i="19"/>
  <c r="K134" i="19"/>
  <c r="K135" i="19" s="1"/>
  <c r="K130" i="19"/>
  <c r="T35" i="19"/>
  <c r="K56" i="19"/>
  <c r="K57" i="19" s="1"/>
  <c r="K151" i="19"/>
  <c r="J151" i="19"/>
  <c r="I153" i="19"/>
  <c r="I151" i="19"/>
  <c r="L153" i="19"/>
  <c r="L151" i="19"/>
  <c r="K153" i="19"/>
  <c r="J153" i="19"/>
  <c r="J104" i="19"/>
  <c r="K157" i="19"/>
  <c r="T23" i="19"/>
  <c r="Q24" i="19"/>
  <c r="V24" i="19"/>
  <c r="T25" i="19"/>
  <c r="K104" i="19"/>
  <c r="L157" i="19"/>
  <c r="J111" i="19"/>
  <c r="I158" i="19"/>
  <c r="V30" i="19"/>
  <c r="Q106" i="19" s="1"/>
  <c r="T33" i="19"/>
  <c r="Q34" i="19"/>
  <c r="V34" i="19"/>
  <c r="L71" i="19"/>
  <c r="I69" i="19"/>
  <c r="K69" i="19"/>
  <c r="J69" i="19"/>
  <c r="I75" i="19"/>
  <c r="F26" i="19"/>
  <c r="K111" i="19"/>
  <c r="J158" i="19"/>
  <c r="J164" i="19" s="1"/>
  <c r="S32" i="19"/>
  <c r="Q35" i="19"/>
  <c r="S35" i="19"/>
  <c r="K48" i="19"/>
  <c r="L48" i="19" s="1"/>
  <c r="I76" i="19"/>
  <c r="V28" i="19"/>
  <c r="I15" i="19"/>
  <c r="S23" i="19"/>
  <c r="T24" i="19"/>
  <c r="S28" i="19"/>
  <c r="K103" i="19"/>
  <c r="J157" i="19"/>
  <c r="J163" i="19" s="1"/>
  <c r="V29" i="19"/>
  <c r="V31" i="19"/>
  <c r="T32" i="19"/>
  <c r="S33" i="19"/>
  <c r="T34" i="19"/>
  <c r="V35" i="19"/>
  <c r="N55" i="19"/>
  <c r="J51" i="19"/>
  <c r="J57" i="19"/>
  <c r="L55" i="19"/>
  <c r="J49" i="19"/>
  <c r="J59" i="19"/>
  <c r="T30" i="19"/>
  <c r="R32" i="19"/>
  <c r="V32" i="19"/>
  <c r="K47" i="19"/>
  <c r="K51" i="19" s="1"/>
  <c r="S26" i="19"/>
  <c r="S27" i="19"/>
  <c r="F29" i="19"/>
  <c r="T29" i="19"/>
  <c r="Q30" i="19"/>
  <c r="R31" i="19"/>
  <c r="R34" i="19"/>
  <c r="U37" i="19"/>
  <c r="J70" i="19"/>
  <c r="J71" i="19"/>
  <c r="J75" i="19"/>
  <c r="J76" i="19"/>
  <c r="R25" i="19"/>
  <c r="R26" i="19"/>
  <c r="Q52" i="19"/>
  <c r="F27" i="19"/>
  <c r="Q53" i="19" s="1"/>
  <c r="Q29" i="19"/>
  <c r="R30" i="19"/>
  <c r="N48" i="19"/>
  <c r="K70" i="19"/>
  <c r="K71" i="19"/>
  <c r="K75" i="19"/>
  <c r="K81" i="19" s="1"/>
  <c r="K76" i="19"/>
  <c r="K82" i="19" s="1"/>
  <c r="J103" i="19"/>
  <c r="J112" i="19"/>
  <c r="V25" i="19"/>
  <c r="R27" i="19"/>
  <c r="R24" i="19"/>
  <c r="T26" i="19"/>
  <c r="T27" i="19"/>
  <c r="Q26" i="19"/>
  <c r="Q27" i="19"/>
  <c r="R29" i="19"/>
  <c r="S30" i="19"/>
  <c r="L69" i="19"/>
  <c r="R108" i="19"/>
  <c r="K112" i="19"/>
  <c r="K164" i="19" l="1"/>
  <c r="L57" i="19"/>
  <c r="J72" i="19"/>
  <c r="L70" i="19"/>
  <c r="I70" i="19"/>
  <c r="I72" i="19" s="1"/>
  <c r="L56" i="19"/>
  <c r="N56" i="19"/>
  <c r="K59" i="19"/>
  <c r="K105" i="19"/>
  <c r="L112" i="19"/>
  <c r="A30" i="19"/>
  <c r="F30" i="19"/>
  <c r="J81" i="19"/>
  <c r="N111" i="19"/>
  <c r="L104" i="19"/>
  <c r="R107" i="19" s="1"/>
  <c r="L135" i="19"/>
  <c r="L128" i="19"/>
  <c r="J128" i="19"/>
  <c r="L163" i="19"/>
  <c r="L164" i="19"/>
  <c r="I125" i="19"/>
  <c r="J125" i="19"/>
  <c r="J127" i="19" s="1"/>
  <c r="L125" i="19"/>
  <c r="L127" i="19" s="1"/>
  <c r="K125" i="19"/>
  <c r="K127" i="19" s="1"/>
  <c r="K128" i="19"/>
  <c r="K113" i="19"/>
  <c r="J82" i="19"/>
  <c r="U38" i="19"/>
  <c r="I127" i="19"/>
  <c r="I128" i="19"/>
  <c r="L47" i="19"/>
  <c r="L81" i="19"/>
  <c r="L111" i="19"/>
  <c r="J152" i="19"/>
  <c r="L152" i="19"/>
  <c r="L154" i="19" s="1"/>
  <c r="K152" i="19"/>
  <c r="K154" i="19" s="1"/>
  <c r="I152" i="19"/>
  <c r="I154" i="19" s="1"/>
  <c r="N104" i="19"/>
  <c r="I81" i="19"/>
  <c r="L49" i="19"/>
  <c r="L113" i="19"/>
  <c r="I163" i="19"/>
  <c r="I164" i="19"/>
  <c r="K163" i="19"/>
  <c r="L155" i="19"/>
  <c r="J155" i="19"/>
  <c r="J154" i="19"/>
  <c r="K155" i="19"/>
  <c r="I155" i="19"/>
  <c r="L82" i="19"/>
  <c r="J105" i="19"/>
  <c r="L105" i="19"/>
  <c r="L103" i="19"/>
  <c r="N47" i="19"/>
  <c r="K49" i="19"/>
  <c r="J113" i="19"/>
  <c r="L73" i="19"/>
  <c r="L72" i="19"/>
  <c r="J73" i="19"/>
  <c r="I82" i="19"/>
  <c r="N103" i="19"/>
  <c r="K73" i="19"/>
  <c r="K72" i="19"/>
  <c r="I73" i="19"/>
  <c r="Q108" i="19" l="1"/>
  <c r="L136" i="19"/>
  <c r="J140" i="19"/>
  <c r="Q134" i="19"/>
  <c r="I132" i="19"/>
  <c r="J138" i="19" s="1"/>
  <c r="L168" i="19"/>
  <c r="L167" i="19"/>
  <c r="I168" i="19"/>
  <c r="K172" i="19"/>
  <c r="I167" i="19"/>
  <c r="K171" i="19"/>
  <c r="I85" i="19"/>
  <c r="I86" i="19"/>
  <c r="K90" i="19"/>
  <c r="K89" i="19"/>
  <c r="L86" i="19"/>
  <c r="L85" i="19"/>
  <c r="B27" i="18" l="1"/>
  <c r="B28" i="18" s="1"/>
  <c r="B29" i="18" s="1"/>
  <c r="G8" i="18"/>
  <c r="D8" i="18"/>
  <c r="D7" i="18"/>
  <c r="G6" i="18"/>
  <c r="F13" i="18" s="1"/>
  <c r="D6" i="18"/>
  <c r="G5" i="18"/>
  <c r="D13" i="18" s="1"/>
  <c r="D5" i="18"/>
  <c r="M84" i="17"/>
  <c r="M83" i="17"/>
  <c r="M82" i="17"/>
  <c r="M81" i="17"/>
  <c r="M80" i="17"/>
  <c r="V69" i="17"/>
  <c r="U69" i="17"/>
  <c r="T69" i="17"/>
  <c r="S69" i="17"/>
  <c r="Q69" i="17"/>
  <c r="P69" i="17"/>
  <c r="O69" i="17"/>
  <c r="N69" i="17"/>
  <c r="L69" i="17"/>
  <c r="K69" i="17"/>
  <c r="J69" i="17"/>
  <c r="I69" i="17"/>
  <c r="F69" i="17"/>
  <c r="E69" i="17"/>
  <c r="D69" i="17"/>
  <c r="C69" i="17"/>
  <c r="M65" i="17"/>
  <c r="M61" i="17"/>
  <c r="M57" i="17"/>
  <c r="M53" i="17"/>
  <c r="M49" i="17"/>
  <c r="P45" i="17"/>
  <c r="O45" i="17"/>
  <c r="N45" i="17"/>
  <c r="M45" i="17"/>
  <c r="T44" i="17"/>
  <c r="S44" i="17"/>
  <c r="V44" i="17" s="1"/>
  <c r="R44" i="17"/>
  <c r="Q44" i="17"/>
  <c r="T43" i="17"/>
  <c r="S43" i="17"/>
  <c r="R43" i="17"/>
  <c r="X43" i="17" s="1"/>
  <c r="Q43" i="17"/>
  <c r="T42" i="17"/>
  <c r="S42" i="17"/>
  <c r="R42" i="17"/>
  <c r="Q42" i="17"/>
  <c r="T41" i="17"/>
  <c r="S41" i="17"/>
  <c r="R41" i="17"/>
  <c r="X41" i="17" s="1"/>
  <c r="Q41" i="17"/>
  <c r="T40" i="17"/>
  <c r="S40" i="17"/>
  <c r="V40" i="17" s="1"/>
  <c r="R40" i="17"/>
  <c r="Q40" i="17"/>
  <c r="T39" i="17"/>
  <c r="S39" i="17"/>
  <c r="R39" i="17"/>
  <c r="X39" i="17" s="1"/>
  <c r="Q39" i="17"/>
  <c r="T38" i="17"/>
  <c r="S38" i="17"/>
  <c r="V38" i="17" s="1"/>
  <c r="R38" i="17"/>
  <c r="Q38" i="17"/>
  <c r="B38" i="17"/>
  <c r="T37" i="17"/>
  <c r="S37" i="17"/>
  <c r="R37" i="17"/>
  <c r="Q37" i="17"/>
  <c r="T36" i="17"/>
  <c r="S36" i="17"/>
  <c r="R36" i="17"/>
  <c r="Q36" i="17"/>
  <c r="B36" i="17"/>
  <c r="T35" i="17"/>
  <c r="S35" i="17"/>
  <c r="R35" i="17"/>
  <c r="Q35" i="17"/>
  <c r="T34" i="17"/>
  <c r="S34" i="17"/>
  <c r="R34" i="17"/>
  <c r="Q34" i="17"/>
  <c r="T33" i="17"/>
  <c r="S33" i="17"/>
  <c r="R33" i="17"/>
  <c r="Q33" i="17"/>
  <c r="T32" i="17"/>
  <c r="S32" i="17"/>
  <c r="R32" i="17"/>
  <c r="Q32" i="17"/>
  <c r="T31" i="17"/>
  <c r="S31" i="17"/>
  <c r="R31" i="17"/>
  <c r="Q31" i="17"/>
  <c r="T30" i="17"/>
  <c r="S30" i="17"/>
  <c r="R30" i="17"/>
  <c r="T29" i="17"/>
  <c r="S29" i="17"/>
  <c r="AO33" i="17" s="1"/>
  <c r="R29" i="17"/>
  <c r="Q29" i="17"/>
  <c r="U29" i="17" s="1"/>
  <c r="V28" i="17"/>
  <c r="Z28" i="17" s="1"/>
  <c r="AD28" i="17" s="1"/>
  <c r="U28" i="17"/>
  <c r="Y28" i="17" s="1"/>
  <c r="AC28" i="17" s="1"/>
  <c r="D28" i="17"/>
  <c r="N15" i="17"/>
  <c r="N28" i="17" s="1"/>
  <c r="R28" i="17" s="1"/>
  <c r="AH28" i="17" s="1"/>
  <c r="N14" i="17"/>
  <c r="N8" i="17"/>
  <c r="X31" i="17" l="1"/>
  <c r="X40" i="17"/>
  <c r="X42" i="17"/>
  <c r="X33" i="17"/>
  <c r="AK45" i="17"/>
  <c r="N56" i="17"/>
  <c r="AH93" i="17"/>
  <c r="AH88" i="17"/>
  <c r="AH103" i="17"/>
  <c r="AS61" i="17"/>
  <c r="AS62" i="17"/>
  <c r="AH98" i="17"/>
  <c r="AH83" i="17"/>
  <c r="AT62" i="17"/>
  <c r="AT61" i="17"/>
  <c r="M28" i="17"/>
  <c r="Q28" i="17" s="1"/>
  <c r="AG28" i="17" s="1"/>
  <c r="W41" i="17"/>
  <c r="W43" i="17"/>
  <c r="X34" i="17"/>
  <c r="V36" i="17"/>
  <c r="Z36" i="17" s="1"/>
  <c r="X44" i="17"/>
  <c r="W29" i="17"/>
  <c r="W30" i="17"/>
  <c r="W32" i="17"/>
  <c r="W33" i="17"/>
  <c r="W34" i="17"/>
  <c r="W35" i="17"/>
  <c r="X36" i="17"/>
  <c r="U38" i="17"/>
  <c r="S76" i="17"/>
  <c r="I72" i="17"/>
  <c r="S72" i="17"/>
  <c r="Y29" i="17"/>
  <c r="AC29" i="17" s="1"/>
  <c r="V30" i="17"/>
  <c r="Z30" i="17" s="1"/>
  <c r="AD30" i="17" s="1"/>
  <c r="G30" i="17" s="1"/>
  <c r="B30" i="17" s="1"/>
  <c r="V32" i="17"/>
  <c r="Z32" i="17" s="1"/>
  <c r="AD32" i="17" s="1"/>
  <c r="G32" i="17" s="1"/>
  <c r="B32" i="17" s="1"/>
  <c r="W36" i="17"/>
  <c r="X37" i="17"/>
  <c r="W38" i="17"/>
  <c r="S75" i="17"/>
  <c r="P28" i="17"/>
  <c r="T28" i="17" s="1"/>
  <c r="X29" i="17"/>
  <c r="X30" i="17"/>
  <c r="U32" i="17"/>
  <c r="Y32" i="17" s="1"/>
  <c r="X38" i="17"/>
  <c r="U39" i="17"/>
  <c r="Y39" i="17" s="1"/>
  <c r="AC39" i="17" s="1"/>
  <c r="U40" i="17"/>
  <c r="Y40" i="17" s="1"/>
  <c r="S74" i="17"/>
  <c r="U42" i="17"/>
  <c r="U43" i="17"/>
  <c r="Y43" i="17" s="1"/>
  <c r="AC43" i="17" s="1"/>
  <c r="U44" i="17"/>
  <c r="W44" i="17"/>
  <c r="E18" i="18"/>
  <c r="E19" i="18" s="1"/>
  <c r="B30" i="18"/>
  <c r="B31" i="18" s="1"/>
  <c r="B32" i="18" s="1"/>
  <c r="B33" i="18" s="1"/>
  <c r="C29" i="18"/>
  <c r="D14" i="18"/>
  <c r="F19" i="18"/>
  <c r="C27" i="18"/>
  <c r="F14" i="18"/>
  <c r="C28" i="18"/>
  <c r="G7" i="18"/>
  <c r="O56" i="17"/>
  <c r="AD36" i="17"/>
  <c r="G36" i="17" s="1"/>
  <c r="U31" i="17"/>
  <c r="Y31" i="17" s="1"/>
  <c r="O28" i="17"/>
  <c r="S28" i="17" s="1"/>
  <c r="AI28" i="17" s="1"/>
  <c r="W28" i="17"/>
  <c r="AA28" i="17" s="1"/>
  <c r="AE28" i="17" s="1"/>
  <c r="U30" i="17"/>
  <c r="Y30" i="17" s="1"/>
  <c r="U37" i="17"/>
  <c r="Y37" i="17" s="1"/>
  <c r="X28" i="17"/>
  <c r="AB28" i="17" s="1"/>
  <c r="AF28" i="17" s="1"/>
  <c r="N16" i="17"/>
  <c r="AH89" i="17" s="1"/>
  <c r="V29" i="17"/>
  <c r="Z29" i="17" s="1"/>
  <c r="X32" i="17"/>
  <c r="U33" i="17"/>
  <c r="Y33" i="17" s="1"/>
  <c r="V42" i="17"/>
  <c r="Z42" i="17" s="1"/>
  <c r="W42" i="17"/>
  <c r="N52" i="17"/>
  <c r="N64" i="17"/>
  <c r="N60" i="17"/>
  <c r="N48" i="17"/>
  <c r="W31" i="17"/>
  <c r="V31" i="17"/>
  <c r="Z31" i="17" s="1"/>
  <c r="U34" i="17"/>
  <c r="Y34" i="17" s="1"/>
  <c r="C72" i="17"/>
  <c r="U35" i="17"/>
  <c r="Y38" i="17"/>
  <c r="X35" i="17"/>
  <c r="U36" i="17"/>
  <c r="Z40" i="17"/>
  <c r="Y44" i="17"/>
  <c r="S73" i="17"/>
  <c r="V33" i="17"/>
  <c r="Z33" i="17" s="1"/>
  <c r="V34" i="17"/>
  <c r="Z34" i="17" s="1"/>
  <c r="V35" i="17"/>
  <c r="Z35" i="17" s="1"/>
  <c r="W40" i="17"/>
  <c r="U41" i="17"/>
  <c r="Y41" i="17" s="1"/>
  <c r="Z44" i="17"/>
  <c r="W37" i="17"/>
  <c r="Z38" i="17"/>
  <c r="W39" i="17"/>
  <c r="Y42" i="17"/>
  <c r="C76" i="17"/>
  <c r="V37" i="17"/>
  <c r="Z37" i="17" s="1"/>
  <c r="V39" i="17"/>
  <c r="Z39" i="17" s="1"/>
  <c r="V41" i="17"/>
  <c r="Z41" i="17" s="1"/>
  <c r="V43" i="17"/>
  <c r="Z43" i="17" s="1"/>
  <c r="N72" i="17"/>
  <c r="N73" i="17"/>
  <c r="N74" i="17"/>
  <c r="N75" i="17"/>
  <c r="N76" i="17"/>
  <c r="I73" i="17"/>
  <c r="I74" i="17"/>
  <c r="I75" i="17"/>
  <c r="I76" i="17"/>
  <c r="C73" i="17"/>
  <c r="C74" i="17"/>
  <c r="C75" i="17"/>
  <c r="N65" i="17" l="1"/>
  <c r="N49" i="17"/>
  <c r="AA43" i="17"/>
  <c r="AE43" i="17" s="1"/>
  <c r="N57" i="17"/>
  <c r="AA35" i="17"/>
  <c r="AE35" i="17" s="1"/>
  <c r="AB42" i="17"/>
  <c r="AF42" i="17" s="1"/>
  <c r="AB41" i="17"/>
  <c r="AF41" i="17" s="1"/>
  <c r="AA39" i="17"/>
  <c r="AE39" i="17" s="1"/>
  <c r="AB39" i="17"/>
  <c r="AF39" i="17" s="1"/>
  <c r="AH94" i="17"/>
  <c r="AI89" i="17"/>
  <c r="AM88" i="17" s="1"/>
  <c r="AB35" i="17"/>
  <c r="AF35" i="17" s="1"/>
  <c r="AA31" i="17"/>
  <c r="AE31" i="17" s="1"/>
  <c r="AB32" i="17"/>
  <c r="AF32" i="17" s="1"/>
  <c r="AH104" i="17"/>
  <c r="AI104" i="17" s="1"/>
  <c r="AM103" i="17" s="1"/>
  <c r="BA61" i="17"/>
  <c r="AW61" i="17"/>
  <c r="AW62" i="17"/>
  <c r="AA36" i="17"/>
  <c r="AE36" i="17" s="1"/>
  <c r="AI103" i="17"/>
  <c r="AI88" i="17"/>
  <c r="AN88" i="17"/>
  <c r="AB44" i="17"/>
  <c r="AF44" i="17" s="1"/>
  <c r="AU62" i="17"/>
  <c r="AY62" i="17" s="1"/>
  <c r="AU61" i="17"/>
  <c r="AY61" i="17" s="1"/>
  <c r="AV61" i="17"/>
  <c r="AZ61" i="17" s="1"/>
  <c r="AV62" i="17"/>
  <c r="AZ62" i="17" s="1"/>
  <c r="N53" i="17"/>
  <c r="AB40" i="17"/>
  <c r="AF40" i="17" s="1"/>
  <c r="AA40" i="17"/>
  <c r="AE40" i="17" s="1"/>
  <c r="AB43" i="17"/>
  <c r="AF43" i="17" s="1"/>
  <c r="AX61" i="17"/>
  <c r="BC61" i="17"/>
  <c r="BD61" i="17"/>
  <c r="AI93" i="17"/>
  <c r="AL93" i="17" s="1"/>
  <c r="AN93" i="17"/>
  <c r="AX62" i="17"/>
  <c r="AI94" i="17"/>
  <c r="AK93" i="17" s="1"/>
  <c r="AA42" i="17"/>
  <c r="AE42" i="17" s="1"/>
  <c r="AA30" i="17"/>
  <c r="AE30" i="17" s="1"/>
  <c r="AH99" i="17"/>
  <c r="AI83" i="17"/>
  <c r="AB38" i="17"/>
  <c r="AF38" i="17" s="1"/>
  <c r="AA41" i="17"/>
  <c r="AE41" i="17" s="1"/>
  <c r="AA37" i="17"/>
  <c r="AE37" i="17" s="1"/>
  <c r="AB33" i="17"/>
  <c r="AF33" i="17" s="1"/>
  <c r="AA32" i="17"/>
  <c r="AE32" i="17" s="1"/>
  <c r="AH84" i="17"/>
  <c r="AI98" i="17"/>
  <c r="AJ28" i="17"/>
  <c r="AB34" i="17"/>
  <c r="AF34" i="17" s="1"/>
  <c r="AB37" i="17"/>
  <c r="AF37" i="17" s="1"/>
  <c r="X50" i="17"/>
  <c r="AA38" i="17"/>
  <c r="AE38" i="17" s="1"/>
  <c r="C30" i="18"/>
  <c r="E30" i="18" s="1"/>
  <c r="E28" i="18"/>
  <c r="D28" i="18"/>
  <c r="F28" i="18"/>
  <c r="C32" i="18"/>
  <c r="C31" i="18"/>
  <c r="D29" i="18"/>
  <c r="F29" i="18"/>
  <c r="E29" i="18"/>
  <c r="F27" i="18"/>
  <c r="E27" i="18"/>
  <c r="D27" i="18"/>
  <c r="B34" i="18"/>
  <c r="C33" i="18"/>
  <c r="E21" i="18"/>
  <c r="E20" i="18"/>
  <c r="AC33" i="17"/>
  <c r="AJ43" i="17"/>
  <c r="AI43" i="17"/>
  <c r="AD43" i="17"/>
  <c r="R56" i="17"/>
  <c r="W59" i="17" s="1"/>
  <c r="O57" i="17"/>
  <c r="S56" i="17" s="1"/>
  <c r="X59" i="17" s="1"/>
  <c r="O65" i="17"/>
  <c r="S64" i="17" s="1"/>
  <c r="X61" i="17" s="1"/>
  <c r="AD33" i="17"/>
  <c r="G33" i="17" s="1"/>
  <c r="H33" i="17" s="1"/>
  <c r="AJ33" i="17"/>
  <c r="AD40" i="17"/>
  <c r="AJ40" i="17"/>
  <c r="AI40" i="17"/>
  <c r="AH34" i="17"/>
  <c r="AC34" i="17"/>
  <c r="T52" i="17"/>
  <c r="Y58" i="17" s="1"/>
  <c r="O52" i="17"/>
  <c r="H32" i="17"/>
  <c r="AA44" i="17"/>
  <c r="AE44" i="17" s="1"/>
  <c r="N61" i="17"/>
  <c r="T60" i="17" s="1"/>
  <c r="Y60" i="17" s="1"/>
  <c r="AG39" i="17"/>
  <c r="AB29" i="17"/>
  <c r="AI30" i="17"/>
  <c r="AJ41" i="17"/>
  <c r="AI41" i="17"/>
  <c r="AD41" i="17"/>
  <c r="X48" i="17"/>
  <c r="Y35" i="17"/>
  <c r="T48" i="17"/>
  <c r="Y57" i="17" s="1"/>
  <c r="O48" i="17"/>
  <c r="R48" i="17" s="1"/>
  <c r="W57" i="17" s="1"/>
  <c r="T45" i="17"/>
  <c r="AD42" i="17"/>
  <c r="AJ42" i="17"/>
  <c r="AI42" i="17"/>
  <c r="AH32" i="17"/>
  <c r="AG32" i="17"/>
  <c r="AC32" i="17"/>
  <c r="AG43" i="17"/>
  <c r="AG30" i="17"/>
  <c r="AC30" i="17"/>
  <c r="AJ39" i="17"/>
  <c r="AI39" i="17"/>
  <c r="AD39" i="17"/>
  <c r="AH42" i="17"/>
  <c r="AG42" i="17"/>
  <c r="AC42" i="17"/>
  <c r="AD38" i="17"/>
  <c r="G38" i="17" s="1"/>
  <c r="H38" i="17" s="1"/>
  <c r="AJ38" i="17"/>
  <c r="AI38" i="17"/>
  <c r="AD44" i="17"/>
  <c r="AJ44" i="17"/>
  <c r="AI44" i="17"/>
  <c r="AI35" i="17"/>
  <c r="AD35" i="17"/>
  <c r="G35" i="17" s="1"/>
  <c r="H35" i="17" s="1"/>
  <c r="AJ35" i="17"/>
  <c r="O60" i="17"/>
  <c r="AJ32" i="17"/>
  <c r="AB36" i="17"/>
  <c r="AB31" i="17"/>
  <c r="AF31" i="17" s="1"/>
  <c r="AH43" i="17"/>
  <c r="AA33" i="17"/>
  <c r="AE33" i="17" s="1"/>
  <c r="AA34" i="17"/>
  <c r="AE34" i="17" s="1"/>
  <c r="AH39" i="17"/>
  <c r="AI36" i="17"/>
  <c r="AA29" i="17"/>
  <c r="O49" i="17"/>
  <c r="S48" i="17" s="1"/>
  <c r="X57" i="17" s="1"/>
  <c r="AH40" i="17"/>
  <c r="AG40" i="17"/>
  <c r="AC40" i="17"/>
  <c r="X49" i="17"/>
  <c r="Y36" i="17"/>
  <c r="O53" i="17"/>
  <c r="S52" i="17" s="1"/>
  <c r="X58" i="17" s="1"/>
  <c r="AJ37" i="17"/>
  <c r="AI37" i="17"/>
  <c r="AD37" i="17"/>
  <c r="G37" i="17" s="1"/>
  <c r="H37" i="17" s="1"/>
  <c r="AH41" i="17"/>
  <c r="AC41" i="17"/>
  <c r="AG41" i="17"/>
  <c r="AD34" i="17"/>
  <c r="G34" i="17" s="1"/>
  <c r="B34" i="17" s="1"/>
  <c r="AJ34" i="17"/>
  <c r="AH44" i="17"/>
  <c r="AG44" i="17"/>
  <c r="AC44" i="17"/>
  <c r="AB50" i="17"/>
  <c r="AH38" i="17"/>
  <c r="AG38" i="17"/>
  <c r="AC38" i="17"/>
  <c r="AI31" i="17"/>
  <c r="AD31" i="17"/>
  <c r="G31" i="17" s="1"/>
  <c r="T64" i="17"/>
  <c r="Y61" i="17" s="1"/>
  <c r="O64" i="17"/>
  <c r="Q64" i="17" s="1"/>
  <c r="V61" i="17" s="1"/>
  <c r="AI29" i="17"/>
  <c r="AD29" i="17"/>
  <c r="G29" i="17" s="1"/>
  <c r="B29" i="17" s="1"/>
  <c r="AH37" i="17"/>
  <c r="AC37" i="17"/>
  <c r="AG37" i="17"/>
  <c r="AC31" i="17"/>
  <c r="AG31" i="17"/>
  <c r="AB30" i="17"/>
  <c r="B31" i="17"/>
  <c r="T56" i="17"/>
  <c r="Y59" i="17" s="1"/>
  <c r="F20" i="11"/>
  <c r="E20" i="11"/>
  <c r="D20" i="11"/>
  <c r="C20" i="11"/>
  <c r="Q28" i="14"/>
  <c r="U28" i="14" s="1"/>
  <c r="H24" i="15"/>
  <c r="L24" i="15" s="1"/>
  <c r="AF24" i="15" s="1"/>
  <c r="G24" i="15"/>
  <c r="K24" i="15" s="1"/>
  <c r="AE24" i="15" s="1"/>
  <c r="F24" i="15"/>
  <c r="J24" i="15" s="1"/>
  <c r="AD24" i="15" s="1"/>
  <c r="E24" i="15"/>
  <c r="I24" i="15" s="1"/>
  <c r="AC24" i="15" s="1"/>
  <c r="S28" i="14"/>
  <c r="W28" i="14" s="1"/>
  <c r="H28" i="14"/>
  <c r="L28" i="14" s="1"/>
  <c r="G28" i="14"/>
  <c r="K28" i="14" s="1"/>
  <c r="AA28" i="14" s="1"/>
  <c r="F28" i="14"/>
  <c r="J28" i="14" s="1"/>
  <c r="E28" i="14"/>
  <c r="I28" i="14" s="1"/>
  <c r="AF28" i="14" s="1"/>
  <c r="H38" i="14"/>
  <c r="G38" i="14"/>
  <c r="F38" i="14"/>
  <c r="E38" i="14"/>
  <c r="L37" i="14"/>
  <c r="K37" i="14"/>
  <c r="J37" i="14"/>
  <c r="I37" i="14"/>
  <c r="L36" i="14"/>
  <c r="K36" i="14"/>
  <c r="N36" i="14" s="1"/>
  <c r="J36" i="14"/>
  <c r="I36" i="14"/>
  <c r="L35" i="14"/>
  <c r="K35" i="14"/>
  <c r="N35" i="14" s="1"/>
  <c r="J35" i="14"/>
  <c r="I35" i="14"/>
  <c r="L34" i="14"/>
  <c r="K34" i="14"/>
  <c r="N34" i="14" s="1"/>
  <c r="J34" i="14"/>
  <c r="I34" i="14"/>
  <c r="L33" i="14"/>
  <c r="K33" i="14"/>
  <c r="N33" i="14" s="1"/>
  <c r="J33" i="14"/>
  <c r="I33" i="14"/>
  <c r="L32" i="14"/>
  <c r="K32" i="14"/>
  <c r="N32" i="14" s="1"/>
  <c r="J32" i="14"/>
  <c r="I32" i="14"/>
  <c r="L31" i="14"/>
  <c r="AG34" i="14" s="1"/>
  <c r="K31" i="14"/>
  <c r="N31" i="14" s="1"/>
  <c r="J31" i="14"/>
  <c r="I31" i="14"/>
  <c r="L30" i="14"/>
  <c r="K30" i="14"/>
  <c r="J30" i="14"/>
  <c r="I30" i="14"/>
  <c r="L29" i="14"/>
  <c r="K29" i="14"/>
  <c r="J29" i="14"/>
  <c r="I29" i="14"/>
  <c r="AF50" i="17" l="1"/>
  <c r="AM93" i="17"/>
  <c r="AK88" i="17"/>
  <c r="AN103" i="17"/>
  <c r="Q56" i="17"/>
  <c r="V59" i="17" s="1"/>
  <c r="D74" i="17" s="1"/>
  <c r="F74" i="17" s="1"/>
  <c r="AI32" i="17"/>
  <c r="O29" i="14"/>
  <c r="F30" i="18"/>
  <c r="AI84" i="17"/>
  <c r="AM83" i="17" s="1"/>
  <c r="AL83" i="17"/>
  <c r="AI99" i="17"/>
  <c r="AM98" i="17" s="1"/>
  <c r="AL98" i="17"/>
  <c r="R45" i="17"/>
  <c r="X45" i="17" s="1"/>
  <c r="AB45" i="17" s="1"/>
  <c r="AF45" i="17" s="1"/>
  <c r="AL103" i="17"/>
  <c r="AK103" i="17"/>
  <c r="AG77" i="17" s="1"/>
  <c r="AH77" i="17" s="1"/>
  <c r="AG75" i="17"/>
  <c r="AH75" i="17" s="1"/>
  <c r="BA62" i="17"/>
  <c r="AN98" i="17"/>
  <c r="BD62" i="17"/>
  <c r="BB62" i="17"/>
  <c r="Q52" i="17"/>
  <c r="V58" i="17" s="1"/>
  <c r="AH33" i="17"/>
  <c r="AK98" i="17"/>
  <c r="AN83" i="17"/>
  <c r="BC62" i="17"/>
  <c r="AL88" i="17"/>
  <c r="AG74" i="17" s="1"/>
  <c r="AH74" i="17" s="1"/>
  <c r="AK83" i="17"/>
  <c r="BB61" i="17"/>
  <c r="AG50" i="17"/>
  <c r="AI34" i="17"/>
  <c r="AJ31" i="17"/>
  <c r="P29" i="14"/>
  <c r="P31" i="14"/>
  <c r="P32" i="14"/>
  <c r="P33" i="14"/>
  <c r="P34" i="14"/>
  <c r="P35" i="14"/>
  <c r="P36" i="14"/>
  <c r="AH31" i="17"/>
  <c r="AG34" i="17"/>
  <c r="R64" i="17"/>
  <c r="W61" i="17" s="1"/>
  <c r="T76" i="17" s="1"/>
  <c r="V76" i="17" s="1"/>
  <c r="Q84" i="17" s="1"/>
  <c r="AG33" i="14"/>
  <c r="AK33" i="14" s="1"/>
  <c r="AG35" i="14"/>
  <c r="Y28" i="14"/>
  <c r="M32" i="14"/>
  <c r="AF36" i="14"/>
  <c r="M34" i="14"/>
  <c r="N42" i="14" s="1"/>
  <c r="D30" i="18"/>
  <c r="F31" i="18"/>
  <c r="E31" i="18"/>
  <c r="D31" i="18"/>
  <c r="D33" i="18"/>
  <c r="F33" i="18"/>
  <c r="E33" i="18"/>
  <c r="E32" i="18"/>
  <c r="D32" i="18"/>
  <c r="F32" i="18"/>
  <c r="B35" i="18"/>
  <c r="C34" i="18"/>
  <c r="I38" i="17"/>
  <c r="K38" i="17" s="1"/>
  <c r="C38" i="17"/>
  <c r="J38" i="17"/>
  <c r="E38" i="17" s="1"/>
  <c r="J35" i="17"/>
  <c r="I35" i="17"/>
  <c r="AF29" i="17"/>
  <c r="H29" i="17" s="1"/>
  <c r="AH29" i="17"/>
  <c r="AJ29" i="17"/>
  <c r="R52" i="17"/>
  <c r="W58" i="17" s="1"/>
  <c r="O73" i="17" s="1"/>
  <c r="Q73" i="17" s="1"/>
  <c r="P81" i="17" s="1"/>
  <c r="AB49" i="17"/>
  <c r="AG36" i="17"/>
  <c r="AC36" i="17"/>
  <c r="AH36" i="17"/>
  <c r="H31" i="17"/>
  <c r="AH35" i="17"/>
  <c r="AC35" i="17"/>
  <c r="AF48" i="17" s="1"/>
  <c r="AB48" i="17"/>
  <c r="AG35" i="17"/>
  <c r="AL38" i="17"/>
  <c r="AL36" i="17"/>
  <c r="AL33" i="17"/>
  <c r="AL30" i="17"/>
  <c r="AO32" i="17" s="1"/>
  <c r="AL39" i="17"/>
  <c r="AG33" i="17"/>
  <c r="K35" i="17"/>
  <c r="S45" i="17"/>
  <c r="AF30" i="17"/>
  <c r="H30" i="17" s="1"/>
  <c r="AJ30" i="17"/>
  <c r="D76" i="17"/>
  <c r="F76" i="17" s="1"/>
  <c r="N84" i="17" s="1"/>
  <c r="O74" i="17"/>
  <c r="Q74" i="17" s="1"/>
  <c r="P82" i="17" s="1"/>
  <c r="AF36" i="17"/>
  <c r="H36" i="17" s="1"/>
  <c r="AJ36" i="17"/>
  <c r="AH30" i="17"/>
  <c r="O61" i="17"/>
  <c r="S60" i="17" s="1"/>
  <c r="X60" i="17" s="1"/>
  <c r="R60" i="17"/>
  <c r="W60" i="17" s="1"/>
  <c r="AE29" i="17"/>
  <c r="AG29" i="17"/>
  <c r="J33" i="17"/>
  <c r="E33" i="17" s="1"/>
  <c r="I33" i="17"/>
  <c r="C33" i="17"/>
  <c r="Q48" i="17"/>
  <c r="V57" i="17" s="1"/>
  <c r="Q45" i="17"/>
  <c r="J37" i="17"/>
  <c r="I37" i="17"/>
  <c r="K37" i="17" s="1"/>
  <c r="I32" i="17"/>
  <c r="D32" i="17" s="1"/>
  <c r="C32" i="17"/>
  <c r="J32" i="17"/>
  <c r="E32" i="17" s="1"/>
  <c r="AI33" i="17"/>
  <c r="H34" i="17"/>
  <c r="M29" i="14"/>
  <c r="N29" i="14"/>
  <c r="AG32" i="14"/>
  <c r="AG36" i="14"/>
  <c r="M31" i="14"/>
  <c r="M33" i="14"/>
  <c r="N41" i="14" s="1"/>
  <c r="AF35" i="14"/>
  <c r="AF37" i="14"/>
  <c r="AF30" i="14"/>
  <c r="AG30" i="14"/>
  <c r="AG37" i="14"/>
  <c r="O36" i="14"/>
  <c r="P44" i="14" s="1"/>
  <c r="AF34" i="14"/>
  <c r="O31" i="14"/>
  <c r="O32" i="14"/>
  <c r="O33" i="14"/>
  <c r="P41" i="14" s="1"/>
  <c r="O34" i="14"/>
  <c r="O35" i="14"/>
  <c r="P43" i="14" s="1"/>
  <c r="AF33" i="14"/>
  <c r="AJ33" i="14" s="1"/>
  <c r="AL33" i="14" s="1"/>
  <c r="M36" i="14"/>
  <c r="N44" i="14" s="1"/>
  <c r="AF32" i="14"/>
  <c r="M35" i="14"/>
  <c r="N43" i="14" s="1"/>
  <c r="P37" i="14"/>
  <c r="O37" i="14"/>
  <c r="M37" i="14"/>
  <c r="N37" i="14"/>
  <c r="Z28" i="14"/>
  <c r="AB28" i="14"/>
  <c r="AG28" i="14"/>
  <c r="N30" i="14"/>
  <c r="P30" i="14"/>
  <c r="O30" i="14"/>
  <c r="AF31" i="14"/>
  <c r="M30" i="14"/>
  <c r="AG31" i="14"/>
  <c r="T74" i="17" l="1"/>
  <c r="V74" i="17" s="1"/>
  <c r="Q82" i="17" s="1"/>
  <c r="J74" i="17"/>
  <c r="L74" i="17" s="1"/>
  <c r="O82" i="17" s="1"/>
  <c r="P42" i="14"/>
  <c r="AK46" i="17"/>
  <c r="AP32" i="17"/>
  <c r="AQ32" i="17" s="1"/>
  <c r="AP33" i="17"/>
  <c r="AG76" i="17"/>
  <c r="AH76" i="17" s="1"/>
  <c r="AG73" i="17"/>
  <c r="AH73" i="17" s="1"/>
  <c r="D73" i="17"/>
  <c r="F73" i="17" s="1"/>
  <c r="J76" i="17"/>
  <c r="L76" i="17" s="1"/>
  <c r="O84" i="17" s="1"/>
  <c r="J73" i="17"/>
  <c r="L73" i="17" s="1"/>
  <c r="O81" i="17" s="1"/>
  <c r="O76" i="17"/>
  <c r="Q76" i="17" s="1"/>
  <c r="P84" i="17" s="1"/>
  <c r="AL34" i="17"/>
  <c r="AL41" i="17"/>
  <c r="T73" i="17"/>
  <c r="V73" i="17" s="1"/>
  <c r="Q81" i="17" s="1"/>
  <c r="B36" i="18"/>
  <c r="C35" i="18"/>
  <c r="F34" i="18"/>
  <c r="E34" i="18"/>
  <c r="D34" i="18"/>
  <c r="J34" i="17"/>
  <c r="E34" i="17" s="1"/>
  <c r="I34" i="17"/>
  <c r="D34" i="17" s="1"/>
  <c r="K34" i="17" s="1"/>
  <c r="C34" i="17"/>
  <c r="AL42" i="17"/>
  <c r="I31" i="17"/>
  <c r="K31" i="17" s="1"/>
  <c r="J31" i="17"/>
  <c r="E31" i="17" s="1"/>
  <c r="C31" i="17"/>
  <c r="J30" i="17"/>
  <c r="E30" i="17" s="1"/>
  <c r="I30" i="17"/>
  <c r="D30" i="17" s="1"/>
  <c r="K30" i="17" s="1"/>
  <c r="C30" i="17"/>
  <c r="AL37" i="17"/>
  <c r="AL29" i="17"/>
  <c r="AL35" i="17"/>
  <c r="AL43" i="17"/>
  <c r="AL44" i="17"/>
  <c r="J29" i="17"/>
  <c r="E29" i="17" s="1"/>
  <c r="I29" i="17"/>
  <c r="D29" i="17" s="1"/>
  <c r="K29" i="17" s="1"/>
  <c r="C29" i="17"/>
  <c r="D33" i="17"/>
  <c r="K33" i="17" s="1"/>
  <c r="K32" i="17"/>
  <c r="J36" i="17"/>
  <c r="E36" i="17" s="1"/>
  <c r="C36" i="17"/>
  <c r="I36" i="17"/>
  <c r="K36" i="17" s="1"/>
  <c r="V45" i="17"/>
  <c r="Z45" i="17" s="1"/>
  <c r="AO30" i="17" s="1"/>
  <c r="W45" i="17"/>
  <c r="AA45" i="17" s="1"/>
  <c r="AE45" i="17" s="1"/>
  <c r="AF49" i="17"/>
  <c r="J72" i="17"/>
  <c r="L72" i="17" s="1"/>
  <c r="O80" i="17" s="1"/>
  <c r="D72" i="17"/>
  <c r="F72" i="17" s="1"/>
  <c r="T72" i="17"/>
  <c r="V72" i="17" s="1"/>
  <c r="Q80" i="17" s="1"/>
  <c r="O72" i="17"/>
  <c r="Q72" i="17" s="1"/>
  <c r="P80" i="17" s="1"/>
  <c r="U45" i="17"/>
  <c r="AL31" i="17"/>
  <c r="AL32" i="17"/>
  <c r="AL40" i="17"/>
  <c r="AG48" i="17"/>
  <c r="Q60" i="17"/>
  <c r="V60" i="17" s="1"/>
  <c r="AG49" i="17"/>
  <c r="C31" i="11"/>
  <c r="D31" i="11"/>
  <c r="AJ78" i="17" l="1"/>
  <c r="AL78" i="17"/>
  <c r="AK80" i="17" s="1"/>
  <c r="AK81" i="17" s="1"/>
  <c r="I31" i="11"/>
  <c r="B37" i="18"/>
  <c r="C36" i="18"/>
  <c r="F35" i="18"/>
  <c r="E35" i="18"/>
  <c r="D35" i="18"/>
  <c r="AD45" i="17"/>
  <c r="AJ45" i="17"/>
  <c r="AI45" i="17"/>
  <c r="D75" i="17"/>
  <c r="F75" i="17" s="1"/>
  <c r="N83" i="17" s="1"/>
  <c r="T75" i="17"/>
  <c r="V75" i="17" s="1"/>
  <c r="Q83" i="17" s="1"/>
  <c r="O75" i="17"/>
  <c r="Q75" i="17" s="1"/>
  <c r="P83" i="17" s="1"/>
  <c r="J75" i="17"/>
  <c r="L75" i="17" s="1"/>
  <c r="O83" i="17" s="1"/>
  <c r="X51" i="17"/>
  <c r="Y45" i="17"/>
  <c r="E54" i="15"/>
  <c r="F54" i="15" s="1"/>
  <c r="H32" i="15"/>
  <c r="G32" i="15"/>
  <c r="B38" i="18" l="1"/>
  <c r="C37" i="18"/>
  <c r="E36" i="18"/>
  <c r="D36" i="18"/>
  <c r="F36" i="18"/>
  <c r="AH45" i="17"/>
  <c r="AG45" i="17"/>
  <c r="AC45" i="17"/>
  <c r="AF51" i="17" s="1"/>
  <c r="AB51" i="17"/>
  <c r="H72" i="15"/>
  <c r="K62" i="15"/>
  <c r="L62" i="15"/>
  <c r="H73" i="15"/>
  <c r="I73" i="15"/>
  <c r="H63" i="15"/>
  <c r="I63" i="15"/>
  <c r="I62" i="15"/>
  <c r="H62" i="15"/>
  <c r="E68" i="15"/>
  <c r="I68" i="15" s="1"/>
  <c r="D68" i="15"/>
  <c r="H68" i="15" s="1"/>
  <c r="E67" i="15"/>
  <c r="D67" i="15"/>
  <c r="E64" i="15"/>
  <c r="D64" i="15"/>
  <c r="F63" i="15"/>
  <c r="F62" i="15"/>
  <c r="L63" i="15"/>
  <c r="K63" i="15"/>
  <c r="P97" i="6"/>
  <c r="R97" i="6"/>
  <c r="P98" i="6"/>
  <c r="P102" i="6"/>
  <c r="R102" i="6"/>
  <c r="R100" i="6"/>
  <c r="R101" i="6"/>
  <c r="R103" i="6"/>
  <c r="P101" i="6"/>
  <c r="P103" i="6"/>
  <c r="N101" i="6"/>
  <c r="N102" i="6"/>
  <c r="N103" i="6"/>
  <c r="N97" i="6"/>
  <c r="O97" i="6" s="1"/>
  <c r="R98" i="6"/>
  <c r="N98" i="6"/>
  <c r="P100" i="6"/>
  <c r="L69" i="6"/>
  <c r="N100" i="6"/>
  <c r="O102" i="6" l="1"/>
  <c r="F67" i="15"/>
  <c r="O103" i="6"/>
  <c r="S102" i="6"/>
  <c r="Q102" i="6"/>
  <c r="Q103" i="6"/>
  <c r="B39" i="18"/>
  <c r="C38" i="18"/>
  <c r="D37" i="18"/>
  <c r="F37" i="18"/>
  <c r="E37" i="18"/>
  <c r="AG51" i="17"/>
  <c r="AK47" i="17"/>
  <c r="AK48" i="17" s="1"/>
  <c r="AQ33" i="17"/>
  <c r="S98" i="6"/>
  <c r="Q98" i="6"/>
  <c r="S101" i="6"/>
  <c r="O101" i="6"/>
  <c r="Q101" i="6"/>
  <c r="D69" i="15"/>
  <c r="E69" i="15"/>
  <c r="F68" i="15"/>
  <c r="M61" i="15"/>
  <c r="I67" i="15"/>
  <c r="H67" i="15"/>
  <c r="F73" i="15"/>
  <c r="E74" i="15"/>
  <c r="I72" i="15"/>
  <c r="M62" i="15"/>
  <c r="M63" i="15"/>
  <c r="K64" i="15"/>
  <c r="L64" i="15"/>
  <c r="Q97" i="6"/>
  <c r="O98" i="6"/>
  <c r="S97" i="6"/>
  <c r="S103" i="6"/>
  <c r="F38" i="18" l="1"/>
  <c r="E38" i="18"/>
  <c r="D38" i="18"/>
  <c r="B40" i="18"/>
  <c r="C39" i="18"/>
  <c r="O67" i="15"/>
  <c r="K67" i="15" s="1"/>
  <c r="E53" i="15"/>
  <c r="H50" i="15"/>
  <c r="G50" i="15"/>
  <c r="E50" i="15"/>
  <c r="L46" i="15"/>
  <c r="K46" i="15"/>
  <c r="J46" i="15"/>
  <c r="I46" i="15"/>
  <c r="L45" i="15"/>
  <c r="K45" i="15"/>
  <c r="J45" i="15"/>
  <c r="I45" i="15"/>
  <c r="L44" i="15"/>
  <c r="K44" i="15"/>
  <c r="J44" i="15"/>
  <c r="I44" i="15"/>
  <c r="L43" i="15"/>
  <c r="K43" i="15"/>
  <c r="J43" i="15"/>
  <c r="I43" i="15"/>
  <c r="L42" i="15"/>
  <c r="K42" i="15"/>
  <c r="J42" i="15"/>
  <c r="I42" i="15"/>
  <c r="L41" i="15"/>
  <c r="K41" i="15"/>
  <c r="J41" i="15"/>
  <c r="I41" i="15"/>
  <c r="L40" i="15"/>
  <c r="K40" i="15"/>
  <c r="J40" i="15"/>
  <c r="I40" i="15"/>
  <c r="L39" i="15"/>
  <c r="K39" i="15"/>
  <c r="J39" i="15"/>
  <c r="I39" i="15"/>
  <c r="L38" i="15"/>
  <c r="K38" i="15"/>
  <c r="J38" i="15"/>
  <c r="I38" i="15"/>
  <c r="L37" i="15"/>
  <c r="K37" i="15"/>
  <c r="J37" i="15"/>
  <c r="I37" i="15"/>
  <c r="L36" i="15"/>
  <c r="K36" i="15"/>
  <c r="J36" i="15"/>
  <c r="I36" i="15"/>
  <c r="L35" i="15"/>
  <c r="K35" i="15"/>
  <c r="J35" i="15"/>
  <c r="I35" i="15"/>
  <c r="L34" i="15"/>
  <c r="K34" i="15"/>
  <c r="J34" i="15"/>
  <c r="I34" i="15"/>
  <c r="L33" i="15"/>
  <c r="K33" i="15"/>
  <c r="J33" i="15"/>
  <c r="I33" i="15"/>
  <c r="L32" i="15"/>
  <c r="K32" i="15"/>
  <c r="J32" i="15"/>
  <c r="I32" i="15"/>
  <c r="L31" i="15"/>
  <c r="K31" i="15"/>
  <c r="J31" i="15"/>
  <c r="I31" i="15"/>
  <c r="L30" i="15"/>
  <c r="K30" i="15"/>
  <c r="J30" i="15"/>
  <c r="I30" i="15"/>
  <c r="L29" i="15"/>
  <c r="K29" i="15"/>
  <c r="J29" i="15"/>
  <c r="I29" i="15"/>
  <c r="L28" i="15"/>
  <c r="K28" i="15"/>
  <c r="J28" i="15"/>
  <c r="I28" i="15"/>
  <c r="L27" i="15"/>
  <c r="K27" i="15"/>
  <c r="J27" i="15"/>
  <c r="I27" i="15"/>
  <c r="L26" i="15"/>
  <c r="K26" i="15"/>
  <c r="J26" i="15"/>
  <c r="I26" i="15"/>
  <c r="L25" i="15"/>
  <c r="K25" i="15"/>
  <c r="J25" i="15"/>
  <c r="I25" i="15"/>
  <c r="E7" i="15"/>
  <c r="X44" i="15" l="1"/>
  <c r="X25" i="15"/>
  <c r="V25" i="15"/>
  <c r="U25" i="15"/>
  <c r="Y25" i="15" s="1"/>
  <c r="B41" i="18"/>
  <c r="C40" i="18"/>
  <c r="F39" i="18"/>
  <c r="E39" i="18"/>
  <c r="D39" i="18"/>
  <c r="J78" i="15"/>
  <c r="J79" i="15"/>
  <c r="K79" i="15" s="1"/>
  <c r="F53" i="15"/>
  <c r="L50" i="15"/>
  <c r="P25" i="15"/>
  <c r="T25" i="15" s="1"/>
  <c r="U28" i="15"/>
  <c r="Y28" i="15" s="1"/>
  <c r="P28" i="15"/>
  <c r="U31" i="15"/>
  <c r="Y31" i="15" s="1"/>
  <c r="P31" i="15"/>
  <c r="P34" i="15"/>
  <c r="U34" i="15"/>
  <c r="Y34" i="15" s="1"/>
  <c r="U36" i="15"/>
  <c r="Y36" i="15" s="1"/>
  <c r="P36" i="15"/>
  <c r="U39" i="15"/>
  <c r="Y39" i="15" s="1"/>
  <c r="P39" i="15"/>
  <c r="P42" i="15"/>
  <c r="U42" i="15"/>
  <c r="Y42" i="15" s="1"/>
  <c r="P46" i="15"/>
  <c r="U46" i="15"/>
  <c r="Y46" i="15" s="1"/>
  <c r="X26" i="15"/>
  <c r="AB26" i="15" s="1"/>
  <c r="V26" i="15"/>
  <c r="Z26" i="15" s="1"/>
  <c r="X29" i="15"/>
  <c r="AB29" i="15" s="1"/>
  <c r="V29" i="15"/>
  <c r="Z29" i="15" s="1"/>
  <c r="X31" i="15"/>
  <c r="AB31" i="15" s="1"/>
  <c r="V31" i="15"/>
  <c r="Z31" i="15" s="1"/>
  <c r="W25" i="15"/>
  <c r="AA25" i="15" s="1"/>
  <c r="N25" i="15"/>
  <c r="R25" i="15" s="1"/>
  <c r="W26" i="15"/>
  <c r="AA26" i="15" s="1"/>
  <c r="N26" i="15"/>
  <c r="W27" i="15"/>
  <c r="AA27" i="15" s="1"/>
  <c r="N27" i="15"/>
  <c r="W28" i="15"/>
  <c r="AA28" i="15" s="1"/>
  <c r="N28" i="15"/>
  <c r="W29" i="15"/>
  <c r="AA29" i="15" s="1"/>
  <c r="N29" i="15"/>
  <c r="W30" i="15"/>
  <c r="AA30" i="15" s="1"/>
  <c r="N30" i="15"/>
  <c r="W31" i="15"/>
  <c r="AA31" i="15" s="1"/>
  <c r="N31" i="15"/>
  <c r="W32" i="15"/>
  <c r="AA32" i="15" s="1"/>
  <c r="N32" i="15"/>
  <c r="W33" i="15"/>
  <c r="AA33" i="15" s="1"/>
  <c r="N33" i="15"/>
  <c r="W34" i="15"/>
  <c r="AA34" i="15" s="1"/>
  <c r="N34" i="15"/>
  <c r="W35" i="15"/>
  <c r="AA35" i="15" s="1"/>
  <c r="N35" i="15"/>
  <c r="W36" i="15"/>
  <c r="AA36" i="15" s="1"/>
  <c r="N36" i="15"/>
  <c r="W37" i="15"/>
  <c r="AA37" i="15" s="1"/>
  <c r="N37" i="15"/>
  <c r="W38" i="15"/>
  <c r="AA38" i="15" s="1"/>
  <c r="N38" i="15"/>
  <c r="W39" i="15"/>
  <c r="AA39" i="15" s="1"/>
  <c r="N39" i="15"/>
  <c r="W40" i="15"/>
  <c r="AA40" i="15" s="1"/>
  <c r="N40" i="15"/>
  <c r="W41" i="15"/>
  <c r="AA41" i="15" s="1"/>
  <c r="N41" i="15"/>
  <c r="W42" i="15"/>
  <c r="AA42" i="15" s="1"/>
  <c r="N42" i="15"/>
  <c r="W43" i="15"/>
  <c r="AA43" i="15" s="1"/>
  <c r="N43" i="15"/>
  <c r="W44" i="15"/>
  <c r="AA44" i="15" s="1"/>
  <c r="N44" i="15"/>
  <c r="W45" i="15"/>
  <c r="AA45" i="15" s="1"/>
  <c r="N45" i="15"/>
  <c r="W46" i="15"/>
  <c r="AA46" i="15" s="1"/>
  <c r="N46" i="15"/>
  <c r="U27" i="15"/>
  <c r="Y27" i="15" s="1"/>
  <c r="P27" i="15"/>
  <c r="P30" i="15"/>
  <c r="U30" i="15"/>
  <c r="Y30" i="15" s="1"/>
  <c r="U33" i="15"/>
  <c r="Y33" i="15" s="1"/>
  <c r="P33" i="15"/>
  <c r="U37" i="15"/>
  <c r="Y37" i="15" s="1"/>
  <c r="P37" i="15"/>
  <c r="U40" i="15"/>
  <c r="Y40" i="15" s="1"/>
  <c r="P40" i="15"/>
  <c r="P43" i="15"/>
  <c r="U43" i="15"/>
  <c r="Y43" i="15" s="1"/>
  <c r="P45" i="15"/>
  <c r="U45" i="15"/>
  <c r="Y45" i="15" s="1"/>
  <c r="AB25" i="15"/>
  <c r="Z25" i="15"/>
  <c r="X28" i="15"/>
  <c r="AB28" i="15" s="1"/>
  <c r="V28" i="15"/>
  <c r="Z28" i="15" s="1"/>
  <c r="X32" i="15"/>
  <c r="AB32" i="15" s="1"/>
  <c r="V32" i="15"/>
  <c r="Z32" i="15" s="1"/>
  <c r="X33" i="15"/>
  <c r="AB33" i="15" s="1"/>
  <c r="V33" i="15"/>
  <c r="Z33" i="15" s="1"/>
  <c r="X34" i="15"/>
  <c r="AB34" i="15" s="1"/>
  <c r="V34" i="15"/>
  <c r="Z34" i="15" s="1"/>
  <c r="X35" i="15"/>
  <c r="AB35" i="15" s="1"/>
  <c r="V35" i="15"/>
  <c r="Z35" i="15" s="1"/>
  <c r="X36" i="15"/>
  <c r="AB36" i="15" s="1"/>
  <c r="V36" i="15"/>
  <c r="Z36" i="15" s="1"/>
  <c r="X37" i="15"/>
  <c r="AB37" i="15" s="1"/>
  <c r="V37" i="15"/>
  <c r="Z37" i="15" s="1"/>
  <c r="X38" i="15"/>
  <c r="AB38" i="15" s="1"/>
  <c r="V38" i="15"/>
  <c r="Z38" i="15" s="1"/>
  <c r="X39" i="15"/>
  <c r="AB39" i="15" s="1"/>
  <c r="V39" i="15"/>
  <c r="Z39" i="15" s="1"/>
  <c r="X40" i="15"/>
  <c r="AB40" i="15" s="1"/>
  <c r="V40" i="15"/>
  <c r="Z40" i="15" s="1"/>
  <c r="X41" i="15"/>
  <c r="AB41" i="15" s="1"/>
  <c r="V41" i="15"/>
  <c r="Z41" i="15" s="1"/>
  <c r="X42" i="15"/>
  <c r="AB42" i="15" s="1"/>
  <c r="V42" i="15"/>
  <c r="Z42" i="15" s="1"/>
  <c r="X43" i="15"/>
  <c r="AB43" i="15" s="1"/>
  <c r="V43" i="15"/>
  <c r="Z43" i="15" s="1"/>
  <c r="AB44" i="15"/>
  <c r="V44" i="15"/>
  <c r="Z44" i="15" s="1"/>
  <c r="X45" i="15"/>
  <c r="AB45" i="15" s="1"/>
  <c r="V45" i="15"/>
  <c r="Z45" i="15" s="1"/>
  <c r="X46" i="15"/>
  <c r="AB46" i="15" s="1"/>
  <c r="V46" i="15"/>
  <c r="Z46" i="15" s="1"/>
  <c r="P26" i="15"/>
  <c r="U26" i="15"/>
  <c r="Y26" i="15" s="1"/>
  <c r="U29" i="15"/>
  <c r="Y29" i="15" s="1"/>
  <c r="P29" i="15"/>
  <c r="U32" i="15"/>
  <c r="Y32" i="15" s="1"/>
  <c r="P32" i="15"/>
  <c r="U35" i="15"/>
  <c r="Y35" i="15" s="1"/>
  <c r="P35" i="15"/>
  <c r="P38" i="15"/>
  <c r="U38" i="15"/>
  <c r="Y38" i="15" s="1"/>
  <c r="U41" i="15"/>
  <c r="Y41" i="15" s="1"/>
  <c r="P41" i="15"/>
  <c r="P44" i="15"/>
  <c r="U44" i="15"/>
  <c r="Y44" i="15" s="1"/>
  <c r="X27" i="15"/>
  <c r="AB27" i="15" s="1"/>
  <c r="V27" i="15"/>
  <c r="Z27" i="15" s="1"/>
  <c r="X30" i="15"/>
  <c r="AB30" i="15" s="1"/>
  <c r="V30" i="15"/>
  <c r="Z30" i="15" s="1"/>
  <c r="L67" i="15"/>
  <c r="M66" i="15" s="1"/>
  <c r="O68" i="15"/>
  <c r="K50" i="15"/>
  <c r="J48" i="15"/>
  <c r="K48" i="15"/>
  <c r="I48" i="15"/>
  <c r="L48" i="15"/>
  <c r="L47" i="15"/>
  <c r="J47" i="15"/>
  <c r="I47" i="15"/>
  <c r="K47" i="15"/>
  <c r="E15" i="14"/>
  <c r="W48" i="15" l="1"/>
  <c r="E40" i="18"/>
  <c r="D40" i="18"/>
  <c r="F40" i="18"/>
  <c r="B42" i="18"/>
  <c r="C41" i="18"/>
  <c r="P50" i="15"/>
  <c r="AG25" i="15"/>
  <c r="AH26" i="15" s="1"/>
  <c r="AG35" i="15"/>
  <c r="AG27" i="15"/>
  <c r="AH27" i="15" s="1"/>
  <c r="AG41" i="15"/>
  <c r="AG33" i="15"/>
  <c r="AG40" i="15"/>
  <c r="AG32" i="15"/>
  <c r="AG34" i="15"/>
  <c r="AG28" i="15"/>
  <c r="AH29" i="15" s="1"/>
  <c r="AG39" i="15"/>
  <c r="AG31" i="15"/>
  <c r="AH32" i="15" s="1"/>
  <c r="AG36" i="15"/>
  <c r="AG38" i="15"/>
  <c r="AG30" i="15"/>
  <c r="AG37" i="15"/>
  <c r="AG29" i="15"/>
  <c r="AG47" i="15"/>
  <c r="AG48" i="15"/>
  <c r="AG45" i="15"/>
  <c r="AG43" i="15"/>
  <c r="AG46" i="15"/>
  <c r="AG49" i="15"/>
  <c r="AH49" i="15" s="1"/>
  <c r="AG44" i="15"/>
  <c r="AG42" i="15"/>
  <c r="X50" i="15"/>
  <c r="AB50" i="15" s="1"/>
  <c r="J50" i="15"/>
  <c r="I50" i="15"/>
  <c r="L55" i="15" s="1"/>
  <c r="L68" i="15"/>
  <c r="K68" i="15"/>
  <c r="K69" i="15" s="1"/>
  <c r="M68" i="15"/>
  <c r="L53" i="15"/>
  <c r="T43" i="15"/>
  <c r="O43" i="15"/>
  <c r="S43" i="15" s="1"/>
  <c r="M46" i="15"/>
  <c r="Q46" i="15" s="1"/>
  <c r="R46" i="15"/>
  <c r="M26" i="15"/>
  <c r="Q26" i="15" s="1"/>
  <c r="R26" i="15"/>
  <c r="P48" i="15"/>
  <c r="U48" i="15"/>
  <c r="Y48" i="15" s="1"/>
  <c r="P47" i="15"/>
  <c r="U47" i="15"/>
  <c r="Y47" i="15" s="1"/>
  <c r="AA48" i="15"/>
  <c r="N48" i="15"/>
  <c r="T38" i="15"/>
  <c r="O38" i="15"/>
  <c r="S38" i="15" s="1"/>
  <c r="X48" i="15"/>
  <c r="AB48" i="15" s="1"/>
  <c r="V48" i="15"/>
  <c r="Z48" i="15" s="1"/>
  <c r="T41" i="15"/>
  <c r="O41" i="15"/>
  <c r="S41" i="15" s="1"/>
  <c r="T35" i="15"/>
  <c r="O35" i="15"/>
  <c r="S35" i="15" s="1"/>
  <c r="T29" i="15"/>
  <c r="O29" i="15"/>
  <c r="S29" i="15" s="1"/>
  <c r="T37" i="15"/>
  <c r="O37" i="15"/>
  <c r="S37" i="15" s="1"/>
  <c r="R45" i="15"/>
  <c r="M45" i="15"/>
  <c r="Q45" i="15" s="1"/>
  <c r="M42" i="15"/>
  <c r="Q42" i="15" s="1"/>
  <c r="R42" i="15"/>
  <c r="M39" i="15"/>
  <c r="Q39" i="15" s="1"/>
  <c r="R39" i="15"/>
  <c r="R37" i="15"/>
  <c r="M37" i="15"/>
  <c r="Q37" i="15" s="1"/>
  <c r="M35" i="15"/>
  <c r="Q35" i="15" s="1"/>
  <c r="R35" i="15"/>
  <c r="R33" i="15"/>
  <c r="M33" i="15"/>
  <c r="Q33" i="15" s="1"/>
  <c r="M31" i="15"/>
  <c r="Q31" i="15" s="1"/>
  <c r="R31" i="15"/>
  <c r="R29" i="15"/>
  <c r="M29" i="15"/>
  <c r="Q29" i="15" s="1"/>
  <c r="M25" i="15"/>
  <c r="Q25" i="15" s="1"/>
  <c r="T36" i="15"/>
  <c r="O36" i="15"/>
  <c r="S36" i="15" s="1"/>
  <c r="T31" i="15"/>
  <c r="O31" i="15"/>
  <c r="S31" i="15" s="1"/>
  <c r="T30" i="15"/>
  <c r="O30" i="15"/>
  <c r="S30" i="15" s="1"/>
  <c r="T42" i="15"/>
  <c r="O42" i="15"/>
  <c r="S42" i="15" s="1"/>
  <c r="T32" i="15"/>
  <c r="O32" i="15"/>
  <c r="S32" i="15" s="1"/>
  <c r="T40" i="15"/>
  <c r="O40" i="15"/>
  <c r="S40" i="15" s="1"/>
  <c r="T33" i="15"/>
  <c r="O33" i="15"/>
  <c r="S33" i="15" s="1"/>
  <c r="T27" i="15"/>
  <c r="O27" i="15"/>
  <c r="S27" i="15" s="1"/>
  <c r="R44" i="15"/>
  <c r="M44" i="15"/>
  <c r="Q44" i="15" s="1"/>
  <c r="R40" i="15"/>
  <c r="M40" i="15"/>
  <c r="Q40" i="15" s="1"/>
  <c r="M38" i="15"/>
  <c r="Q38" i="15" s="1"/>
  <c r="R38" i="15"/>
  <c r="R36" i="15"/>
  <c r="M36" i="15"/>
  <c r="Q36" i="15" s="1"/>
  <c r="M34" i="15"/>
  <c r="Q34" i="15" s="1"/>
  <c r="R34" i="15"/>
  <c r="R32" i="15"/>
  <c r="M32" i="15"/>
  <c r="Q32" i="15" s="1"/>
  <c r="M30" i="15"/>
  <c r="Q30" i="15" s="1"/>
  <c r="R30" i="15"/>
  <c r="M27" i="15"/>
  <c r="Q27" i="15" s="1"/>
  <c r="R27" i="15"/>
  <c r="T39" i="15"/>
  <c r="O39" i="15"/>
  <c r="S39" i="15" s="1"/>
  <c r="T28" i="15"/>
  <c r="O28" i="15"/>
  <c r="S28" i="15" s="1"/>
  <c r="O25" i="15"/>
  <c r="S25" i="15" s="1"/>
  <c r="W47" i="15"/>
  <c r="AA47" i="15" s="1"/>
  <c r="N47" i="15"/>
  <c r="R43" i="15"/>
  <c r="M43" i="15"/>
  <c r="Q43" i="15" s="1"/>
  <c r="X47" i="15"/>
  <c r="AB47" i="15" s="1"/>
  <c r="V47" i="15"/>
  <c r="Z47" i="15" s="1"/>
  <c r="T44" i="15"/>
  <c r="O44" i="15"/>
  <c r="S44" i="15" s="1"/>
  <c r="T26" i="15"/>
  <c r="O26" i="15"/>
  <c r="S26" i="15" s="1"/>
  <c r="T45" i="15"/>
  <c r="O45" i="15"/>
  <c r="S45" i="15" s="1"/>
  <c r="R41" i="15"/>
  <c r="M41" i="15"/>
  <c r="Q41" i="15" s="1"/>
  <c r="R28" i="15"/>
  <c r="M28" i="15"/>
  <c r="Q28" i="15" s="1"/>
  <c r="T46" i="15"/>
  <c r="O46" i="15"/>
  <c r="S46" i="15" s="1"/>
  <c r="T34" i="15"/>
  <c r="O34" i="15"/>
  <c r="S34" i="15" s="1"/>
  <c r="S29" i="14"/>
  <c r="W29" i="14" s="1"/>
  <c r="T36" i="14"/>
  <c r="X36" i="14" s="1"/>
  <c r="T33" i="14"/>
  <c r="X33" i="14" s="1"/>
  <c r="T29" i="14"/>
  <c r="X29" i="14" s="1"/>
  <c r="T34" i="14"/>
  <c r="X34" i="14" s="1"/>
  <c r="T31" i="14"/>
  <c r="X31" i="14" s="1"/>
  <c r="T35" i="14"/>
  <c r="X35" i="14" s="1"/>
  <c r="T32" i="14"/>
  <c r="X32" i="14" s="1"/>
  <c r="T30" i="14"/>
  <c r="S30" i="14"/>
  <c r="W30" i="14" s="1"/>
  <c r="S33" i="14"/>
  <c r="S32" i="14"/>
  <c r="W32" i="14" s="1"/>
  <c r="S34" i="14"/>
  <c r="T37" i="14"/>
  <c r="X37" i="14" s="1"/>
  <c r="S36" i="14"/>
  <c r="S37" i="14"/>
  <c r="W37" i="14" s="1"/>
  <c r="S31" i="14"/>
  <c r="W31" i="14" s="1"/>
  <c r="S35" i="14"/>
  <c r="E42" i="14"/>
  <c r="N67" i="15"/>
  <c r="N66" i="15"/>
  <c r="K49" i="15"/>
  <c r="J49" i="15"/>
  <c r="F50" i="15"/>
  <c r="AG51" i="15" s="1"/>
  <c r="L49" i="15"/>
  <c r="I49" i="15"/>
  <c r="E20" i="15"/>
  <c r="W36" i="14" l="1"/>
  <c r="X44" i="14" s="1"/>
  <c r="T44" i="14"/>
  <c r="AE26" i="15"/>
  <c r="W34" i="14"/>
  <c r="X42" i="14" s="1"/>
  <c r="T42" i="14"/>
  <c r="W33" i="14"/>
  <c r="X41" i="14" s="1"/>
  <c r="T41" i="14"/>
  <c r="W35" i="14"/>
  <c r="X43" i="14" s="1"/>
  <c r="T43" i="14"/>
  <c r="AH40" i="15"/>
  <c r="AD26" i="15"/>
  <c r="AC26" i="15"/>
  <c r="L54" i="15"/>
  <c r="AC25" i="15"/>
  <c r="AH39" i="15"/>
  <c r="AH47" i="15"/>
  <c r="AH34" i="15"/>
  <c r="AH38" i="15"/>
  <c r="AH30" i="15"/>
  <c r="AH36" i="15"/>
  <c r="AH37" i="15"/>
  <c r="AH44" i="15"/>
  <c r="AH35" i="15"/>
  <c r="AH28" i="15"/>
  <c r="AH48" i="15"/>
  <c r="AH33" i="15"/>
  <c r="AH43" i="15"/>
  <c r="AH41" i="15"/>
  <c r="AH45" i="15"/>
  <c r="D41" i="18"/>
  <c r="F41" i="18"/>
  <c r="E41" i="18"/>
  <c r="B43" i="18"/>
  <c r="C42" i="18"/>
  <c r="W50" i="15"/>
  <c r="AA50" i="15" s="1"/>
  <c r="N50" i="15"/>
  <c r="V50" i="15"/>
  <c r="Z50" i="15" s="1"/>
  <c r="AH42" i="15"/>
  <c r="AH31" i="15"/>
  <c r="T50" i="15"/>
  <c r="O50" i="15"/>
  <c r="S50" i="15" s="1"/>
  <c r="AH46" i="15"/>
  <c r="U50" i="15"/>
  <c r="Y50" i="15" s="1"/>
  <c r="AG50" i="15"/>
  <c r="AG52" i="15" s="1"/>
  <c r="AD40" i="15"/>
  <c r="AC40" i="15"/>
  <c r="W49" i="15"/>
  <c r="AA49" i="15" s="1"/>
  <c r="N49" i="15"/>
  <c r="AF41" i="15"/>
  <c r="AE41" i="15"/>
  <c r="P49" i="15"/>
  <c r="U49" i="15"/>
  <c r="Y49" i="15" s="1"/>
  <c r="AD28" i="15"/>
  <c r="AC28" i="15"/>
  <c r="AD43" i="15"/>
  <c r="AC43" i="15"/>
  <c r="AF30" i="15"/>
  <c r="AE30" i="15"/>
  <c r="AF34" i="15"/>
  <c r="AE34" i="15"/>
  <c r="AF38" i="15"/>
  <c r="AE38" i="15"/>
  <c r="AD44" i="15"/>
  <c r="AC44" i="15"/>
  <c r="AD29" i="15"/>
  <c r="AC29" i="15"/>
  <c r="AD33" i="15"/>
  <c r="AC33" i="15"/>
  <c r="AD37" i="15"/>
  <c r="AC37" i="15"/>
  <c r="AF42" i="15"/>
  <c r="AE42" i="15"/>
  <c r="R48" i="15"/>
  <c r="M48" i="15"/>
  <c r="AF46" i="15"/>
  <c r="AE46" i="15"/>
  <c r="X49" i="15"/>
  <c r="AB49" i="15" s="1"/>
  <c r="V49" i="15"/>
  <c r="Z49" i="15" s="1"/>
  <c r="AF28" i="15"/>
  <c r="AE28" i="15"/>
  <c r="AF43" i="15"/>
  <c r="AE43" i="15"/>
  <c r="AD30" i="15"/>
  <c r="AC30" i="15"/>
  <c r="AD34" i="15"/>
  <c r="AC34" i="15"/>
  <c r="AD38" i="15"/>
  <c r="AC38" i="15"/>
  <c r="AF44" i="15"/>
  <c r="AE44" i="15"/>
  <c r="AF29" i="15"/>
  <c r="AE29" i="15"/>
  <c r="AF33" i="15"/>
  <c r="AE33" i="15"/>
  <c r="AF37" i="15"/>
  <c r="AE37" i="15"/>
  <c r="AD42" i="15"/>
  <c r="AC42" i="15"/>
  <c r="T48" i="15"/>
  <c r="O48" i="15"/>
  <c r="S48" i="15" s="1"/>
  <c r="AD46" i="15"/>
  <c r="AC46" i="15"/>
  <c r="AD32" i="15"/>
  <c r="AC32" i="15"/>
  <c r="AD36" i="15"/>
  <c r="AC36" i="15"/>
  <c r="AD25" i="15"/>
  <c r="AF31" i="15"/>
  <c r="AE31" i="15"/>
  <c r="AF35" i="15"/>
  <c r="AE35" i="15"/>
  <c r="AF39" i="15"/>
  <c r="AE39" i="15"/>
  <c r="AD45" i="15"/>
  <c r="AC45" i="15"/>
  <c r="AF26" i="15"/>
  <c r="AD41" i="15"/>
  <c r="AC41" i="15"/>
  <c r="R47" i="15"/>
  <c r="M47" i="15"/>
  <c r="Q47" i="15" s="1"/>
  <c r="AF27" i="15"/>
  <c r="AE27" i="15"/>
  <c r="AD27" i="15"/>
  <c r="AC27" i="15"/>
  <c r="AF32" i="15"/>
  <c r="AE32" i="15"/>
  <c r="AF36" i="15"/>
  <c r="AE36" i="15"/>
  <c r="AF40" i="15"/>
  <c r="AE40" i="15"/>
  <c r="AF25" i="15"/>
  <c r="AE25" i="15"/>
  <c r="AD31" i="15"/>
  <c r="AC31" i="15"/>
  <c r="AD35" i="15"/>
  <c r="AC35" i="15"/>
  <c r="AD39" i="15"/>
  <c r="AC39" i="15"/>
  <c r="AF45" i="15"/>
  <c r="AE45" i="15"/>
  <c r="T47" i="15"/>
  <c r="O47" i="15"/>
  <c r="S47" i="15" s="1"/>
  <c r="X30" i="14"/>
  <c r="F42" i="14"/>
  <c r="N69" i="15"/>
  <c r="L69" i="15"/>
  <c r="N68" i="15"/>
  <c r="AH25" i="15"/>
  <c r="G50" i="12"/>
  <c r="H50" i="12"/>
  <c r="F50" i="12"/>
  <c r="E53" i="12"/>
  <c r="K50" i="12" s="1"/>
  <c r="E33" i="6"/>
  <c r="G76" i="6"/>
  <c r="F76" i="6"/>
  <c r="E76" i="6"/>
  <c r="F42" i="18" l="1"/>
  <c r="E42" i="18"/>
  <c r="D42" i="18"/>
  <c r="B44" i="18"/>
  <c r="C43" i="18"/>
  <c r="F53" i="12"/>
  <c r="K52" i="12"/>
  <c r="L52" i="12"/>
  <c r="L50" i="12"/>
  <c r="N50" i="12" s="1"/>
  <c r="M50" i="15"/>
  <c r="R50" i="15"/>
  <c r="Q48" i="15"/>
  <c r="T53" i="15" s="1"/>
  <c r="P53" i="15"/>
  <c r="AD47" i="15"/>
  <c r="AC47" i="15"/>
  <c r="AF47" i="15"/>
  <c r="AE47" i="15"/>
  <c r="T49" i="15"/>
  <c r="O49" i="15"/>
  <c r="S49" i="15" s="1"/>
  <c r="R49" i="15"/>
  <c r="M49" i="15"/>
  <c r="AD48" i="15"/>
  <c r="AC48" i="15"/>
  <c r="AF48" i="15"/>
  <c r="AE48" i="15"/>
  <c r="E7" i="14"/>
  <c r="E23" i="14" s="1"/>
  <c r="E7" i="12"/>
  <c r="D11" i="10"/>
  <c r="I15" i="10"/>
  <c r="D18" i="6"/>
  <c r="K60" i="12" l="1"/>
  <c r="K61" i="12"/>
  <c r="K62" i="12"/>
  <c r="K63" i="12"/>
  <c r="K64" i="12"/>
  <c r="K65" i="12"/>
  <c r="K66" i="12"/>
  <c r="K67" i="12"/>
  <c r="K68" i="12"/>
  <c r="K69" i="12"/>
  <c r="K70" i="12"/>
  <c r="K71" i="12"/>
  <c r="K72" i="12"/>
  <c r="K73" i="12"/>
  <c r="K74" i="12"/>
  <c r="K75" i="12"/>
  <c r="K76" i="12"/>
  <c r="K77" i="12"/>
  <c r="K78" i="12"/>
  <c r="K79" i="12"/>
  <c r="K80" i="12"/>
  <c r="K81" i="12"/>
  <c r="K83" i="12"/>
  <c r="K82" i="12"/>
  <c r="AC53" i="15"/>
  <c r="E19" i="12"/>
  <c r="U27" i="12"/>
  <c r="U32" i="12"/>
  <c r="U36" i="12"/>
  <c r="U40" i="12"/>
  <c r="U44" i="12"/>
  <c r="U48" i="12"/>
  <c r="U28" i="12"/>
  <c r="U29" i="12"/>
  <c r="U33" i="12"/>
  <c r="U37" i="12"/>
  <c r="U41" i="12"/>
  <c r="U45" i="12"/>
  <c r="U49" i="12"/>
  <c r="U30" i="12"/>
  <c r="U34" i="12"/>
  <c r="U38" i="12"/>
  <c r="U42" i="12"/>
  <c r="U46" i="12"/>
  <c r="U26" i="12"/>
  <c r="U31" i="12"/>
  <c r="U35" i="12"/>
  <c r="U39" i="12"/>
  <c r="U43" i="12"/>
  <c r="U47" i="12"/>
  <c r="E24" i="14"/>
  <c r="AC29" i="14"/>
  <c r="AD29" i="14" s="1"/>
  <c r="AC38" i="14"/>
  <c r="F43" i="18"/>
  <c r="E43" i="18"/>
  <c r="D43" i="18"/>
  <c r="B45" i="18"/>
  <c r="C44" i="18"/>
  <c r="Q50" i="15"/>
  <c r="P55" i="15"/>
  <c r="Q49" i="15"/>
  <c r="T54" i="15" s="1"/>
  <c r="P54" i="15"/>
  <c r="E20" i="12"/>
  <c r="J52" i="12"/>
  <c r="I52" i="12"/>
  <c r="I50" i="12"/>
  <c r="J50" i="12"/>
  <c r="P50" i="12" s="1"/>
  <c r="AF50" i="15"/>
  <c r="AE50" i="15"/>
  <c r="AF49" i="15"/>
  <c r="AE49" i="15"/>
  <c r="Q34" i="14"/>
  <c r="R35" i="14"/>
  <c r="R31" i="14"/>
  <c r="Q29" i="14"/>
  <c r="Y29" i="14" s="1"/>
  <c r="R34" i="14"/>
  <c r="R33" i="14"/>
  <c r="Q32" i="14"/>
  <c r="R29" i="14"/>
  <c r="R36" i="14"/>
  <c r="Q33" i="14"/>
  <c r="R32" i="14"/>
  <c r="Q31" i="14"/>
  <c r="Q35" i="14"/>
  <c r="R43" i="14" s="1"/>
  <c r="R37" i="14"/>
  <c r="Q37" i="14"/>
  <c r="R30" i="14"/>
  <c r="Q36" i="14"/>
  <c r="R44" i="14" s="1"/>
  <c r="Q30" i="14"/>
  <c r="Y30" i="12"/>
  <c r="Y32" i="12"/>
  <c r="E24" i="12"/>
  <c r="X24" i="12" s="1"/>
  <c r="F24" i="12"/>
  <c r="G24" i="12"/>
  <c r="H24" i="12"/>
  <c r="Y24" i="12" s="1"/>
  <c r="I24" i="12"/>
  <c r="J24" i="12"/>
  <c r="K24" i="12"/>
  <c r="L24" i="12"/>
  <c r="I25" i="12"/>
  <c r="J25" i="12"/>
  <c r="K25" i="12"/>
  <c r="L25" i="12"/>
  <c r="I26" i="12"/>
  <c r="J26" i="12"/>
  <c r="K26" i="12"/>
  <c r="L26" i="12"/>
  <c r="X26" i="12"/>
  <c r="Y26" i="12"/>
  <c r="I27" i="12"/>
  <c r="J27" i="12"/>
  <c r="K27" i="12"/>
  <c r="L27" i="12"/>
  <c r="X27" i="12"/>
  <c r="Y27" i="12"/>
  <c r="Y28" i="12"/>
  <c r="Y29" i="12"/>
  <c r="W59" i="12" l="1"/>
  <c r="V59" i="12"/>
  <c r="O26" i="12"/>
  <c r="Q26" i="12" s="1"/>
  <c r="S26" i="12" s="1"/>
  <c r="M26" i="12"/>
  <c r="V60" i="12" s="1"/>
  <c r="N25" i="12"/>
  <c r="L59" i="12" s="1"/>
  <c r="M59" i="12" s="1"/>
  <c r="P25" i="12"/>
  <c r="R25" i="12" s="1"/>
  <c r="M25" i="12"/>
  <c r="O25" i="12"/>
  <c r="Q25" i="12" s="1"/>
  <c r="S25" i="12" s="1"/>
  <c r="N26" i="12"/>
  <c r="L60" i="12" s="1"/>
  <c r="M60" i="12" s="1"/>
  <c r="M50" i="12"/>
  <c r="O50" i="12"/>
  <c r="P26" i="12"/>
  <c r="R26" i="12" s="1"/>
  <c r="P27" i="12"/>
  <c r="R27" i="12" s="1"/>
  <c r="M27" i="12"/>
  <c r="V61" i="12" s="1"/>
  <c r="O27" i="12"/>
  <c r="Q27" i="12" s="1"/>
  <c r="S27" i="12" s="1"/>
  <c r="N27" i="12"/>
  <c r="L61" i="12" s="1"/>
  <c r="M61" i="12" s="1"/>
  <c r="AH26" i="12"/>
  <c r="AF26" i="12"/>
  <c r="F60" i="12"/>
  <c r="H60" i="12" s="1"/>
  <c r="AE26" i="12"/>
  <c r="AG26" i="12"/>
  <c r="AH25" i="12"/>
  <c r="F59" i="12"/>
  <c r="H59" i="12" s="1"/>
  <c r="AF25" i="12"/>
  <c r="AG25" i="12"/>
  <c r="AE25" i="12"/>
  <c r="F61" i="12"/>
  <c r="H61" i="12" s="1"/>
  <c r="AF27" i="12"/>
  <c r="AE27" i="12"/>
  <c r="AG27" i="12"/>
  <c r="AH27" i="12"/>
  <c r="AC49" i="15"/>
  <c r="AC54" i="15" s="1"/>
  <c r="R41" i="14"/>
  <c r="R42" i="14"/>
  <c r="U25" i="12"/>
  <c r="V25" i="12" s="1"/>
  <c r="E44" i="18"/>
  <c r="D44" i="18"/>
  <c r="F44" i="18"/>
  <c r="B46" i="18"/>
  <c r="C45" i="18"/>
  <c r="AD49" i="15"/>
  <c r="U51" i="12"/>
  <c r="T55" i="15"/>
  <c r="AC50" i="15"/>
  <c r="AD50" i="15"/>
  <c r="Z36" i="14"/>
  <c r="Y36" i="14"/>
  <c r="U36" i="14"/>
  <c r="Z35" i="14"/>
  <c r="Y35" i="14"/>
  <c r="U35" i="14"/>
  <c r="V43" i="14" s="1"/>
  <c r="V36" i="14"/>
  <c r="AB36" i="14"/>
  <c r="AA36" i="14"/>
  <c r="V34" i="14"/>
  <c r="AB34" i="14"/>
  <c r="AA34" i="14"/>
  <c r="Z34" i="14"/>
  <c r="Y34" i="14"/>
  <c r="U34" i="14"/>
  <c r="V30" i="14"/>
  <c r="AA30" i="14"/>
  <c r="AB30" i="14"/>
  <c r="Z31" i="14"/>
  <c r="Y31" i="14"/>
  <c r="U31" i="14"/>
  <c r="V29" i="14"/>
  <c r="E41" i="14" s="1"/>
  <c r="F41" i="14" s="1"/>
  <c r="AB29" i="14"/>
  <c r="AA29" i="14"/>
  <c r="AN33" i="14" s="1"/>
  <c r="AN35" i="14" s="1"/>
  <c r="Z29" i="14"/>
  <c r="U29" i="14"/>
  <c r="AC34" i="14"/>
  <c r="AC30" i="14"/>
  <c r="AC35" i="14"/>
  <c r="AC36" i="14"/>
  <c r="AC32" i="14"/>
  <c r="AC37" i="14"/>
  <c r="AC33" i="14"/>
  <c r="AC31" i="14"/>
  <c r="Y37" i="14"/>
  <c r="Z37" i="14"/>
  <c r="U37" i="14"/>
  <c r="V32" i="14"/>
  <c r="AB32" i="14"/>
  <c r="AA32" i="14"/>
  <c r="Z32" i="14"/>
  <c r="Y32" i="14"/>
  <c r="U32" i="14"/>
  <c r="V31" i="14"/>
  <c r="AB31" i="14"/>
  <c r="AA31" i="14"/>
  <c r="U30" i="14"/>
  <c r="Y30" i="14"/>
  <c r="Z30" i="14"/>
  <c r="AA37" i="14"/>
  <c r="V37" i="14"/>
  <c r="AB37" i="14"/>
  <c r="Z33" i="14"/>
  <c r="Y33" i="14"/>
  <c r="U33" i="14"/>
  <c r="V33" i="14"/>
  <c r="AB33" i="14"/>
  <c r="AA33" i="14"/>
  <c r="V35" i="14"/>
  <c r="AB35" i="14"/>
  <c r="AA35" i="14"/>
  <c r="X48" i="12"/>
  <c r="J28" i="12"/>
  <c r="K28" i="12"/>
  <c r="I28" i="12"/>
  <c r="X28" i="12"/>
  <c r="L28" i="12"/>
  <c r="Y31" i="12"/>
  <c r="X49" i="12"/>
  <c r="P54" i="12"/>
  <c r="W60" i="12" l="1"/>
  <c r="O59" i="12"/>
  <c r="Q59" i="12" s="1"/>
  <c r="V42" i="14"/>
  <c r="W61" i="12"/>
  <c r="O60" i="12"/>
  <c r="Q60" i="12" s="1"/>
  <c r="T26" i="12"/>
  <c r="T25" i="12"/>
  <c r="T27" i="12"/>
  <c r="O61" i="12"/>
  <c r="Q61" i="12" s="1"/>
  <c r="P28" i="12"/>
  <c r="R28" i="12" s="1"/>
  <c r="O28" i="12"/>
  <c r="Q28" i="12" s="1"/>
  <c r="S28" i="12" s="1"/>
  <c r="M28" i="12"/>
  <c r="V62" i="12" s="1"/>
  <c r="N28" i="12"/>
  <c r="L62" i="12" s="1"/>
  <c r="M62" i="12" s="1"/>
  <c r="AH28" i="12"/>
  <c r="F62" i="12"/>
  <c r="H62" i="12" s="1"/>
  <c r="AF28" i="12"/>
  <c r="AE28" i="12"/>
  <c r="AG28" i="12"/>
  <c r="V41" i="14"/>
  <c r="Y41" i="14"/>
  <c r="Y43" i="14"/>
  <c r="V44" i="14"/>
  <c r="Y42" i="14"/>
  <c r="AD31" i="14"/>
  <c r="AH31" i="14" s="1"/>
  <c r="AD34" i="14"/>
  <c r="K38" i="14"/>
  <c r="D45" i="18"/>
  <c r="F45" i="18"/>
  <c r="E45" i="18"/>
  <c r="B47" i="18"/>
  <c r="C46" i="18"/>
  <c r="AC55" i="15"/>
  <c r="AG53" i="15"/>
  <c r="L38" i="14"/>
  <c r="AD33" i="14"/>
  <c r="AH33" i="14" s="1"/>
  <c r="AD37" i="14"/>
  <c r="AD36" i="14"/>
  <c r="L41" i="14"/>
  <c r="K41" i="14"/>
  <c r="AD32" i="14"/>
  <c r="AD30" i="14"/>
  <c r="AN32" i="14" s="1"/>
  <c r="AN34" i="14" s="1"/>
  <c r="AD35" i="14"/>
  <c r="AJ31" i="14"/>
  <c r="AK31" i="14"/>
  <c r="I41" i="14"/>
  <c r="J41" i="14"/>
  <c r="I38" i="14"/>
  <c r="J38" i="14"/>
  <c r="J33" i="12"/>
  <c r="X33" i="12"/>
  <c r="V28" i="12"/>
  <c r="Z28" i="12" s="1"/>
  <c r="Y33" i="12"/>
  <c r="V27" i="12"/>
  <c r="Z27" i="12" s="1"/>
  <c r="V26" i="12"/>
  <c r="Z26" i="12" s="1"/>
  <c r="W62" i="12" l="1"/>
  <c r="O62" i="12"/>
  <c r="Q62" i="12" s="1"/>
  <c r="T28" i="12"/>
  <c r="AC27" i="12"/>
  <c r="AB27" i="12"/>
  <c r="N38" i="14"/>
  <c r="R38" i="14" s="1"/>
  <c r="AN30" i="14" s="1"/>
  <c r="F46" i="18"/>
  <c r="E46" i="18"/>
  <c r="D46" i="18"/>
  <c r="B48" i="18"/>
  <c r="C47" i="18"/>
  <c r="AL31" i="14"/>
  <c r="P38" i="14"/>
  <c r="T38" i="14" s="1"/>
  <c r="X38" i="14" s="1"/>
  <c r="AJ34" i="14"/>
  <c r="AH34" i="14"/>
  <c r="AK34" i="14"/>
  <c r="AK30" i="14"/>
  <c r="AH30" i="14"/>
  <c r="AJ30" i="14"/>
  <c r="AK35" i="14"/>
  <c r="AH35" i="14"/>
  <c r="AJ35" i="14"/>
  <c r="AK32" i="14"/>
  <c r="AH32" i="14"/>
  <c r="AJ32" i="14"/>
  <c r="AH36" i="14"/>
  <c r="AJ36" i="14"/>
  <c r="AK36" i="14"/>
  <c r="AJ37" i="14"/>
  <c r="AH37" i="14"/>
  <c r="AK37" i="14"/>
  <c r="O38" i="14"/>
  <c r="S38" i="14" s="1"/>
  <c r="W38" i="14" s="1"/>
  <c r="V38" i="14"/>
  <c r="M38" i="14"/>
  <c r="X29" i="12"/>
  <c r="K29" i="12"/>
  <c r="J29" i="12"/>
  <c r="I29" i="12"/>
  <c r="V29" i="12"/>
  <c r="Z29" i="12" s="1"/>
  <c r="AC29" i="12" s="1"/>
  <c r="L29" i="12"/>
  <c r="AC28" i="12"/>
  <c r="AB28" i="12"/>
  <c r="I33" i="12"/>
  <c r="L33" i="12"/>
  <c r="K33" i="12"/>
  <c r="K34" i="12"/>
  <c r="X34" i="12"/>
  <c r="J34" i="12"/>
  <c r="I34" i="12"/>
  <c r="L34" i="12"/>
  <c r="Y34" i="12"/>
  <c r="AB26" i="12"/>
  <c r="AC26" i="12"/>
  <c r="V67" i="12" l="1"/>
  <c r="V68" i="12"/>
  <c r="P34" i="12"/>
  <c r="R34" i="12" s="1"/>
  <c r="O29" i="12"/>
  <c r="Q29" i="12" s="1"/>
  <c r="S29" i="12" s="1"/>
  <c r="M29" i="12"/>
  <c r="V63" i="12" s="1"/>
  <c r="N29" i="12"/>
  <c r="L63" i="12" s="1"/>
  <c r="M63" i="12" s="1"/>
  <c r="M33" i="12"/>
  <c r="O33" i="12"/>
  <c r="Q33" i="12" s="1"/>
  <c r="S33" i="12" s="1"/>
  <c r="P33" i="12"/>
  <c r="R33" i="12" s="1"/>
  <c r="P29" i="12"/>
  <c r="R29" i="12" s="1"/>
  <c r="N34" i="12"/>
  <c r="L68" i="12" s="1"/>
  <c r="M68" i="12" s="1"/>
  <c r="N33" i="12"/>
  <c r="L67" i="12" s="1"/>
  <c r="M67" i="12" s="1"/>
  <c r="O34" i="12"/>
  <c r="Q34" i="12" s="1"/>
  <c r="S34" i="12" s="1"/>
  <c r="M34" i="12"/>
  <c r="AD27" i="12"/>
  <c r="AF33" i="12"/>
  <c r="AE29" i="12"/>
  <c r="AG29" i="12"/>
  <c r="F68" i="12"/>
  <c r="H68" i="12" s="1"/>
  <c r="AH33" i="12"/>
  <c r="AF29" i="12"/>
  <c r="F63" i="12"/>
  <c r="H63" i="12" s="1"/>
  <c r="AH29" i="12"/>
  <c r="F67" i="12"/>
  <c r="H67" i="12" s="1"/>
  <c r="AE34" i="12"/>
  <c r="AG34" i="12"/>
  <c r="AF34" i="12"/>
  <c r="AH34" i="12"/>
  <c r="AE33" i="12"/>
  <c r="AG33" i="12"/>
  <c r="AB38" i="14"/>
  <c r="F47" i="18"/>
  <c r="E47" i="18"/>
  <c r="D47" i="18"/>
  <c r="B49" i="18"/>
  <c r="C48" i="18"/>
  <c r="AL35" i="14"/>
  <c r="AL36" i="14"/>
  <c r="AL30" i="14"/>
  <c r="AL34" i="14"/>
  <c r="AL37" i="14"/>
  <c r="AL32" i="14"/>
  <c r="AA38" i="14"/>
  <c r="Q38" i="14"/>
  <c r="Y38" i="14" s="1"/>
  <c r="AB29" i="12"/>
  <c r="AD29" i="12" s="1"/>
  <c r="AD28" i="12"/>
  <c r="V34" i="12"/>
  <c r="Z34" i="12" s="1"/>
  <c r="AB34" i="12" s="1"/>
  <c r="X35" i="12"/>
  <c r="V35" i="12"/>
  <c r="Z35" i="12" s="1"/>
  <c r="Y35" i="12"/>
  <c r="L35" i="12"/>
  <c r="J35" i="12"/>
  <c r="I35" i="12"/>
  <c r="K35" i="12"/>
  <c r="Y48" i="12"/>
  <c r="AD26" i="12"/>
  <c r="W63" i="12" l="1"/>
  <c r="W67" i="12"/>
  <c r="W69" i="12"/>
  <c r="W68" i="12"/>
  <c r="O63" i="12"/>
  <c r="Q63" i="12" s="1"/>
  <c r="P35" i="12"/>
  <c r="R35" i="12" s="1"/>
  <c r="T29" i="12"/>
  <c r="N35" i="12"/>
  <c r="L69" i="12" s="1"/>
  <c r="M69" i="12" s="1"/>
  <c r="T33" i="12"/>
  <c r="O67" i="12"/>
  <c r="Q67" i="12" s="1"/>
  <c r="O68" i="12"/>
  <c r="Q68" i="12" s="1"/>
  <c r="T34" i="12"/>
  <c r="M35" i="12"/>
  <c r="V69" i="12" s="1"/>
  <c r="O35" i="12"/>
  <c r="Q35" i="12" s="1"/>
  <c r="S35" i="12" s="1"/>
  <c r="F69" i="12"/>
  <c r="H69" i="12" s="1"/>
  <c r="AH35" i="12"/>
  <c r="AE35" i="12"/>
  <c r="AG35" i="12"/>
  <c r="AF35" i="12"/>
  <c r="AO32" i="14"/>
  <c r="AO33" i="14"/>
  <c r="B50" i="18"/>
  <c r="C49" i="18"/>
  <c r="E48" i="18"/>
  <c r="D48" i="18"/>
  <c r="F48" i="18"/>
  <c r="U38" i="14"/>
  <c r="Z38" i="14"/>
  <c r="Y44" i="14" s="1"/>
  <c r="X30" i="12"/>
  <c r="V30" i="12"/>
  <c r="Z30" i="12" s="1"/>
  <c r="AC30" i="12" s="1"/>
  <c r="L30" i="12"/>
  <c r="J30" i="12"/>
  <c r="K30" i="12"/>
  <c r="I30" i="12"/>
  <c r="AC34" i="12"/>
  <c r="AD34" i="12" s="1"/>
  <c r="AB35" i="12"/>
  <c r="X36" i="12"/>
  <c r="I36" i="12"/>
  <c r="AC35" i="12"/>
  <c r="K36" i="12"/>
  <c r="V36" i="12"/>
  <c r="Z36" i="12" s="1"/>
  <c r="L36" i="12"/>
  <c r="Y36" i="12"/>
  <c r="J36" i="12"/>
  <c r="Y49" i="12"/>
  <c r="D8" i="11"/>
  <c r="G15" i="10"/>
  <c r="P30" i="12" l="1"/>
  <c r="R30" i="12" s="1"/>
  <c r="M30" i="12"/>
  <c r="V64" i="12" s="1"/>
  <c r="O30" i="12"/>
  <c r="Q30" i="12" s="1"/>
  <c r="S30" i="12" s="1"/>
  <c r="N30" i="12"/>
  <c r="L64" i="12" s="1"/>
  <c r="M64" i="12" s="1"/>
  <c r="O36" i="12"/>
  <c r="Q36" i="12" s="1"/>
  <c r="S36" i="12" s="1"/>
  <c r="M36" i="12"/>
  <c r="V70" i="12" s="1"/>
  <c r="N36" i="12"/>
  <c r="L70" i="12" s="1"/>
  <c r="M70" i="12" s="1"/>
  <c r="T35" i="12"/>
  <c r="O69" i="12"/>
  <c r="Q69" i="12" s="1"/>
  <c r="P36" i="12"/>
  <c r="R36" i="12" s="1"/>
  <c r="F70" i="12"/>
  <c r="H70" i="12" s="1"/>
  <c r="F64" i="12"/>
  <c r="H64" i="12" s="1"/>
  <c r="AF30" i="12"/>
  <c r="AE30" i="12"/>
  <c r="AG30" i="12"/>
  <c r="AH30" i="12"/>
  <c r="AH36" i="12"/>
  <c r="AF36" i="12"/>
  <c r="AE36" i="12"/>
  <c r="AG36" i="12"/>
  <c r="AC39" i="14"/>
  <c r="AC40" i="14" s="1"/>
  <c r="AC41" i="14" s="1"/>
  <c r="AP33" i="14"/>
  <c r="AO35" i="14"/>
  <c r="AP35" i="14" s="1"/>
  <c r="AP32" i="14"/>
  <c r="AO34" i="14"/>
  <c r="AP34" i="14" s="1"/>
  <c r="D49" i="18"/>
  <c r="F49" i="18"/>
  <c r="E49" i="18"/>
  <c r="B51" i="18"/>
  <c r="C51" i="18" s="1"/>
  <c r="C50" i="18"/>
  <c r="D16" i="11"/>
  <c r="F35" i="11"/>
  <c r="AB30" i="12"/>
  <c r="AD30" i="12" s="1"/>
  <c r="J37" i="12"/>
  <c r="AD35" i="12"/>
  <c r="AB36" i="12"/>
  <c r="X37" i="12"/>
  <c r="Y37" i="12"/>
  <c r="AC36" i="12"/>
  <c r="M20" i="11"/>
  <c r="L20" i="11"/>
  <c r="L26" i="11"/>
  <c r="K28" i="6"/>
  <c r="L30" i="11"/>
  <c r="L29" i="11"/>
  <c r="L28" i="11"/>
  <c r="L27" i="11"/>
  <c r="L25" i="11"/>
  <c r="M24" i="11"/>
  <c r="L24" i="11"/>
  <c r="F24" i="11"/>
  <c r="H24" i="11" s="1"/>
  <c r="E24" i="11"/>
  <c r="M23" i="11"/>
  <c r="L23" i="11"/>
  <c r="F23" i="11"/>
  <c r="E23" i="11"/>
  <c r="M22" i="11"/>
  <c r="L22" i="11"/>
  <c r="F22" i="11"/>
  <c r="H22" i="11" s="1"/>
  <c r="E22" i="11"/>
  <c r="F21" i="11"/>
  <c r="H21" i="11" s="1"/>
  <c r="E21" i="11"/>
  <c r="G21" i="11" s="1"/>
  <c r="W64" i="12" l="1"/>
  <c r="W70" i="12"/>
  <c r="O70" i="12"/>
  <c r="Q70" i="12" s="1"/>
  <c r="T36" i="12"/>
  <c r="T30" i="12"/>
  <c r="O64" i="12"/>
  <c r="Q64" i="12" s="1"/>
  <c r="C51" i="11"/>
  <c r="G24" i="11"/>
  <c r="C52" i="11"/>
  <c r="H23" i="11"/>
  <c r="D58" i="11" s="1"/>
  <c r="G22" i="11"/>
  <c r="C57" i="11" s="1"/>
  <c r="G23" i="11"/>
  <c r="F51" i="18"/>
  <c r="E51" i="18"/>
  <c r="D51" i="18"/>
  <c r="F50" i="18"/>
  <c r="E50" i="18"/>
  <c r="D50" i="18"/>
  <c r="D17" i="11"/>
  <c r="E35" i="11"/>
  <c r="E31" i="11" s="1"/>
  <c r="F31" i="11"/>
  <c r="H31" i="11" s="1"/>
  <c r="C59" i="11"/>
  <c r="D57" i="11"/>
  <c r="X31" i="12"/>
  <c r="V31" i="12"/>
  <c r="Z31" i="12" s="1"/>
  <c r="AC31" i="12" s="1"/>
  <c r="J31" i="12"/>
  <c r="I31" i="12"/>
  <c r="L31" i="12"/>
  <c r="K31" i="12"/>
  <c r="I37" i="12"/>
  <c r="K37" i="12"/>
  <c r="V37" i="12"/>
  <c r="Z37" i="12" s="1"/>
  <c r="AC37" i="12" s="1"/>
  <c r="L37" i="12"/>
  <c r="K38" i="12"/>
  <c r="X38" i="12"/>
  <c r="AD36" i="12"/>
  <c r="L38" i="12"/>
  <c r="I38" i="12"/>
  <c r="J38" i="12"/>
  <c r="Y38" i="12"/>
  <c r="Q18" i="10"/>
  <c r="M14" i="10"/>
  <c r="L14" i="10"/>
  <c r="L17" i="10"/>
  <c r="P17" i="10" s="1"/>
  <c r="M17" i="10"/>
  <c r="L18" i="10"/>
  <c r="M18" i="10"/>
  <c r="L19" i="10"/>
  <c r="P19" i="10" s="1"/>
  <c r="M19" i="10"/>
  <c r="L20" i="10"/>
  <c r="M20" i="10"/>
  <c r="Q20" i="10" s="1"/>
  <c r="L21" i="10"/>
  <c r="P21" i="10" s="1"/>
  <c r="M21" i="10"/>
  <c r="L22" i="10"/>
  <c r="M22" i="10"/>
  <c r="Q22" i="10" s="1"/>
  <c r="L23" i="10"/>
  <c r="P23" i="10" s="1"/>
  <c r="M23" i="10"/>
  <c r="L24" i="10"/>
  <c r="M24" i="10"/>
  <c r="Q24" i="10" s="1"/>
  <c r="L25" i="10"/>
  <c r="P25" i="10" s="1"/>
  <c r="M25" i="10"/>
  <c r="L26" i="10"/>
  <c r="M26" i="10"/>
  <c r="Q26" i="10" s="1"/>
  <c r="L27" i="10"/>
  <c r="P27" i="10" s="1"/>
  <c r="M27" i="10"/>
  <c r="L28" i="10"/>
  <c r="M28" i="10"/>
  <c r="Q28" i="10" s="1"/>
  <c r="L29" i="10"/>
  <c r="P29" i="10" s="1"/>
  <c r="M29" i="10"/>
  <c r="L30" i="10"/>
  <c r="P30" i="10" s="1"/>
  <c r="M30" i="10"/>
  <c r="M16" i="10"/>
  <c r="Q16" i="10" s="1"/>
  <c r="L16" i="10"/>
  <c r="J15" i="10"/>
  <c r="I27" i="10"/>
  <c r="H27" i="10"/>
  <c r="G27" i="10"/>
  <c r="I30" i="10"/>
  <c r="H30" i="10"/>
  <c r="G30" i="10"/>
  <c r="I29" i="10"/>
  <c r="H29" i="10"/>
  <c r="G29" i="10"/>
  <c r="I28" i="10"/>
  <c r="H28" i="10"/>
  <c r="G28" i="10"/>
  <c r="I16" i="10"/>
  <c r="H16" i="10"/>
  <c r="G16" i="10"/>
  <c r="H15" i="10"/>
  <c r="V71" i="12" l="1"/>
  <c r="W72" i="12"/>
  <c r="P38" i="12"/>
  <c r="R38" i="12" s="1"/>
  <c r="O37" i="12"/>
  <c r="Q37" i="12" s="1"/>
  <c r="S37" i="12" s="1"/>
  <c r="M37" i="12"/>
  <c r="N31" i="12"/>
  <c r="L65" i="12" s="1"/>
  <c r="M65" i="12" s="1"/>
  <c r="M38" i="12"/>
  <c r="V72" i="12" s="1"/>
  <c r="O38" i="12"/>
  <c r="Q38" i="12" s="1"/>
  <c r="S38" i="12" s="1"/>
  <c r="P37" i="12"/>
  <c r="R37" i="12" s="1"/>
  <c r="N37" i="12"/>
  <c r="L71" i="12" s="1"/>
  <c r="M71" i="12" s="1"/>
  <c r="M31" i="12"/>
  <c r="V65" i="12" s="1"/>
  <c r="O31" i="12"/>
  <c r="Q31" i="12" s="1"/>
  <c r="S31" i="12" s="1"/>
  <c r="N38" i="12"/>
  <c r="L72" i="12" s="1"/>
  <c r="M72" i="12" s="1"/>
  <c r="P31" i="12"/>
  <c r="R31" i="12" s="1"/>
  <c r="AF37" i="12"/>
  <c r="F72" i="12"/>
  <c r="H72" i="12" s="1"/>
  <c r="F65" i="12"/>
  <c r="H65" i="12" s="1"/>
  <c r="AH37" i="12"/>
  <c r="AH31" i="12"/>
  <c r="F71" i="12"/>
  <c r="H71" i="12" s="1"/>
  <c r="AE37" i="12"/>
  <c r="AG37" i="12"/>
  <c r="AG38" i="12"/>
  <c r="AE38" i="12"/>
  <c r="AH38" i="12"/>
  <c r="AF38" i="12"/>
  <c r="AF31" i="12"/>
  <c r="AE31" i="12"/>
  <c r="AG31" i="12"/>
  <c r="G31" i="11"/>
  <c r="I32" i="11"/>
  <c r="I33" i="11" s="1"/>
  <c r="I34" i="11" s="1"/>
  <c r="R32" i="11"/>
  <c r="C58" i="11"/>
  <c r="D59" i="11"/>
  <c r="AB31" i="12"/>
  <c r="AD31" i="12" s="1"/>
  <c r="AB37" i="12"/>
  <c r="AD37" i="12" s="1"/>
  <c r="V38" i="12"/>
  <c r="Z38" i="12" s="1"/>
  <c r="AB38" i="12" s="1"/>
  <c r="J39" i="12"/>
  <c r="X39" i="12"/>
  <c r="Y39" i="12"/>
  <c r="R32" i="10"/>
  <c r="I32" i="10"/>
  <c r="J16" i="10"/>
  <c r="N16" i="10" s="1"/>
  <c r="P16" i="10" s="1"/>
  <c r="R16" i="10" s="1"/>
  <c r="J23" i="11"/>
  <c r="N23" i="11" s="1"/>
  <c r="Q23" i="11" s="1"/>
  <c r="J24" i="11"/>
  <c r="N24" i="11" s="1"/>
  <c r="P24" i="11" s="1"/>
  <c r="J22" i="11"/>
  <c r="N22" i="11" s="1"/>
  <c r="J21" i="11"/>
  <c r="R21" i="11" s="1"/>
  <c r="J25" i="11"/>
  <c r="P23" i="11"/>
  <c r="G17" i="10"/>
  <c r="J28" i="10"/>
  <c r="N28" i="10" s="1"/>
  <c r="P28" i="10" s="1"/>
  <c r="R28" i="10" s="1"/>
  <c r="J30" i="10"/>
  <c r="N30" i="10" s="1"/>
  <c r="Q30" i="10" s="1"/>
  <c r="R30" i="10" s="1"/>
  <c r="J29" i="10"/>
  <c r="N29" i="10" s="1"/>
  <c r="Q29" i="10" s="1"/>
  <c r="R29" i="10" s="1"/>
  <c r="I17" i="10"/>
  <c r="I31" i="10"/>
  <c r="H17" i="10"/>
  <c r="W65" i="12" l="1"/>
  <c r="W71" i="12"/>
  <c r="O65" i="12"/>
  <c r="Q65" i="12" s="1"/>
  <c r="T31" i="12"/>
  <c r="O71" i="12"/>
  <c r="Q71" i="12" s="1"/>
  <c r="T37" i="12"/>
  <c r="T38" i="12"/>
  <c r="O72" i="12"/>
  <c r="Q72" i="12" s="1"/>
  <c r="R33" i="11"/>
  <c r="R34" i="11"/>
  <c r="X32" i="12"/>
  <c r="J32" i="12"/>
  <c r="K32" i="12"/>
  <c r="L32" i="12"/>
  <c r="I32" i="12"/>
  <c r="I39" i="12"/>
  <c r="V39" i="12"/>
  <c r="Z39" i="12" s="1"/>
  <c r="AC39" i="12" s="1"/>
  <c r="AC38" i="12"/>
  <c r="AD38" i="12" s="1"/>
  <c r="L39" i="12"/>
  <c r="P39" i="12" s="1"/>
  <c r="K39" i="12"/>
  <c r="J40" i="12"/>
  <c r="X40" i="12"/>
  <c r="Y40" i="12"/>
  <c r="I33" i="10"/>
  <c r="R33" i="10" s="1"/>
  <c r="R23" i="11"/>
  <c r="Q22" i="11"/>
  <c r="P22" i="11"/>
  <c r="Q24" i="11"/>
  <c r="R24" i="11" s="1"/>
  <c r="M28" i="11"/>
  <c r="F27" i="11"/>
  <c r="H27" i="11" s="1"/>
  <c r="M27" i="11"/>
  <c r="E27" i="11"/>
  <c r="G27" i="11" s="1"/>
  <c r="F26" i="11"/>
  <c r="H26" i="11" s="1"/>
  <c r="E26" i="11"/>
  <c r="G26" i="11" s="1"/>
  <c r="J28" i="11"/>
  <c r="F28" i="11"/>
  <c r="H28" i="11" s="1"/>
  <c r="E28" i="11"/>
  <c r="G28" i="11" s="1"/>
  <c r="M26" i="11"/>
  <c r="E25" i="11"/>
  <c r="F25" i="11"/>
  <c r="M25" i="11"/>
  <c r="J29" i="11"/>
  <c r="F29" i="11"/>
  <c r="H29" i="11" s="1"/>
  <c r="M29" i="11"/>
  <c r="E29" i="11"/>
  <c r="G29" i="11" s="1"/>
  <c r="H18" i="10"/>
  <c r="G18" i="10"/>
  <c r="I18" i="10"/>
  <c r="J18" i="10" s="1"/>
  <c r="N18" i="10" s="1"/>
  <c r="P18" i="10" s="1"/>
  <c r="R18" i="10" s="1"/>
  <c r="J17" i="10"/>
  <c r="N17" i="10" s="1"/>
  <c r="Q17" i="10" s="1"/>
  <c r="R17" i="10" s="1"/>
  <c r="F61" i="9"/>
  <c r="N86" i="9"/>
  <c r="E77" i="9"/>
  <c r="N76" i="9"/>
  <c r="M76" i="9"/>
  <c r="N75" i="9"/>
  <c r="M75" i="9"/>
  <c r="N74" i="9"/>
  <c r="M73" i="9"/>
  <c r="N72" i="9"/>
  <c r="M71" i="9"/>
  <c r="N70" i="9"/>
  <c r="M69" i="9"/>
  <c r="N68" i="9"/>
  <c r="M67" i="9"/>
  <c r="N66" i="9"/>
  <c r="M65" i="9"/>
  <c r="N64" i="9"/>
  <c r="M63" i="9"/>
  <c r="N62" i="9"/>
  <c r="M61" i="9"/>
  <c r="N60" i="9"/>
  <c r="I59" i="9"/>
  <c r="E60" i="9"/>
  <c r="N58" i="9"/>
  <c r="I58" i="9"/>
  <c r="J58" i="9" s="1"/>
  <c r="H58" i="9"/>
  <c r="G58" i="9"/>
  <c r="T53" i="9"/>
  <c r="I53" i="9"/>
  <c r="N39" i="9"/>
  <c r="N13" i="9"/>
  <c r="N23" i="9"/>
  <c r="E12" i="9"/>
  <c r="G12" i="9" s="1"/>
  <c r="N29" i="9"/>
  <c r="N28" i="9"/>
  <c r="N27" i="9"/>
  <c r="N25" i="9"/>
  <c r="N21" i="9"/>
  <c r="N19" i="9"/>
  <c r="N17" i="9"/>
  <c r="N15" i="9"/>
  <c r="N11" i="9"/>
  <c r="M29" i="9"/>
  <c r="M28" i="9"/>
  <c r="M26" i="9"/>
  <c r="M24" i="9"/>
  <c r="M22" i="9"/>
  <c r="M20" i="9"/>
  <c r="M18" i="9"/>
  <c r="M16" i="9"/>
  <c r="M14" i="9"/>
  <c r="E30" i="9"/>
  <c r="T6" i="9"/>
  <c r="L29" i="9" s="1"/>
  <c r="I11" i="9"/>
  <c r="J11" i="9" s="1"/>
  <c r="H11" i="9"/>
  <c r="G11" i="9"/>
  <c r="I6" i="9"/>
  <c r="V73" i="12" l="1"/>
  <c r="W73" i="12"/>
  <c r="M39" i="12"/>
  <c r="O39" i="12"/>
  <c r="Q39" i="12" s="1"/>
  <c r="S39" i="12" s="1"/>
  <c r="N32" i="12"/>
  <c r="L66" i="12" s="1"/>
  <c r="M66" i="12" s="1"/>
  <c r="O32" i="12"/>
  <c r="Q32" i="12" s="1"/>
  <c r="S32" i="12" s="1"/>
  <c r="M32" i="12"/>
  <c r="V66" i="12" s="1"/>
  <c r="N39" i="12"/>
  <c r="L73" i="12" s="1"/>
  <c r="M73" i="12" s="1"/>
  <c r="P32" i="12"/>
  <c r="R32" i="12" s="1"/>
  <c r="R39" i="12"/>
  <c r="AF39" i="12"/>
  <c r="F73" i="12"/>
  <c r="H73" i="12" s="1"/>
  <c r="AH39" i="12"/>
  <c r="F66" i="12"/>
  <c r="H66" i="12" s="1"/>
  <c r="AG39" i="12"/>
  <c r="AE39" i="12"/>
  <c r="AE32" i="12"/>
  <c r="AG32" i="12"/>
  <c r="AH32" i="12"/>
  <c r="AF32" i="12"/>
  <c r="C53" i="11"/>
  <c r="J59" i="9"/>
  <c r="N59" i="9" s="1"/>
  <c r="H25" i="11"/>
  <c r="D60" i="11" s="1"/>
  <c r="G25" i="11"/>
  <c r="C60" i="11" s="1"/>
  <c r="L76" i="9"/>
  <c r="V32" i="12"/>
  <c r="Z32" i="12" s="1"/>
  <c r="AC32" i="12" s="1"/>
  <c r="V33" i="12"/>
  <c r="Z33" i="12" s="1"/>
  <c r="V40" i="12"/>
  <c r="Z40" i="12" s="1"/>
  <c r="AB40" i="12" s="1"/>
  <c r="AB39" i="12"/>
  <c r="AD39" i="12" s="1"/>
  <c r="J41" i="12"/>
  <c r="I40" i="12"/>
  <c r="K40" i="12"/>
  <c r="L40" i="12"/>
  <c r="P40" i="12" s="1"/>
  <c r="X41" i="12"/>
  <c r="Y41" i="12"/>
  <c r="R22" i="11"/>
  <c r="J26" i="11"/>
  <c r="J27" i="11"/>
  <c r="N27" i="11" s="1"/>
  <c r="P27" i="11" s="1"/>
  <c r="N29" i="11"/>
  <c r="P29" i="11" s="1"/>
  <c r="N28" i="11"/>
  <c r="P28" i="11" s="1"/>
  <c r="I19" i="10"/>
  <c r="J19" i="10" s="1"/>
  <c r="N19" i="10" s="1"/>
  <c r="Q19" i="10" s="1"/>
  <c r="R19" i="10" s="1"/>
  <c r="H19" i="10"/>
  <c r="G19" i="10"/>
  <c r="I60" i="9"/>
  <c r="J60" i="9" s="1"/>
  <c r="M60" i="9" s="1"/>
  <c r="L60" i="9"/>
  <c r="G60" i="9"/>
  <c r="K53" i="9"/>
  <c r="O81" i="9" s="1"/>
  <c r="G59" i="9"/>
  <c r="H60" i="9"/>
  <c r="H59" i="9"/>
  <c r="E13" i="9"/>
  <c r="L13" i="9" s="1"/>
  <c r="F13" i="9" s="1"/>
  <c r="I12" i="9"/>
  <c r="J12" i="9" s="1"/>
  <c r="N12" i="9" s="1"/>
  <c r="H12" i="9"/>
  <c r="K6" i="9"/>
  <c r="O34" i="9" s="1"/>
  <c r="H12" i="8"/>
  <c r="H16" i="8"/>
  <c r="G16" i="8"/>
  <c r="E16" i="8"/>
  <c r="M15" i="8"/>
  <c r="M14" i="8"/>
  <c r="W66" i="12" l="1"/>
  <c r="W74" i="12"/>
  <c r="O66" i="12"/>
  <c r="Q66" i="12" s="1"/>
  <c r="T32" i="12"/>
  <c r="N40" i="12"/>
  <c r="L74" i="12" s="1"/>
  <c r="M74" i="12" s="1"/>
  <c r="T39" i="12"/>
  <c r="O73" i="12"/>
  <c r="Q73" i="12" s="1"/>
  <c r="R40" i="12"/>
  <c r="M40" i="12"/>
  <c r="V74" i="12" s="1"/>
  <c r="O40" i="12"/>
  <c r="Q40" i="12" s="1"/>
  <c r="S40" i="12" s="1"/>
  <c r="AF40" i="12"/>
  <c r="F74" i="12"/>
  <c r="H74" i="12" s="1"/>
  <c r="AH40" i="12"/>
  <c r="AG40" i="12"/>
  <c r="AE40" i="12"/>
  <c r="M17" i="8"/>
  <c r="E14" i="9"/>
  <c r="E15" i="9" s="1"/>
  <c r="E16" i="9" s="1"/>
  <c r="E17" i="9" s="1"/>
  <c r="E18" i="9" s="1"/>
  <c r="L18" i="9" s="1"/>
  <c r="AB32" i="12"/>
  <c r="AD32" i="12" s="1"/>
  <c r="AC33" i="12"/>
  <c r="AB33" i="12"/>
  <c r="AC40" i="12"/>
  <c r="AD40" i="12" s="1"/>
  <c r="I41" i="12"/>
  <c r="K41" i="12"/>
  <c r="V41" i="12"/>
  <c r="Z41" i="12" s="1"/>
  <c r="AC41" i="12" s="1"/>
  <c r="L41" i="12"/>
  <c r="X42" i="12"/>
  <c r="X47" i="12"/>
  <c r="K42" i="12"/>
  <c r="Y42" i="12"/>
  <c r="Y47" i="12"/>
  <c r="I42" i="12"/>
  <c r="J42" i="12"/>
  <c r="L42" i="12"/>
  <c r="Y43" i="12"/>
  <c r="Q27" i="11"/>
  <c r="R27" i="11" s="1"/>
  <c r="M16" i="8"/>
  <c r="M18" i="8" s="1"/>
  <c r="Q29" i="11"/>
  <c r="R29" i="11" s="1"/>
  <c r="Q28" i="11"/>
  <c r="R28" i="11" s="1"/>
  <c r="N26" i="11"/>
  <c r="N25" i="11"/>
  <c r="H20" i="10"/>
  <c r="G20" i="10"/>
  <c r="I20" i="10"/>
  <c r="J20" i="10" s="1"/>
  <c r="N20" i="10" s="1"/>
  <c r="P20" i="10" s="1"/>
  <c r="R20" i="10" s="1"/>
  <c r="L61" i="9"/>
  <c r="G13" i="9"/>
  <c r="L16" i="9"/>
  <c r="L17" i="9"/>
  <c r="N15" i="8"/>
  <c r="M9" i="8"/>
  <c r="G13" i="8"/>
  <c r="F13" i="8"/>
  <c r="E13" i="8"/>
  <c r="M12" i="8"/>
  <c r="M10" i="8"/>
  <c r="I14" i="8"/>
  <c r="J15" i="8"/>
  <c r="L15" i="8"/>
  <c r="K15" i="8"/>
  <c r="I15" i="8"/>
  <c r="L14" i="8"/>
  <c r="K14" i="8"/>
  <c r="J14" i="8"/>
  <c r="L12" i="8"/>
  <c r="K12" i="8"/>
  <c r="J12" i="8"/>
  <c r="I12" i="8"/>
  <c r="L10" i="8"/>
  <c r="K10" i="8"/>
  <c r="J10" i="8"/>
  <c r="I10" i="8"/>
  <c r="L9" i="8"/>
  <c r="K9" i="8"/>
  <c r="J9" i="8"/>
  <c r="I9" i="8"/>
  <c r="I4" i="8"/>
  <c r="P13" i="8" s="1"/>
  <c r="P42" i="12" l="1"/>
  <c r="R42" i="12" s="1"/>
  <c r="N41" i="12"/>
  <c r="L75" i="12" s="1"/>
  <c r="M75" i="12" s="1"/>
  <c r="M41" i="12"/>
  <c r="V75" i="12" s="1"/>
  <c r="O41" i="12"/>
  <c r="Q41" i="12" s="1"/>
  <c r="S41" i="12" s="1"/>
  <c r="T40" i="12"/>
  <c r="O74" i="12"/>
  <c r="Q74" i="12" s="1"/>
  <c r="O42" i="12"/>
  <c r="Q42" i="12" s="1"/>
  <c r="S42" i="12" s="1"/>
  <c r="M42" i="12"/>
  <c r="V76" i="12" s="1"/>
  <c r="N42" i="12"/>
  <c r="L76" i="12" s="1"/>
  <c r="M76" i="12" s="1"/>
  <c r="P41" i="12"/>
  <c r="R41" i="12" s="1"/>
  <c r="AF41" i="12"/>
  <c r="F76" i="12"/>
  <c r="H76" i="12" s="1"/>
  <c r="AH41" i="12"/>
  <c r="F75" i="12"/>
  <c r="H75" i="12" s="1"/>
  <c r="AH42" i="12"/>
  <c r="AG42" i="12"/>
  <c r="AE42" i="12"/>
  <c r="AF42" i="12"/>
  <c r="AG41" i="12"/>
  <c r="AE41" i="12"/>
  <c r="L15" i="9"/>
  <c r="E19" i="9"/>
  <c r="L19" i="9" s="1"/>
  <c r="L14" i="9"/>
  <c r="F14" i="9" s="1"/>
  <c r="G14" i="9" s="1"/>
  <c r="AD33" i="12"/>
  <c r="AB41" i="12"/>
  <c r="AD41" i="12" s="1"/>
  <c r="V42" i="12"/>
  <c r="Z42" i="12" s="1"/>
  <c r="AC42" i="12" s="1"/>
  <c r="J43" i="12"/>
  <c r="X43" i="12"/>
  <c r="Y44" i="12"/>
  <c r="Q25" i="11"/>
  <c r="P25" i="11"/>
  <c r="Q26" i="11"/>
  <c r="P26" i="11"/>
  <c r="H21" i="10"/>
  <c r="G21" i="10"/>
  <c r="H22" i="10"/>
  <c r="I21" i="10"/>
  <c r="J21" i="10" s="1"/>
  <c r="N21" i="10" s="1"/>
  <c r="Q21" i="10" s="1"/>
  <c r="R21" i="10" s="1"/>
  <c r="H61" i="9"/>
  <c r="I61" i="9"/>
  <c r="L62" i="9"/>
  <c r="G61" i="9"/>
  <c r="E20" i="9"/>
  <c r="L20" i="9" s="1"/>
  <c r="F20" i="9" s="1"/>
  <c r="F16" i="9"/>
  <c r="F17" i="9" s="1"/>
  <c r="N10" i="8"/>
  <c r="M13" i="8"/>
  <c r="K4" i="8"/>
  <c r="N9" i="8"/>
  <c r="K13" i="8"/>
  <c r="I13" i="8"/>
  <c r="L13" i="8"/>
  <c r="J13" i="8"/>
  <c r="K11" i="8"/>
  <c r="M11" i="8"/>
  <c r="N11" i="8" s="1"/>
  <c r="L11" i="8"/>
  <c r="I11" i="8"/>
  <c r="J11" i="8"/>
  <c r="O71" i="6"/>
  <c r="W75" i="12" l="1"/>
  <c r="W76" i="12"/>
  <c r="O75" i="12"/>
  <c r="Q75" i="12" s="1"/>
  <c r="T41" i="12"/>
  <c r="T42" i="12"/>
  <c r="O76" i="12"/>
  <c r="Q76" i="12" s="1"/>
  <c r="E21" i="9"/>
  <c r="L21" i="9" s="1"/>
  <c r="I14" i="9"/>
  <c r="F18" i="9"/>
  <c r="F19" i="9" s="1"/>
  <c r="I17" i="9"/>
  <c r="H17" i="9"/>
  <c r="G17" i="9"/>
  <c r="F15" i="9"/>
  <c r="H14" i="9"/>
  <c r="N13" i="8"/>
  <c r="AB42" i="12"/>
  <c r="AD42" i="12" s="1"/>
  <c r="K43" i="12"/>
  <c r="I43" i="12"/>
  <c r="J44" i="12"/>
  <c r="L43" i="12"/>
  <c r="P43" i="12" s="1"/>
  <c r="V43" i="12"/>
  <c r="Z43" i="12" s="1"/>
  <c r="AC43" i="12" s="1"/>
  <c r="X44" i="12"/>
  <c r="Y46" i="12"/>
  <c r="Y45" i="12"/>
  <c r="R26" i="11"/>
  <c r="R25" i="11"/>
  <c r="G22" i="10"/>
  <c r="I22" i="10"/>
  <c r="J22" i="10" s="1"/>
  <c r="N22" i="10" s="1"/>
  <c r="P22" i="10" s="1"/>
  <c r="R22" i="10" s="1"/>
  <c r="J61" i="9"/>
  <c r="N61" i="9" s="1"/>
  <c r="I62" i="9"/>
  <c r="J62" i="9" s="1"/>
  <c r="H62" i="9"/>
  <c r="L63" i="9"/>
  <c r="G63" i="9" s="1"/>
  <c r="G62" i="9"/>
  <c r="H16" i="9"/>
  <c r="I16" i="9"/>
  <c r="G16" i="9"/>
  <c r="E22" i="9"/>
  <c r="F21" i="9"/>
  <c r="N12" i="8"/>
  <c r="N14" i="8"/>
  <c r="D71" i="6"/>
  <c r="M33" i="7"/>
  <c r="D62" i="6"/>
  <c r="L74" i="6"/>
  <c r="H70" i="6"/>
  <c r="W77" i="12" l="1"/>
  <c r="G18" i="9"/>
  <c r="V77" i="12"/>
  <c r="R43" i="12"/>
  <c r="N43" i="12"/>
  <c r="L77" i="12" s="1"/>
  <c r="M77" i="12" s="1"/>
  <c r="O43" i="12"/>
  <c r="Q43" i="12" s="1"/>
  <c r="S43" i="12" s="1"/>
  <c r="M43" i="12"/>
  <c r="AF43" i="12"/>
  <c r="F77" i="12"/>
  <c r="H77" i="12" s="1"/>
  <c r="AH43" i="12"/>
  <c r="AG43" i="12"/>
  <c r="AE43" i="12"/>
  <c r="H18" i="9"/>
  <c r="I18" i="9"/>
  <c r="J18" i="9" s="1"/>
  <c r="N18" i="9" s="1"/>
  <c r="B22" i="8"/>
  <c r="Q13" i="8"/>
  <c r="G15" i="9"/>
  <c r="I15" i="9"/>
  <c r="J15" i="9" s="1"/>
  <c r="M15" i="9" s="1"/>
  <c r="H15" i="9"/>
  <c r="P99" i="6"/>
  <c r="R99" i="6"/>
  <c r="N99" i="6"/>
  <c r="L71" i="6"/>
  <c r="V44" i="12"/>
  <c r="Z44" i="12" s="1"/>
  <c r="AC44" i="12" s="1"/>
  <c r="I44" i="12"/>
  <c r="K44" i="12"/>
  <c r="AB43" i="12"/>
  <c r="AD43" i="12" s="1"/>
  <c r="L44" i="12"/>
  <c r="X45" i="12"/>
  <c r="X46" i="12"/>
  <c r="I23" i="10"/>
  <c r="J23" i="10" s="1"/>
  <c r="N23" i="10" s="1"/>
  <c r="Q23" i="10" s="1"/>
  <c r="R23" i="10" s="1"/>
  <c r="G24" i="10"/>
  <c r="G23" i="10"/>
  <c r="H23" i="10"/>
  <c r="M62" i="9"/>
  <c r="L64" i="9"/>
  <c r="I63" i="9"/>
  <c r="J63" i="9" s="1"/>
  <c r="N63" i="9" s="1"/>
  <c r="H63" i="9"/>
  <c r="J17" i="9"/>
  <c r="M17" i="9" s="1"/>
  <c r="E23" i="9"/>
  <c r="L22" i="9"/>
  <c r="F22" i="9" s="1"/>
  <c r="G19" i="9"/>
  <c r="I19" i="9"/>
  <c r="J19" i="9" s="1"/>
  <c r="M19" i="9" s="1"/>
  <c r="H19" i="9"/>
  <c r="C44" i="7"/>
  <c r="C45" i="7" s="1"/>
  <c r="M43" i="7"/>
  <c r="K43" i="7"/>
  <c r="J43" i="7"/>
  <c r="I43" i="7"/>
  <c r="H43" i="7"/>
  <c r="M42" i="7"/>
  <c r="K42" i="7"/>
  <c r="J42" i="7"/>
  <c r="I42" i="7"/>
  <c r="H42" i="7"/>
  <c r="M41" i="7"/>
  <c r="K41" i="7"/>
  <c r="J41" i="7"/>
  <c r="I41" i="7"/>
  <c r="H41" i="7"/>
  <c r="M40" i="7"/>
  <c r="K40" i="7"/>
  <c r="J40" i="7"/>
  <c r="I40" i="7"/>
  <c r="H40" i="7"/>
  <c r="M39" i="7"/>
  <c r="K39" i="7"/>
  <c r="J39" i="7"/>
  <c r="I39" i="7"/>
  <c r="H39" i="7"/>
  <c r="M38" i="7"/>
  <c r="K38" i="7"/>
  <c r="J38" i="7"/>
  <c r="I38" i="7"/>
  <c r="H38" i="7"/>
  <c r="M37" i="7"/>
  <c r="K37" i="7"/>
  <c r="J37" i="7"/>
  <c r="I37" i="7"/>
  <c r="H37" i="7"/>
  <c r="M36" i="7"/>
  <c r="K36" i="7"/>
  <c r="J36" i="7"/>
  <c r="I36" i="7"/>
  <c r="H36" i="7"/>
  <c r="M35" i="7"/>
  <c r="K35" i="7"/>
  <c r="J35" i="7"/>
  <c r="I35" i="7"/>
  <c r="H35" i="7"/>
  <c r="M34" i="7"/>
  <c r="N35" i="7" s="1"/>
  <c r="K34" i="7"/>
  <c r="J34" i="7"/>
  <c r="I34" i="7"/>
  <c r="H34" i="7"/>
  <c r="N33" i="7"/>
  <c r="K33" i="7"/>
  <c r="J33" i="7"/>
  <c r="I33" i="7"/>
  <c r="H33" i="7"/>
  <c r="M26" i="7"/>
  <c r="K26" i="7"/>
  <c r="J26" i="7"/>
  <c r="I26" i="7"/>
  <c r="H26" i="7"/>
  <c r="M25" i="7"/>
  <c r="K25" i="7"/>
  <c r="J25" i="7"/>
  <c r="I25" i="7"/>
  <c r="H25" i="7"/>
  <c r="M24" i="7"/>
  <c r="K24" i="7"/>
  <c r="J24" i="7"/>
  <c r="I24" i="7"/>
  <c r="H24" i="7"/>
  <c r="M23" i="7"/>
  <c r="K23" i="7"/>
  <c r="J23" i="7"/>
  <c r="I23" i="7"/>
  <c r="H23" i="7"/>
  <c r="M22" i="7"/>
  <c r="K22" i="7"/>
  <c r="J22" i="7"/>
  <c r="I22" i="7"/>
  <c r="H22" i="7"/>
  <c r="M21" i="7"/>
  <c r="K21" i="7"/>
  <c r="J21" i="7"/>
  <c r="I21" i="7"/>
  <c r="H21" i="7"/>
  <c r="M20" i="7"/>
  <c r="K20" i="7"/>
  <c r="J20" i="7"/>
  <c r="I20" i="7"/>
  <c r="H20" i="7"/>
  <c r="M19" i="7"/>
  <c r="K19" i="7"/>
  <c r="J19" i="7"/>
  <c r="I19" i="7"/>
  <c r="H19" i="7"/>
  <c r="M18" i="7"/>
  <c r="N18" i="7" s="1"/>
  <c r="K18" i="7"/>
  <c r="J18" i="7"/>
  <c r="I18" i="7"/>
  <c r="H18" i="7"/>
  <c r="M14" i="7"/>
  <c r="K14" i="7"/>
  <c r="J14" i="7"/>
  <c r="I14" i="7"/>
  <c r="H14" i="7"/>
  <c r="M13" i="7"/>
  <c r="K13" i="7"/>
  <c r="J13" i="7"/>
  <c r="I13" i="7"/>
  <c r="H13" i="7"/>
  <c r="M12" i="7"/>
  <c r="K12" i="7"/>
  <c r="J12" i="7"/>
  <c r="I12" i="7"/>
  <c r="H12" i="7"/>
  <c r="M11" i="7"/>
  <c r="K11" i="7"/>
  <c r="J11" i="7"/>
  <c r="I11" i="7"/>
  <c r="H11" i="7"/>
  <c r="M10" i="7"/>
  <c r="K10" i="7"/>
  <c r="J10" i="7"/>
  <c r="I10" i="7"/>
  <c r="H10" i="7"/>
  <c r="M9" i="7"/>
  <c r="K9" i="7"/>
  <c r="J9" i="7"/>
  <c r="I9" i="7"/>
  <c r="H9" i="7"/>
  <c r="M8" i="7"/>
  <c r="K8" i="7"/>
  <c r="J8" i="7"/>
  <c r="I8" i="7"/>
  <c r="H8" i="7"/>
  <c r="M7" i="7"/>
  <c r="K7" i="7"/>
  <c r="J7" i="7"/>
  <c r="I7" i="7"/>
  <c r="H7" i="7"/>
  <c r="M6" i="7"/>
  <c r="N6" i="7" s="1"/>
  <c r="K6" i="7"/>
  <c r="J6" i="7"/>
  <c r="I6" i="7"/>
  <c r="H6" i="7"/>
  <c r="W78" i="12" l="1"/>
  <c r="V78" i="12"/>
  <c r="P44" i="12"/>
  <c r="R44" i="12" s="1"/>
  <c r="N44" i="12"/>
  <c r="L78" i="12" s="1"/>
  <c r="M78" i="12" s="1"/>
  <c r="M44" i="12"/>
  <c r="O44" i="12"/>
  <c r="Q44" i="12" s="1"/>
  <c r="S44" i="12" s="1"/>
  <c r="T43" i="12"/>
  <c r="O77" i="12"/>
  <c r="Q77" i="12" s="1"/>
  <c r="AF44" i="12"/>
  <c r="F78" i="12"/>
  <c r="H78" i="12" s="1"/>
  <c r="AH44" i="12"/>
  <c r="AG44" i="12"/>
  <c r="AE44" i="12"/>
  <c r="J16" i="9"/>
  <c r="N16" i="9" s="1"/>
  <c r="N13" i="7"/>
  <c r="N22" i="7"/>
  <c r="N26" i="7"/>
  <c r="N36" i="7"/>
  <c r="N37" i="7"/>
  <c r="N25" i="7"/>
  <c r="O99" i="6"/>
  <c r="O100" i="6"/>
  <c r="S99" i="6"/>
  <c r="S100" i="6"/>
  <c r="Q99" i="6"/>
  <c r="Q100" i="6"/>
  <c r="N20" i="7"/>
  <c r="N10" i="7"/>
  <c r="N14" i="7"/>
  <c r="N21" i="7"/>
  <c r="N40" i="7"/>
  <c r="N43" i="7"/>
  <c r="N41" i="7"/>
  <c r="N8" i="7"/>
  <c r="N38" i="7"/>
  <c r="N42" i="7"/>
  <c r="J45" i="12"/>
  <c r="I45" i="12"/>
  <c r="V45" i="12"/>
  <c r="Z45" i="12" s="1"/>
  <c r="AB45" i="12" s="1"/>
  <c r="L45" i="12"/>
  <c r="L46" i="12"/>
  <c r="I46" i="12"/>
  <c r="J46" i="12"/>
  <c r="K46" i="12"/>
  <c r="AB44" i="12"/>
  <c r="AD44" i="12" s="1"/>
  <c r="K45" i="12"/>
  <c r="I24" i="10"/>
  <c r="J24" i="10" s="1"/>
  <c r="N24" i="10" s="1"/>
  <c r="P24" i="10" s="1"/>
  <c r="R24" i="10" s="1"/>
  <c r="H24" i="10"/>
  <c r="I64" i="9"/>
  <c r="J64" i="9" s="1"/>
  <c r="M64" i="9" s="1"/>
  <c r="H64" i="9"/>
  <c r="G64" i="9"/>
  <c r="G65" i="9"/>
  <c r="L65" i="9"/>
  <c r="E24" i="9"/>
  <c r="L23" i="9"/>
  <c r="F23" i="9" s="1"/>
  <c r="I20" i="9"/>
  <c r="J20" i="9" s="1"/>
  <c r="N20" i="9" s="1"/>
  <c r="H20" i="9"/>
  <c r="G20" i="9"/>
  <c r="Q33" i="7"/>
  <c r="K45" i="7"/>
  <c r="J45" i="7"/>
  <c r="I45" i="7"/>
  <c r="C46" i="7"/>
  <c r="M45" i="7"/>
  <c r="H45" i="7"/>
  <c r="N12" i="7"/>
  <c r="N24" i="7"/>
  <c r="I44" i="7"/>
  <c r="N7" i="7"/>
  <c r="N9" i="7"/>
  <c r="N19" i="7"/>
  <c r="O22" i="7" s="1"/>
  <c r="J44" i="7"/>
  <c r="N11" i="7"/>
  <c r="N23" i="7"/>
  <c r="N34" i="7"/>
  <c r="N39" i="7"/>
  <c r="K44" i="7"/>
  <c r="H44" i="7"/>
  <c r="M44" i="7"/>
  <c r="N44" i="7" s="1"/>
  <c r="V80" i="12" l="1"/>
  <c r="P46" i="12"/>
  <c r="R46" i="12" s="1"/>
  <c r="P45" i="12"/>
  <c r="R45" i="12" s="1"/>
  <c r="O78" i="12"/>
  <c r="Q78" i="12" s="1"/>
  <c r="T44" i="12"/>
  <c r="M45" i="12"/>
  <c r="V79" i="12" s="1"/>
  <c r="O45" i="12"/>
  <c r="Q45" i="12" s="1"/>
  <c r="S45" i="12" s="1"/>
  <c r="N45" i="12"/>
  <c r="L79" i="12" s="1"/>
  <c r="M79" i="12" s="1"/>
  <c r="N46" i="12"/>
  <c r="L80" i="12" s="1"/>
  <c r="M80" i="12" s="1"/>
  <c r="O46" i="12"/>
  <c r="Q46" i="12" s="1"/>
  <c r="S46" i="12" s="1"/>
  <c r="M46" i="12"/>
  <c r="F79" i="12"/>
  <c r="H79" i="12" s="1"/>
  <c r="F80" i="12"/>
  <c r="H80" i="12" s="1"/>
  <c r="AH45" i="12"/>
  <c r="AH46" i="12"/>
  <c r="AF46" i="12"/>
  <c r="AG46" i="12"/>
  <c r="AE46" i="12"/>
  <c r="AF45" i="12"/>
  <c r="AG45" i="12"/>
  <c r="AE45" i="12"/>
  <c r="O41" i="7"/>
  <c r="O37" i="7"/>
  <c r="O14" i="7"/>
  <c r="O10" i="7"/>
  <c r="O26" i="7"/>
  <c r="Q44" i="7"/>
  <c r="V46" i="12"/>
  <c r="Z46" i="12" s="1"/>
  <c r="AB46" i="12" s="1"/>
  <c r="AC45" i="12"/>
  <c r="AD45" i="12" s="1"/>
  <c r="U50" i="12"/>
  <c r="U52" i="12" s="1"/>
  <c r="U53" i="12" s="1"/>
  <c r="K47" i="12"/>
  <c r="I47" i="12"/>
  <c r="J47" i="12"/>
  <c r="L47" i="12"/>
  <c r="V47" i="12"/>
  <c r="Z47" i="12" s="1"/>
  <c r="AB47" i="12" s="1"/>
  <c r="J48" i="12"/>
  <c r="K48" i="12"/>
  <c r="L48" i="12"/>
  <c r="I48" i="12"/>
  <c r="H25" i="10"/>
  <c r="I25" i="10"/>
  <c r="J25" i="10" s="1"/>
  <c r="N25" i="10" s="1"/>
  <c r="Q25" i="10" s="1"/>
  <c r="R25" i="10" s="1"/>
  <c r="G25" i="10"/>
  <c r="L66" i="9"/>
  <c r="I65" i="9"/>
  <c r="J65" i="9" s="1"/>
  <c r="N65" i="9" s="1"/>
  <c r="H65" i="9"/>
  <c r="E25" i="9"/>
  <c r="L24" i="9"/>
  <c r="F24" i="9" s="1"/>
  <c r="I21" i="9"/>
  <c r="G21" i="9"/>
  <c r="H21" i="9"/>
  <c r="Q38" i="7"/>
  <c r="Q35" i="7"/>
  <c r="Q39" i="7"/>
  <c r="N45" i="7"/>
  <c r="Q43" i="7"/>
  <c r="R43" i="7" s="1"/>
  <c r="Q36" i="7"/>
  <c r="Q40" i="7"/>
  <c r="J46" i="7"/>
  <c r="I46" i="7"/>
  <c r="C47" i="7"/>
  <c r="M46" i="7"/>
  <c r="N46" i="7" s="1"/>
  <c r="H46" i="7"/>
  <c r="K46" i="7"/>
  <c r="Q37" i="7"/>
  <c r="Q41" i="7"/>
  <c r="Q42" i="7"/>
  <c r="Q34" i="7"/>
  <c r="W82" i="12" l="1"/>
  <c r="W80" i="12"/>
  <c r="V81" i="12"/>
  <c r="W79" i="12"/>
  <c r="P48" i="12"/>
  <c r="R48" i="12" s="1"/>
  <c r="N48" i="12"/>
  <c r="L82" i="12" s="1"/>
  <c r="M82" i="12" s="1"/>
  <c r="P47" i="12"/>
  <c r="R47" i="12" s="1"/>
  <c r="O79" i="12"/>
  <c r="Q79" i="12" s="1"/>
  <c r="T45" i="12"/>
  <c r="M47" i="12"/>
  <c r="O47" i="12"/>
  <c r="Q47" i="12" s="1"/>
  <c r="S47" i="12" s="1"/>
  <c r="O80" i="12"/>
  <c r="Q80" i="12" s="1"/>
  <c r="T46" i="12"/>
  <c r="O48" i="12"/>
  <c r="Q48" i="12" s="1"/>
  <c r="S48" i="12" s="1"/>
  <c r="M48" i="12"/>
  <c r="V82" i="12" s="1"/>
  <c r="N47" i="12"/>
  <c r="L81" i="12" s="1"/>
  <c r="M81" i="12" s="1"/>
  <c r="F81" i="12"/>
  <c r="H81" i="12" s="1"/>
  <c r="AH47" i="12"/>
  <c r="F82" i="12"/>
  <c r="H82" i="12" s="1"/>
  <c r="AG48" i="12"/>
  <c r="AE48" i="12"/>
  <c r="AH48" i="12"/>
  <c r="AF48" i="12"/>
  <c r="AF47" i="12"/>
  <c r="AE47" i="12"/>
  <c r="AG47" i="12"/>
  <c r="J21" i="9"/>
  <c r="M21" i="9" s="1"/>
  <c r="Q45" i="7"/>
  <c r="R44" i="7"/>
  <c r="R45" i="7" s="1"/>
  <c r="R46" i="7" s="1"/>
  <c r="R47" i="7" s="1"/>
  <c r="AC46" i="12"/>
  <c r="AD46" i="12" s="1"/>
  <c r="V48" i="12"/>
  <c r="Z48" i="12" s="1"/>
  <c r="AC47" i="12"/>
  <c r="AD47" i="12" s="1"/>
  <c r="J49" i="12"/>
  <c r="K49" i="12"/>
  <c r="I49" i="12"/>
  <c r="L49" i="12"/>
  <c r="V49" i="12"/>
  <c r="Z49" i="12" s="1"/>
  <c r="H26" i="10"/>
  <c r="I26" i="10"/>
  <c r="G26" i="10"/>
  <c r="H66" i="9"/>
  <c r="I66" i="9"/>
  <c r="J66" i="9" s="1"/>
  <c r="M66" i="9" s="1"/>
  <c r="G66" i="9"/>
  <c r="L67" i="9"/>
  <c r="E26" i="9"/>
  <c r="L25" i="9"/>
  <c r="F25" i="9" s="1"/>
  <c r="G22" i="9"/>
  <c r="H22" i="9"/>
  <c r="I22" i="9"/>
  <c r="J22" i="9" s="1"/>
  <c r="N22" i="9" s="1"/>
  <c r="Q46" i="7"/>
  <c r="I47" i="7"/>
  <c r="C48" i="7"/>
  <c r="M47" i="7"/>
  <c r="N47" i="7" s="1"/>
  <c r="Q47" i="7" s="1"/>
  <c r="H47" i="7"/>
  <c r="K47" i="7"/>
  <c r="J47" i="7"/>
  <c r="W81" i="12" l="1"/>
  <c r="W83" i="12"/>
  <c r="T48" i="12"/>
  <c r="O82" i="12"/>
  <c r="Q82" i="12" s="1"/>
  <c r="O49" i="12"/>
  <c r="Q49" i="12" s="1"/>
  <c r="S49" i="12" s="1"/>
  <c r="M49" i="12"/>
  <c r="V83" i="12" s="1"/>
  <c r="O81" i="12"/>
  <c r="Q81" i="12" s="1"/>
  <c r="T47" i="12"/>
  <c r="N49" i="12"/>
  <c r="L83" i="12" s="1"/>
  <c r="M83" i="12" s="1"/>
  <c r="S82" i="12" s="1"/>
  <c r="P49" i="12"/>
  <c r="R49" i="12" s="1"/>
  <c r="F83" i="12"/>
  <c r="AH49" i="12"/>
  <c r="AF49" i="12"/>
  <c r="AE49" i="12"/>
  <c r="AG49" i="12"/>
  <c r="P52" i="12"/>
  <c r="R48" i="7"/>
  <c r="AC49" i="12"/>
  <c r="AB49" i="12"/>
  <c r="AC48" i="12"/>
  <c r="AB48" i="12"/>
  <c r="J26" i="10"/>
  <c r="N26" i="10" s="1"/>
  <c r="P26" i="10" s="1"/>
  <c r="R26" i="10" s="1"/>
  <c r="J27" i="10"/>
  <c r="N27" i="10" s="1"/>
  <c r="Q27" i="10" s="1"/>
  <c r="R27" i="10" s="1"/>
  <c r="I67" i="9"/>
  <c r="J67" i="9" s="1"/>
  <c r="N67" i="9" s="1"/>
  <c r="H67" i="9"/>
  <c r="L68" i="9"/>
  <c r="G67" i="9"/>
  <c r="E27" i="9"/>
  <c r="L26" i="9"/>
  <c r="F26" i="9" s="1"/>
  <c r="I23" i="9"/>
  <c r="J23" i="9" s="1"/>
  <c r="M23" i="9" s="1"/>
  <c r="G23" i="9"/>
  <c r="H23" i="9"/>
  <c r="C49" i="7"/>
  <c r="M48" i="7"/>
  <c r="N48" i="7" s="1"/>
  <c r="H48" i="7"/>
  <c r="K48" i="7"/>
  <c r="J48" i="7"/>
  <c r="I48" i="7"/>
  <c r="H83" i="12" l="1"/>
  <c r="R82" i="12" s="1"/>
  <c r="T49" i="12"/>
  <c r="O83" i="12"/>
  <c r="P53" i="12"/>
  <c r="AD48" i="12"/>
  <c r="AD49" i="12"/>
  <c r="L69" i="9"/>
  <c r="G69" i="9"/>
  <c r="I68" i="9"/>
  <c r="J68" i="9" s="1"/>
  <c r="M68" i="9" s="1"/>
  <c r="H68" i="9"/>
  <c r="G68" i="9"/>
  <c r="E28" i="9"/>
  <c r="L28" i="9" s="1"/>
  <c r="L27" i="9"/>
  <c r="F27" i="9" s="1"/>
  <c r="F28" i="9" s="1"/>
  <c r="F29" i="9" s="1"/>
  <c r="F30" i="9" s="1"/>
  <c r="I24" i="9"/>
  <c r="J24" i="9" s="1"/>
  <c r="N24" i="9" s="1"/>
  <c r="H24" i="9"/>
  <c r="G24" i="9"/>
  <c r="K49" i="7"/>
  <c r="J49" i="7"/>
  <c r="I49" i="7"/>
  <c r="C50" i="7"/>
  <c r="M49" i="7"/>
  <c r="N49" i="7" s="1"/>
  <c r="Q49" i="7" s="1"/>
  <c r="H49" i="7"/>
  <c r="R49" i="7"/>
  <c r="R50" i="7" s="1"/>
  <c r="Q48" i="7"/>
  <c r="Q83" i="12" l="1"/>
  <c r="T82" i="12" s="1"/>
  <c r="S83" i="12" s="1"/>
  <c r="L70" i="9"/>
  <c r="I69" i="9"/>
  <c r="J69" i="9" s="1"/>
  <c r="N69" i="9" s="1"/>
  <c r="H69" i="9"/>
  <c r="G25" i="9"/>
  <c r="I25" i="9"/>
  <c r="H25" i="9"/>
  <c r="R51" i="7"/>
  <c r="J50" i="7"/>
  <c r="I50" i="7"/>
  <c r="C51" i="7"/>
  <c r="M50" i="7"/>
  <c r="N50" i="7" s="1"/>
  <c r="H50" i="7"/>
  <c r="K50" i="7"/>
  <c r="J25" i="9" l="1"/>
  <c r="I70" i="9"/>
  <c r="J70" i="9" s="1"/>
  <c r="M70" i="9" s="1"/>
  <c r="H70" i="9"/>
  <c r="L71" i="9"/>
  <c r="G70" i="9"/>
  <c r="G26" i="9"/>
  <c r="H26" i="9"/>
  <c r="I26" i="9"/>
  <c r="J26" i="9" s="1"/>
  <c r="N26" i="9" s="1"/>
  <c r="N34" i="9" s="1"/>
  <c r="I51" i="7"/>
  <c r="C52" i="7"/>
  <c r="R52" i="7" s="1"/>
  <c r="M51" i="7"/>
  <c r="N51" i="7" s="1"/>
  <c r="Q51" i="7" s="1"/>
  <c r="H51" i="7"/>
  <c r="K51" i="7"/>
  <c r="J51" i="7"/>
  <c r="Q50" i="7"/>
  <c r="M25" i="9" l="1"/>
  <c r="I71" i="9"/>
  <c r="J71" i="9" s="1"/>
  <c r="N71" i="9" s="1"/>
  <c r="H71" i="9"/>
  <c r="G72" i="9"/>
  <c r="L72" i="9"/>
  <c r="G71" i="9"/>
  <c r="G27" i="9"/>
  <c r="I27" i="9"/>
  <c r="J27" i="9" s="1"/>
  <c r="M27" i="9" s="1"/>
  <c r="H27" i="9"/>
  <c r="C53" i="7"/>
  <c r="M52" i="7"/>
  <c r="N52" i="7" s="1"/>
  <c r="Q52" i="7" s="1"/>
  <c r="H52" i="7"/>
  <c r="K52" i="7"/>
  <c r="J52" i="7"/>
  <c r="I52" i="7"/>
  <c r="G73" i="9" l="1"/>
  <c r="L73" i="9"/>
  <c r="I72" i="9"/>
  <c r="J72" i="9" s="1"/>
  <c r="M72" i="9" s="1"/>
  <c r="H72" i="9"/>
  <c r="G28" i="9"/>
  <c r="I28" i="9"/>
  <c r="J28" i="9" s="1"/>
  <c r="H28" i="9"/>
  <c r="K53" i="7"/>
  <c r="J53" i="7"/>
  <c r="I53" i="7"/>
  <c r="C54" i="7"/>
  <c r="M53" i="7"/>
  <c r="N53" i="7" s="1"/>
  <c r="Q53" i="7" s="1"/>
  <c r="H53" i="7"/>
  <c r="R53" i="7"/>
  <c r="R54" i="7" l="1"/>
  <c r="I73" i="9"/>
  <c r="J73" i="9" s="1"/>
  <c r="N73" i="9" s="1"/>
  <c r="N81" i="9" s="1"/>
  <c r="H73" i="9"/>
  <c r="G74" i="9"/>
  <c r="L74" i="9"/>
  <c r="G29" i="9"/>
  <c r="I29" i="9"/>
  <c r="J29" i="9" s="1"/>
  <c r="H29" i="9"/>
  <c r="J54" i="7"/>
  <c r="I54" i="7"/>
  <c r="C55" i="7"/>
  <c r="R55" i="7" s="1"/>
  <c r="M54" i="7"/>
  <c r="N54" i="7" s="1"/>
  <c r="Q54" i="7" s="1"/>
  <c r="H54" i="7"/>
  <c r="K54" i="7"/>
  <c r="G75" i="9" l="1"/>
  <c r="L75" i="9"/>
  <c r="H74" i="9"/>
  <c r="I74" i="9"/>
  <c r="J74" i="9" s="1"/>
  <c r="M74" i="9" s="1"/>
  <c r="M81" i="9" s="1"/>
  <c r="G30" i="9"/>
  <c r="I30" i="9"/>
  <c r="H30" i="9"/>
  <c r="I55" i="7"/>
  <c r="C56" i="7"/>
  <c r="R56" i="7" s="1"/>
  <c r="M55" i="7"/>
  <c r="N55" i="7" s="1"/>
  <c r="Q55" i="7" s="1"/>
  <c r="H55" i="7"/>
  <c r="K55" i="7"/>
  <c r="J55" i="7"/>
  <c r="I75" i="9" l="1"/>
  <c r="J75" i="9" s="1"/>
  <c r="H75" i="9"/>
  <c r="C57" i="7"/>
  <c r="M56" i="7"/>
  <c r="N56" i="7" s="1"/>
  <c r="Q56" i="7" s="1"/>
  <c r="H56" i="7"/>
  <c r="K56" i="7"/>
  <c r="J56" i="7"/>
  <c r="I56" i="7"/>
  <c r="F77" i="9" l="1"/>
  <c r="G76" i="9"/>
  <c r="I76" i="9"/>
  <c r="J76" i="9" s="1"/>
  <c r="J77" i="9" s="1"/>
  <c r="H76" i="9"/>
  <c r="K57" i="7"/>
  <c r="J57" i="7"/>
  <c r="I57" i="7"/>
  <c r="C58" i="7"/>
  <c r="M57" i="7"/>
  <c r="N57" i="7" s="1"/>
  <c r="Q57" i="7" s="1"/>
  <c r="H57" i="7"/>
  <c r="R57" i="7"/>
  <c r="R58" i="7" l="1"/>
  <c r="I77" i="9"/>
  <c r="H77" i="9"/>
  <c r="G77" i="9"/>
  <c r="J58" i="7"/>
  <c r="I58" i="7"/>
  <c r="C59" i="7"/>
  <c r="R59" i="7" s="1"/>
  <c r="M58" i="7"/>
  <c r="N58" i="7" s="1"/>
  <c r="Q58" i="7" s="1"/>
  <c r="H58" i="7"/>
  <c r="K58" i="7"/>
  <c r="J78" i="9" l="1"/>
  <c r="I59" i="7"/>
  <c r="C60" i="7"/>
  <c r="R60" i="7" s="1"/>
  <c r="M59" i="7"/>
  <c r="N59" i="7" s="1"/>
  <c r="Q59" i="7" s="1"/>
  <c r="H59" i="7"/>
  <c r="K59" i="7"/>
  <c r="J59" i="7"/>
  <c r="C61" i="7" l="1"/>
  <c r="M60" i="7"/>
  <c r="N60" i="7" s="1"/>
  <c r="Q60" i="7" s="1"/>
  <c r="H60" i="7"/>
  <c r="K60" i="7"/>
  <c r="J60" i="7"/>
  <c r="I60" i="7"/>
  <c r="K61" i="7" l="1"/>
  <c r="J61" i="7"/>
  <c r="I61" i="7"/>
  <c r="C62" i="7"/>
  <c r="M61" i="7"/>
  <c r="N61" i="7" s="1"/>
  <c r="Q61" i="7" s="1"/>
  <c r="H61" i="7"/>
  <c r="R61" i="7"/>
  <c r="J62" i="7" l="1"/>
  <c r="I62" i="7"/>
  <c r="C63" i="7"/>
  <c r="M62" i="7"/>
  <c r="N62" i="7" s="1"/>
  <c r="Q62" i="7" s="1"/>
  <c r="H62" i="7"/>
  <c r="K62" i="7"/>
  <c r="R62" i="7"/>
  <c r="R63" i="7" s="1"/>
  <c r="I63" i="7" l="1"/>
  <c r="C64" i="7"/>
  <c r="R64" i="7" s="1"/>
  <c r="M63" i="7"/>
  <c r="N63" i="7" s="1"/>
  <c r="Q63" i="7" s="1"/>
  <c r="H63" i="7"/>
  <c r="K63" i="7"/>
  <c r="J63" i="7"/>
  <c r="C65" i="7" l="1"/>
  <c r="M64" i="7"/>
  <c r="N64" i="7" s="1"/>
  <c r="Q64" i="7" s="1"/>
  <c r="H64" i="7"/>
  <c r="K64" i="7"/>
  <c r="J64" i="7"/>
  <c r="I64" i="7"/>
  <c r="K65" i="7" l="1"/>
  <c r="J65" i="7"/>
  <c r="I65" i="7"/>
  <c r="C66" i="7"/>
  <c r="M65" i="7"/>
  <c r="N65" i="7" s="1"/>
  <c r="Q65" i="7" s="1"/>
  <c r="H65" i="7"/>
  <c r="R65" i="7"/>
  <c r="R66" i="7" l="1"/>
  <c r="J66" i="7"/>
  <c r="I66" i="7"/>
  <c r="C67" i="7"/>
  <c r="R67" i="7" s="1"/>
  <c r="M66" i="7"/>
  <c r="N66" i="7" s="1"/>
  <c r="Q66" i="7" s="1"/>
  <c r="H66" i="7"/>
  <c r="K66" i="7"/>
  <c r="I67" i="7" l="1"/>
  <c r="C68" i="7"/>
  <c r="R68" i="7" s="1"/>
  <c r="M67" i="7"/>
  <c r="N67" i="7" s="1"/>
  <c r="Q67" i="7" s="1"/>
  <c r="H67" i="7"/>
  <c r="K67" i="7"/>
  <c r="J67" i="7"/>
  <c r="C69" i="7" l="1"/>
  <c r="M68" i="7"/>
  <c r="N68" i="7" s="1"/>
  <c r="Q68" i="7" s="1"/>
  <c r="H68" i="7"/>
  <c r="K68" i="7"/>
  <c r="J68" i="7"/>
  <c r="I68" i="7"/>
  <c r="K69" i="7" l="1"/>
  <c r="J69" i="7"/>
  <c r="I69" i="7"/>
  <c r="C70" i="7"/>
  <c r="M69" i="7"/>
  <c r="N69" i="7" s="1"/>
  <c r="Q69" i="7" s="1"/>
  <c r="H69" i="7"/>
  <c r="R69" i="7"/>
  <c r="R70" i="7" l="1"/>
  <c r="J70" i="7"/>
  <c r="I70" i="7"/>
  <c r="C71" i="7"/>
  <c r="M70" i="7"/>
  <c r="N70" i="7" s="1"/>
  <c r="Q70" i="7" s="1"/>
  <c r="H70" i="7"/>
  <c r="K70" i="7"/>
  <c r="R71" i="7"/>
  <c r="I71" i="7" l="1"/>
  <c r="C72" i="7"/>
  <c r="R72" i="7" s="1"/>
  <c r="M71" i="7"/>
  <c r="N71" i="7" s="1"/>
  <c r="Q71" i="7" s="1"/>
  <c r="H71" i="7"/>
  <c r="K71" i="7"/>
  <c r="J71" i="7"/>
  <c r="C73" i="7" l="1"/>
  <c r="M72" i="7"/>
  <c r="N72" i="7" s="1"/>
  <c r="Q72" i="7" s="1"/>
  <c r="H72" i="7"/>
  <c r="K72" i="7"/>
  <c r="J72" i="7"/>
  <c r="I72" i="7"/>
  <c r="K73" i="7" l="1"/>
  <c r="J73" i="7"/>
  <c r="I73" i="7"/>
  <c r="M73" i="7"/>
  <c r="N73" i="7" s="1"/>
  <c r="Q73" i="7" s="1"/>
  <c r="H73" i="7"/>
  <c r="R73" i="7"/>
  <c r="D64" i="6" l="1"/>
  <c r="L70" i="6"/>
  <c r="D28" i="6"/>
  <c r="H26" i="6"/>
  <c r="D20" i="6" s="1"/>
  <c r="F26" i="6"/>
  <c r="H32" i="6"/>
  <c r="H31" i="6"/>
  <c r="I32" i="6" l="1"/>
  <c r="I26" i="6"/>
  <c r="H30" i="6"/>
  <c r="G32" i="6"/>
  <c r="F32" i="6"/>
  <c r="G31" i="6"/>
  <c r="F31" i="6"/>
  <c r="G30" i="6"/>
  <c r="F30" i="6"/>
  <c r="H29" i="6"/>
  <c r="G29" i="6"/>
  <c r="F29" i="6"/>
  <c r="H28" i="6"/>
  <c r="G28" i="6"/>
  <c r="F28" i="6"/>
  <c r="L29" i="6" s="1"/>
  <c r="H27" i="6"/>
  <c r="I27" i="6" s="1"/>
  <c r="G27" i="6"/>
  <c r="F27" i="6"/>
  <c r="G26" i="6"/>
  <c r="H69" i="6"/>
  <c r="D33" i="6"/>
  <c r="D76" i="6"/>
  <c r="L75" i="6"/>
  <c r="M75" i="6" s="1"/>
  <c r="K75" i="6"/>
  <c r="J75" i="6"/>
  <c r="I75" i="6"/>
  <c r="H75" i="6"/>
  <c r="K74" i="6"/>
  <c r="J74" i="6"/>
  <c r="I74" i="6"/>
  <c r="H74" i="6"/>
  <c r="L73" i="6"/>
  <c r="K73" i="6"/>
  <c r="I109" i="6" s="1"/>
  <c r="J73" i="6"/>
  <c r="H109" i="6" s="1"/>
  <c r="I73" i="6"/>
  <c r="I108" i="6" s="1"/>
  <c r="H73" i="6"/>
  <c r="H108" i="6" s="1"/>
  <c r="L72" i="6"/>
  <c r="K72" i="6"/>
  <c r="I101" i="6" s="1"/>
  <c r="J72" i="6"/>
  <c r="H101" i="6" s="1"/>
  <c r="I72" i="6"/>
  <c r="I100" i="6" s="1"/>
  <c r="H72" i="6"/>
  <c r="H100" i="6" s="1"/>
  <c r="K71" i="6"/>
  <c r="J71" i="6"/>
  <c r="I71" i="6"/>
  <c r="H71" i="6"/>
  <c r="K70" i="6"/>
  <c r="J70" i="6"/>
  <c r="I70" i="6"/>
  <c r="M69" i="6"/>
  <c r="K69" i="6"/>
  <c r="J69" i="6"/>
  <c r="I69" i="6"/>
  <c r="L77" i="6" l="1"/>
  <c r="P104" i="6"/>
  <c r="Q104" i="6" s="1"/>
  <c r="N104" i="6"/>
  <c r="O104" i="6" s="1"/>
  <c r="R104" i="6"/>
  <c r="S104" i="6" s="1"/>
  <c r="H94" i="6"/>
  <c r="H95" i="6"/>
  <c r="I94" i="6"/>
  <c r="I95" i="6"/>
  <c r="Y82" i="6"/>
  <c r="L100" i="6"/>
  <c r="H34" i="6"/>
  <c r="L108" i="6"/>
  <c r="I110" i="6"/>
  <c r="J109" i="6"/>
  <c r="J108" i="6"/>
  <c r="J110" i="6"/>
  <c r="H110" i="6"/>
  <c r="I102" i="6"/>
  <c r="J102" i="6"/>
  <c r="J101" i="6"/>
  <c r="J100" i="6"/>
  <c r="H102" i="6"/>
  <c r="P72" i="6"/>
  <c r="M74" i="6"/>
  <c r="H33" i="6"/>
  <c r="L76" i="6"/>
  <c r="L78" i="6" s="1"/>
  <c r="I29" i="6"/>
  <c r="I30" i="6"/>
  <c r="I28" i="6"/>
  <c r="I31" i="6"/>
  <c r="M70" i="6"/>
  <c r="M72" i="6"/>
  <c r="M71" i="6"/>
  <c r="M73" i="6"/>
  <c r="L94" i="6" l="1"/>
  <c r="H35" i="6"/>
  <c r="H36" i="6" s="1"/>
  <c r="I96" i="6"/>
  <c r="J95" i="6"/>
  <c r="J94" i="6"/>
  <c r="J96" i="6"/>
  <c r="H96" i="6"/>
  <c r="S16" i="5"/>
  <c r="J16" i="5"/>
  <c r="H16" i="5"/>
  <c r="F16" i="5"/>
  <c r="S15" i="5"/>
  <c r="J15" i="5"/>
  <c r="H15" i="5"/>
  <c r="F15" i="5"/>
  <c r="S14" i="5"/>
  <c r="J14" i="5"/>
  <c r="H14" i="5"/>
  <c r="F14" i="5"/>
  <c r="S13" i="5"/>
  <c r="J13" i="5"/>
  <c r="H13" i="5"/>
  <c r="F13" i="5"/>
  <c r="C13" i="5"/>
  <c r="S12" i="5"/>
  <c r="J12" i="5"/>
  <c r="H12" i="5"/>
  <c r="F12" i="5"/>
  <c r="C12" i="5"/>
  <c r="S11" i="5"/>
  <c r="J11" i="5"/>
  <c r="H11" i="5"/>
  <c r="F11" i="5"/>
  <c r="C11" i="5"/>
  <c r="S10" i="5"/>
  <c r="J10" i="5"/>
  <c r="H10" i="5"/>
  <c r="F10" i="5"/>
  <c r="C10" i="5"/>
  <c r="S9" i="5"/>
  <c r="J9" i="5"/>
  <c r="H9" i="5"/>
  <c r="F9" i="5"/>
  <c r="S8" i="5"/>
  <c r="J8" i="5"/>
  <c r="H8" i="5"/>
  <c r="F8" i="5"/>
  <c r="S7" i="5"/>
  <c r="J7" i="5"/>
  <c r="H7" i="5"/>
  <c r="F7" i="5"/>
  <c r="I7" i="5" l="1"/>
  <c r="L79" i="6"/>
  <c r="I13" i="5"/>
  <c r="K13" i="5" s="1"/>
  <c r="C18" i="5"/>
  <c r="K7" i="5"/>
  <c r="L7" i="5" s="1"/>
  <c r="C16" i="5"/>
  <c r="I9" i="5"/>
  <c r="K9" i="5" s="1"/>
  <c r="L9" i="5" s="1"/>
  <c r="O9" i="5" s="1"/>
  <c r="I10" i="5"/>
  <c r="K10" i="5" s="1"/>
  <c r="I11" i="5"/>
  <c r="K11" i="5" s="1"/>
  <c r="I12" i="5"/>
  <c r="K12" i="5" s="1"/>
  <c r="C14" i="5"/>
  <c r="D14" i="5" s="1"/>
  <c r="C15" i="5"/>
  <c r="D15" i="5" s="1"/>
  <c r="I8" i="5"/>
  <c r="K8" i="5" s="1"/>
  <c r="L8" i="5" s="1"/>
  <c r="O8" i="5" s="1"/>
  <c r="L13" i="5" l="1"/>
  <c r="O13" i="5" s="1"/>
  <c r="L12" i="5"/>
  <c r="O12" i="5" s="1"/>
  <c r="O7" i="5"/>
  <c r="L11" i="5"/>
  <c r="L10" i="5"/>
  <c r="I15" i="5"/>
  <c r="K15" i="5" s="1"/>
  <c r="M15" i="5" s="1"/>
  <c r="I16" i="5"/>
  <c r="K16" i="5" s="1"/>
  <c r="I14" i="5"/>
  <c r="K14" i="5" s="1"/>
  <c r="M14" i="5" s="1"/>
  <c r="D16" i="5"/>
  <c r="P15" i="5" l="1"/>
  <c r="O11" i="5"/>
  <c r="L16" i="5"/>
  <c r="O16" i="5" s="1"/>
  <c r="D13" i="5"/>
  <c r="E13" i="5" s="1"/>
  <c r="N13" i="5" s="1"/>
  <c r="Q13" i="5" s="1"/>
  <c r="D12" i="5"/>
  <c r="D11" i="5"/>
  <c r="E11" i="5" s="1"/>
  <c r="N11" i="5" s="1"/>
  <c r="D10" i="5"/>
  <c r="M16" i="5"/>
  <c r="P16" i="5" s="1"/>
  <c r="O10" i="5"/>
  <c r="L15" i="5"/>
  <c r="O15" i="5" s="1"/>
  <c r="L14" i="5"/>
  <c r="O14" i="5" s="1"/>
  <c r="L18" i="5"/>
  <c r="E10" i="5" l="1"/>
  <c r="D18" i="5"/>
  <c r="P14" i="5"/>
  <c r="M13" i="5"/>
  <c r="P13" i="5" s="1"/>
  <c r="R13" i="5" s="1"/>
  <c r="U20" i="5" s="1"/>
  <c r="M12" i="5"/>
  <c r="M11" i="5"/>
  <c r="P11" i="5" s="1"/>
  <c r="M10" i="5"/>
  <c r="E12" i="5"/>
  <c r="D9" i="5"/>
  <c r="E16" i="5"/>
  <c r="O18" i="5"/>
  <c r="D7" i="5"/>
  <c r="D8" i="5"/>
  <c r="M7" i="5" l="1"/>
  <c r="P7" i="5" s="1"/>
  <c r="M18" i="5"/>
  <c r="M8" i="5"/>
  <c r="P8" i="5" s="1"/>
  <c r="P10" i="5"/>
  <c r="P12" i="5"/>
  <c r="M9" i="5"/>
  <c r="P9" i="5" s="1"/>
  <c r="E8" i="5"/>
  <c r="E18" i="5"/>
  <c r="E15" i="5"/>
  <c r="E14" i="5"/>
  <c r="N10" i="5"/>
  <c r="E7" i="5"/>
  <c r="N16" i="5"/>
  <c r="Q16" i="5" s="1"/>
  <c r="R16" i="5" s="1"/>
  <c r="Q11" i="5"/>
  <c r="R11" i="5" s="1"/>
  <c r="S20" i="5" s="1"/>
  <c r="N12" i="5"/>
  <c r="E9" i="5"/>
  <c r="N9" i="5" l="1"/>
  <c r="Q9" i="5" s="1"/>
  <c r="R9" i="5" s="1"/>
  <c r="Q12" i="5"/>
  <c r="R12" i="5" s="1"/>
  <c r="T20" i="5" s="1"/>
  <c r="N18" i="5"/>
  <c r="N8" i="5"/>
  <c r="Q8" i="5" s="1"/>
  <c r="R8" i="5" s="1"/>
  <c r="N7" i="5"/>
  <c r="Q7" i="5" s="1"/>
  <c r="R7" i="5" s="1"/>
  <c r="N15" i="5"/>
  <c r="Q15" i="5" s="1"/>
  <c r="R15" i="5" s="1"/>
  <c r="N14" i="5"/>
  <c r="Q14" i="5" s="1"/>
  <c r="R14" i="5" s="1"/>
  <c r="Q10" i="5"/>
  <c r="P18" i="5"/>
  <c r="Q18" i="5" l="1"/>
  <c r="R10" i="5"/>
  <c r="R20" i="5" s="1"/>
  <c r="H13" i="9" l="1"/>
  <c r="I13" i="9"/>
  <c r="J13" i="9" l="1"/>
  <c r="J14" i="9"/>
  <c r="N14" i="9"/>
  <c r="M13" i="9" l="1"/>
  <c r="M34" i="9" s="1"/>
  <c r="J36" i="9"/>
  <c r="J30" i="9"/>
  <c r="J31" i="9" s="1"/>
  <c r="J37" i="9" l="1"/>
  <c r="P30" i="11"/>
  <c r="E30" i="11"/>
  <c r="G30" i="11" s="1"/>
  <c r="F30" i="11"/>
  <c r="H30" i="11" s="1"/>
  <c r="J30" i="11"/>
  <c r="N30" i="11" s="1"/>
  <c r="M30" i="11"/>
  <c r="Q30" i="11" s="1"/>
  <c r="R30" i="11" l="1"/>
  <c r="L73" i="15"/>
  <c r="F72" i="15"/>
  <c r="D74" i="15"/>
  <c r="L72" i="15"/>
  <c r="K72" i="15"/>
  <c r="K73" i="15"/>
  <c r="M72" i="15" l="1"/>
  <c r="N72" i="15" s="1"/>
  <c r="M73" i="15"/>
  <c r="N73" i="15" s="1"/>
  <c r="K74" i="15"/>
  <c r="N74" i="15" s="1"/>
  <c r="M71" i="15"/>
  <c r="N71" i="15" s="1"/>
  <c r="L74" i="15"/>
  <c r="K23" i="25"/>
  <c r="I23" i="25" l="1"/>
  <c r="C24" i="25" s="1"/>
  <c r="S24" i="25"/>
  <c r="S28" i="25"/>
  <c r="W28" i="25" s="1"/>
  <c r="Y28" i="25" s="1"/>
  <c r="S23" i="25"/>
  <c r="J23" i="25"/>
  <c r="S30" i="25"/>
  <c r="W30" i="25" s="1"/>
  <c r="Y30" i="25" s="1"/>
  <c r="L23" i="25"/>
  <c r="N23" i="25" s="1"/>
  <c r="P23" i="25"/>
  <c r="Q23" i="25" s="1"/>
  <c r="U23" i="25" s="1"/>
  <c r="M23" i="25" l="1"/>
  <c r="S27" i="25"/>
  <c r="W27" i="25" s="1"/>
  <c r="AF29" i="25"/>
  <c r="AK29" i="25" s="1"/>
  <c r="O23" i="25"/>
  <c r="S25" i="25"/>
  <c r="S33" i="25"/>
  <c r="W33" i="25" s="1"/>
  <c r="S29" i="25"/>
  <c r="W29" i="25" s="1"/>
  <c r="S36" i="25"/>
  <c r="W36" i="25" s="1"/>
  <c r="W23" i="25"/>
  <c r="X23" i="25"/>
  <c r="Z23" i="25" l="1"/>
  <c r="Y23" i="25"/>
  <c r="AA23" i="25" l="1"/>
  <c r="AC48" i="25" s="1"/>
  <c r="AC47" i="25"/>
  <c r="H24" i="25" l="1"/>
  <c r="T33" i="25" l="1"/>
  <c r="X33" i="25" s="1"/>
  <c r="Y33" i="25" s="1"/>
  <c r="T29" i="25"/>
  <c r="X29" i="25" s="1"/>
  <c r="Y29" i="25" s="1"/>
  <c r="AI29" i="25"/>
  <c r="AN29" i="25" s="1"/>
  <c r="AK31" i="25" s="1"/>
  <c r="L24" i="25"/>
  <c r="K24" i="25"/>
  <c r="T25" i="25"/>
  <c r="T36" i="25"/>
  <c r="X36" i="25" s="1"/>
  <c r="Y36" i="25" s="1"/>
  <c r="J24" i="25"/>
  <c r="O24" i="25" s="1"/>
  <c r="P24" i="25"/>
  <c r="Q25" i="25" s="1"/>
  <c r="U25" i="25" s="1"/>
  <c r="W25" i="25" s="1"/>
  <c r="T24" i="25"/>
  <c r="I24" i="25"/>
  <c r="T27" i="25"/>
  <c r="X27" i="25" s="1"/>
  <c r="Y27" i="25" s="1"/>
  <c r="Q24" i="25" l="1"/>
  <c r="U24" i="25" s="1"/>
  <c r="X24" i="25" s="1"/>
  <c r="M24" i="25"/>
  <c r="N24" i="25"/>
  <c r="X25" i="25"/>
  <c r="Y25" i="25" s="1"/>
  <c r="AF31" i="25"/>
  <c r="AB27" i="25"/>
  <c r="AK32" i="25" s="1"/>
  <c r="W24" i="25" l="1"/>
  <c r="Y24" i="25" s="1"/>
  <c r="Z24" i="25"/>
  <c r="AA24" i="25" s="1"/>
  <c r="AB24" i="25"/>
  <c r="AF32" i="25"/>
  <c r="B21" i="25" s="1"/>
</calcChain>
</file>

<file path=xl/sharedStrings.xml><?xml version="1.0" encoding="utf-8"?>
<sst xmlns="http://schemas.openxmlformats.org/spreadsheetml/2006/main" count="1996" uniqueCount="740">
  <si>
    <t>Final</t>
  </si>
  <si>
    <t>Update Cost</t>
  </si>
  <si>
    <t>Yes</t>
  </si>
  <si>
    <t>No</t>
  </si>
  <si>
    <t>a</t>
  </si>
  <si>
    <t>b</t>
  </si>
  <si>
    <t>i=0,0</t>
  </si>
  <si>
    <t>i=0,1</t>
  </si>
  <si>
    <t>i=1,0</t>
  </si>
  <si>
    <t>i=1,1</t>
  </si>
  <si>
    <t>a=Yes</t>
  </si>
  <si>
    <t>a=No</t>
  </si>
  <si>
    <t>Shares</t>
  </si>
  <si>
    <t>Probability</t>
  </si>
  <si>
    <t>b|a</t>
  </si>
  <si>
    <t>a|b</t>
  </si>
  <si>
    <t>b|~a</t>
  </si>
  <si>
    <t>a|~b</t>
  </si>
  <si>
    <t>4 cases</t>
  </si>
  <si>
    <t>Side 1</t>
  </si>
  <si>
    <t>Side 2</t>
  </si>
  <si>
    <t>a &amp; b</t>
  </si>
  <si>
    <t>a &amp; ~b</t>
  </si>
  <si>
    <t>~a &amp; b</t>
  </si>
  <si>
    <t>~a &amp; ~b</t>
  </si>
  <si>
    <t>Side 3</t>
  </si>
  <si>
    <t>Old</t>
  </si>
  <si>
    <t>New</t>
  </si>
  <si>
    <t>Edit</t>
  </si>
  <si>
    <t>Net Total Adjustment</t>
  </si>
  <si>
    <t>Adj Edit</t>
  </si>
  <si>
    <t>Cat Change</t>
  </si>
  <si>
    <t>Changed</t>
  </si>
  <si>
    <t>Cat Prob</t>
  </si>
  <si>
    <t>Desc</t>
  </si>
  <si>
    <t xml:space="preserve">Update Cost
</t>
  </si>
  <si>
    <t>LMSR</t>
  </si>
  <si>
    <t>trading begins</t>
  </si>
  <si>
    <t>losers sell</t>
  </si>
  <si>
    <t>Prior (uniform)</t>
  </si>
  <si>
    <t>trading continues</t>
  </si>
  <si>
    <t>sale to recover funds today</t>
  </si>
  <si>
    <t># States</t>
  </si>
  <si>
    <t>Escrow Account Balance: enough to pay off the shareholders at p=$1</t>
  </si>
  <si>
    <t>Initial Capital Required to 'Make Market'</t>
  </si>
  <si>
    <t>Time</t>
  </si>
  <si>
    <t>S1</t>
  </si>
  <si>
    <t>S2</t>
  </si>
  <si>
    <t>S3</t>
  </si>
  <si>
    <t>S4</t>
  </si>
  <si>
    <t>p1</t>
  </si>
  <si>
    <t>p2</t>
  </si>
  <si>
    <t>p3</t>
  </si>
  <si>
    <t>p4</t>
  </si>
  <si>
    <t>P(b|a)</t>
  </si>
  <si>
    <t>From t=3 to t=4, the probability of b (column=1) remaned the same, but the marginal probability of experiencing b changed.</t>
  </si>
  <si>
    <t>From t=4 to t=5, the probability of b (column=1) changed from 43 to 34, but the marginal probability of experiencing b remained the same.</t>
  </si>
  <si>
    <t>Left over (positive, arbitrarily small)</t>
  </si>
  <si>
    <t>Some experiments to explore the 'trading additivity' of MSRs generally.</t>
  </si>
  <si>
    <t>A Calculator I threw together for solving for various probability changes….possibly a more general way to do this.</t>
  </si>
  <si>
    <t>Inputs</t>
  </si>
  <si>
    <t>Output</t>
  </si>
  <si>
    <t>b2</t>
  </si>
  <si>
    <t>b1</t>
  </si>
  <si>
    <t>Do we still have enough money?</t>
  </si>
  <si>
    <t>Yes.</t>
  </si>
  <si>
    <t>Multivariate - Increasing b while trading</t>
  </si>
  <si>
    <t>Insurance Fraud</t>
  </si>
  <si>
    <t>Assume unit price is 1$, insured facility worth $500.</t>
  </si>
  <si>
    <t>Burn Down?</t>
  </si>
  <si>
    <t>No-Fraud Actuarial Risk</t>
  </si>
  <si>
    <t>Increments</t>
  </si>
  <si>
    <t>Value</t>
  </si>
  <si>
    <t>Target</t>
  </si>
  <si>
    <t>Ins Profit</t>
  </si>
  <si>
    <t>Buyer</t>
  </si>
  <si>
    <t>Seller</t>
  </si>
  <si>
    <t>NA</t>
  </si>
  <si>
    <t>Owner Cost</t>
  </si>
  <si>
    <t>Note HIGH sensitivity to increments, particularly increments/value ratio</t>
  </si>
  <si>
    <t>Ins</t>
  </si>
  <si>
    <t>Owner</t>
  </si>
  <si>
    <t>Market</t>
  </si>
  <si>
    <t>Insurance</t>
  </si>
  <si>
    <t>Very interesting…converges to $20 (which is 4% * 500) only at high increments</t>
  </si>
  <si>
    <t>capital tie up</t>
  </si>
  <si>
    <t>problem</t>
  </si>
  <si>
    <t>insurance strategy</t>
  </si>
  <si>
    <t>ROCE</t>
  </si>
  <si>
    <t>(return on capital employed)</t>
  </si>
  <si>
    <t>Very capital intensive (but no counter-party risk)</t>
  </si>
  <si>
    <t>Will likely only work in situations</t>
  </si>
  <si>
    <t>only insure events like natural disasters (hurricane/tornado)</t>
  </si>
  <si>
    <t>works good for events where $ is potentially high (hurricane), because individuals can purchase as much insurance as they need (potentially a great deal), and insurance providers face a deep market</t>
  </si>
  <si>
    <t>include price of arson (unravel?)</t>
  </si>
  <si>
    <t>demand arson protections</t>
  </si>
  <si>
    <t>augmentation - see note on manipulation (this would certainly work IF the augmentation were ungameable [which will probably not be met])</t>
  </si>
  <si>
    <t>End</t>
  </si>
  <si>
    <t>Trade</t>
  </si>
  <si>
    <t>Trade Cost</t>
  </si>
  <si>
    <t>Interpretation</t>
  </si>
  <si>
    <t>i</t>
  </si>
  <si>
    <t>Refund</t>
  </si>
  <si>
    <t>Post-Hoc Net Cost</t>
  </si>
  <si>
    <t>Market Author can "get back" the "left over" money, this encourages him to set appropriate min/max as this refund value is low when final value crashes into these limits.</t>
  </si>
  <si>
    <t>Max and Min must be set in advance - The Taleb Criticism</t>
  </si>
  <si>
    <t>http://measuringworth.com/DJA/</t>
  </si>
  <si>
    <t>http://finance.yahoo.com/echarts?s=%5Edji+interactive</t>
  </si>
  <si>
    <t>https://research.stlouisfed.org/fred2/series/DJIA/downloaddata</t>
  </si>
  <si>
    <t>Escrow Account Balance: enough to pay off the shareholders</t>
  </si>
  <si>
    <t>Redemptions</t>
  </si>
  <si>
    <t>i2=1 is better for the DJIA</t>
  </si>
  <si>
    <t>What happened to that money?</t>
  </si>
  <si>
    <t>was paid for 0 shares.</t>
  </si>
  <si>
    <t>If probabilities increase toward 100%, this amount is used. A higher b allows this number to increase higher before reaching 100%.</t>
  </si>
  <si>
    <t>Targeting Calculator - Use this to "make a trade such that i=0,0 is at this price"</t>
  </si>
  <si>
    <t>LMSR Account</t>
  </si>
  <si>
    <t>Refund - For binary claims this will always be reduced to zero by traders.</t>
  </si>
  <si>
    <r>
      <t xml:space="preserve">Why the </t>
    </r>
    <r>
      <rPr>
        <b/>
        <u/>
        <sz val="11"/>
        <color theme="1"/>
        <rFont val="Calibri"/>
        <family val="2"/>
        <scheme val="minor"/>
      </rPr>
      <t>logarithmic</t>
    </r>
    <r>
      <rPr>
        <sz val="11"/>
        <color theme="1"/>
        <rFont val="Calibri"/>
        <family val="2"/>
        <scheme val="minor"/>
      </rPr>
      <t xml:space="preserve"> market scoring rule?</t>
    </r>
  </si>
  <si>
    <t>The classic InTrade Binary PM, for example "Mitt Romney to be elected US president in 2012?". State 0 trades 'No' and State 1 trades 'Yes', and over time it becomes clear that State 0 will win.
This market does not require the 'double-auction' features of normal markets, such as buy and sell orders. Instead only a incremental update is required. Each row is an update and the cost to preform this update is in the "Update Cost" column. Traders never need to know that they (potentially) aren't even trading with anyone else. This is easier to implement and ensures that low/zero trading volume is never a problem.</t>
  </si>
  <si>
    <t>A more sophisticated PM, with two dimentions [a,b] each true/false. Event "a" could be "Mitt Romney to be elected US president in 2012?", and event "b" could be "Will the US declare war on Russia in 2013?". As it became clear that neither would happen, the price of state [0,0] would converge to 100%.
Having two dimensions in one market allows us to examine the relationship between each dimension, ie (b|a=1) or "Will the US declare war on Russia given that Mitt Romney was elected president?"</t>
  </si>
  <si>
    <t>LMSR (Market Account)</t>
  </si>
  <si>
    <t>User Provides</t>
  </si>
  <si>
    <t>Calculated</t>
  </si>
  <si>
    <t xml:space="preserve">Update Cost (User Pays)
</t>
  </si>
  <si>
    <t>The Logarithmic Market Scoring Rule</t>
  </si>
  <si>
    <t>On this page I'll provide two examples of prediction markets which have permanent liquidity (ie, there is always someone to buy and sell against). Instead of placing Bid/Ask orders (which might go unfilled), individuals pay immediately for an immediate update to the market price. Traders can buy and sell shares at any time, with the economic consequences being idential to those of a traditional double-auction market.</t>
  </si>
  <si>
    <t>Example 1: Univariate</t>
  </si>
  <si>
    <t>Example 2: Multivariate</t>
  </si>
  <si>
    <t>Minimal Example</t>
  </si>
  <si>
    <t>Notice:</t>
  </si>
  <si>
    <t>More liquidity = higher upfront cost.</t>
  </si>
  <si>
    <t>Account Balance</t>
  </si>
  <si>
    <t>"Mitt Romney to be elected US president in 2012?"</t>
  </si>
  <si>
    <t>a=0</t>
  </si>
  <si>
    <t>a=1</t>
  </si>
  <si>
    <t>Targeting Calculator - Use this to "make a trade such that a=0 is at this price"</t>
  </si>
  <si>
    <t>a=0 seems likely</t>
  </si>
  <si>
    <t>a=0 known</t>
  </si>
  <si>
    <t>n</t>
  </si>
  <si>
    <t>"total number of states"</t>
  </si>
  <si>
    <t>k</t>
  </si>
  <si>
    <t>"Capital Required"</t>
  </si>
  <si>
    <t>"liquidity parameter (freely chosen)"</t>
  </si>
  <si>
    <t>"Will the US declare war on Russia in 2013?"</t>
  </si>
  <si>
    <t>"Hillary Clinton to be elected US president in 2016?"</t>
  </si>
  <si>
    <t>Notes:</t>
  </si>
  <si>
    <t>Keep in mind that you are betting on "what X claims is the DJIA" and not owning the true DJIA. The same goes for inflation, GDP, etc. you are betting on a publication of information.</t>
  </si>
  <si>
    <t>Market resolves at a=0, (a=1 shares are worthless)</t>
  </si>
  <si>
    <t>m</t>
  </si>
  <si>
    <t>minimum</t>
  </si>
  <si>
    <t>maximum</t>
  </si>
  <si>
    <t>M</t>
  </si>
  <si>
    <t>s</t>
  </si>
  <si>
    <t>scale</t>
  </si>
  <si>
    <t>S</t>
  </si>
  <si>
    <t>cumulative scale</t>
  </si>
  <si>
    <t>u1</t>
  </si>
  <si>
    <t>u2</t>
  </si>
  <si>
    <t>u3</t>
  </si>
  <si>
    <t>Source 1</t>
  </si>
  <si>
    <t>Source 2</t>
  </si>
  <si>
    <t>Source 3</t>
  </si>
  <si>
    <t>d1</t>
  </si>
  <si>
    <t>D</t>
  </si>
  <si>
    <t>[d1]</t>
  </si>
  <si>
    <t>"decision-dimensionality"</t>
  </si>
  <si>
    <t>d2</t>
  </si>
  <si>
    <t>[d1,d2]</t>
  </si>
  <si>
    <t>Stock Market Volatility</t>
  </si>
  <si>
    <t>https://www.google.com/finance?q=NYSE:GE&amp;sa=X&amp;ei=AihpU5eVJrHeyQGx5YG4DQ&amp;ved=0CDMQ2AEwAA</t>
  </si>
  <si>
    <t>null</t>
  </si>
  <si>
    <t>Outcome1</t>
  </si>
  <si>
    <t>Outcome2</t>
  </si>
  <si>
    <t>value</t>
  </si>
  <si>
    <t>Becomes clear that a=1</t>
  </si>
  <si>
    <t>Actual</t>
  </si>
  <si>
    <t>Cost</t>
  </si>
  <si>
    <t>Revenue</t>
  </si>
  <si>
    <t>b-independent Actual</t>
  </si>
  <si>
    <t>Speculating</t>
  </si>
  <si>
    <t>"Donations to Charity X during time T?"</t>
  </si>
  <si>
    <t>b-independent ROCE</t>
  </si>
  <si>
    <t>"cumulative max" max (per dimension)</t>
  </si>
  <si>
    <t xml:space="preserve">Cost
</t>
  </si>
  <si>
    <t>QMSR</t>
  </si>
  <si>
    <t>SMSR</t>
  </si>
  <si>
    <t>"Unfair"</t>
  </si>
  <si>
    <t>"Init. Cost"</t>
  </si>
  <si>
    <t>Notice that the highlighted yellow and pink cells have the same values.
The L-msr allows individuals to bet on ONLY ONE of [liklihood of a, liklihood of b,  relationship between a and b], without having to think about (or risk money on) the other two. Other scoring rules will force you to pay for things you don't care about (red cells).
These benefits become extremely attractive in high-dimensional markets, as humans  typically find it difficult to even think about the relationship between 5 or 6 things (itself hundreds of possible relationships).</t>
  </si>
  <si>
    <t>change me</t>
  </si>
  <si>
    <t>.</t>
  </si>
  <si>
    <t>Use Solver to minimize cost</t>
  </si>
  <si>
    <t>e^(Shares)</t>
  </si>
  <si>
    <t>Price or Liklihood</t>
  </si>
  <si>
    <t>Target Prob's</t>
  </si>
  <si>
    <t>Actual Prob's</t>
  </si>
  <si>
    <t>Initial Prob's</t>
  </si>
  <si>
    <t>(Will have to program this minimization, if no analytic solution is found. I have given up for now. It is not really an intensive problem.)</t>
  </si>
  <si>
    <t>Share Value</t>
  </si>
  <si>
    <t>Minimize</t>
  </si>
  <si>
    <t>k75</t>
  </si>
  <si>
    <t>st</t>
  </si>
  <si>
    <t>Shares only increase</t>
  </si>
  <si>
    <t>actual probabilities match target probabilities</t>
  </si>
  <si>
    <t>1000|0 (Donations if No)</t>
  </si>
  <si>
    <t>1000|1 (Donations if Yes)</t>
  </si>
  <si>
    <t>1|0 (Law if No Donations)</t>
  </si>
  <si>
    <t>1|1000 (Law if Donations)</t>
  </si>
  <si>
    <t>Passing Law (Reguardless of Donations)</t>
  </si>
  <si>
    <t>Getting Donations (Reguardless of Law)</t>
  </si>
  <si>
    <t>"Anti-Bitcoin law passed in time (T-1)?"</t>
  </si>
  <si>
    <t>This portfolio will be worth return(d1) regardless of what happens to d2.</t>
  </si>
  <si>
    <t>Re: consensus, must switch to median and remove .5-disincentive (switch disincentive to altnernating min/max extreme)</t>
  </si>
  <si>
    <t>-i</t>
  </si>
  <si>
    <t xml:space="preserve">These items (specifically, cell F35) would be determined in almost the same way as a Binary 0,1 claim. </t>
  </si>
  <si>
    <t xml:space="preserve">  It can even be negative if the final price differs from the current price (conceptually, the Author makes a last-minute profitable trade).</t>
  </si>
  <si>
    <t xml:space="preserve">  This cost (K34) will be lowest when the outcome is more central (ie far from both extremes).</t>
  </si>
  <si>
    <t>Index
"Long DJIA"</t>
  </si>
  <si>
    <t>Index
"Short DJIA"</t>
  </si>
  <si>
    <t>What is the difference between "value" and "index"? In practice, people may not want to pay the "min" at all, as it pointlessly ties up capital.</t>
  </si>
  <si>
    <t>Voters would 'input' the value of cell D35 for user-friendliness.</t>
  </si>
  <si>
    <t>Correspondingly, index movements are zero-sum:</t>
  </si>
  <si>
    <t>Only one dimension, only one decision.</t>
  </si>
  <si>
    <t>This value can be anything.</t>
  </si>
  <si>
    <t>Markets need to know about their Decision's Scales, if any.</t>
  </si>
  <si>
    <t>"cumulative scale" (maximum winnings)</t>
  </si>
  <si>
    <t>Marginal Value</t>
  </si>
  <si>
    <t>Marginal Probability</t>
  </si>
  <si>
    <t>Probability (Joint)</t>
  </si>
  <si>
    <t>Share Value (back to Joint Probability)</t>
  </si>
  <si>
    <t>Index Value</t>
  </si>
  <si>
    <t>We are long d2, it is never at risk. We are "in d2 dollars".</t>
  </si>
  <si>
    <t>Target (return(d1)):</t>
  </si>
  <si>
    <t>Success!</t>
  </si>
  <si>
    <t>If b were infinite, we could have picked up the shares for exactly this cost. (At finite b we are slightly betting against ourselves).</t>
  </si>
  <si>
    <t>Return</t>
  </si>
  <si>
    <t>Literal revenue/cost</t>
  </si>
  <si>
    <t>Escrow Account Balance: always enough to pay off the shareholders</t>
  </si>
  <si>
    <t>Notice: blue line falls (can't have both), red and green lines begin to move opposite each other.</t>
  </si>
  <si>
    <t>Conditional Probabilities</t>
  </si>
  <si>
    <t>Conditional Values</t>
  </si>
  <si>
    <t>V(0,:)</t>
  </si>
  <si>
    <t>V(1000,:)</t>
  </si>
  <si>
    <t>V(:,0)</t>
  </si>
  <si>
    <t>V(:,1)</t>
  </si>
  <si>
    <t>How to perform trades which move the market in this way ("How to place a conditional-charity bet.")</t>
  </si>
  <si>
    <t>Buy this to "short" the DJIA.</t>
  </si>
  <si>
    <t>Buy this to "go long" on the DJIA.</t>
  </si>
  <si>
    <t>(long GE shares)</t>
  </si>
  <si>
    <t>(short GE shares)</t>
  </si>
  <si>
    <t>(short LTC)</t>
  </si>
  <si>
    <t>(long LTC)</t>
  </si>
  <si>
    <t>(long TRU)</t>
  </si>
  <si>
    <t>(short TRU)</t>
  </si>
  <si>
    <t>Result of SVD-Consensus</t>
  </si>
  <si>
    <t>No Romney</t>
  </si>
  <si>
    <t>War</t>
  </si>
  <si>
    <t>No War</t>
  </si>
  <si>
    <t>given No War</t>
  </si>
  <si>
    <t>given War</t>
  </si>
  <si>
    <t>given No Romney</t>
  </si>
  <si>
    <t>given Romney</t>
  </si>
  <si>
    <t>P(0|0)</t>
  </si>
  <si>
    <t>P(0|1)</t>
  </si>
  <si>
    <t>P(,1|0)</t>
  </si>
  <si>
    <t>P(,0|1)</t>
  </si>
  <si>
    <t>Target Prices</t>
  </si>
  <si>
    <t>Preserving the Outside</t>
  </si>
  <si>
    <t>Changing the Conditional: "I believed the previous 'Marginal (Outside the Box) Probabilites Were Right"</t>
  </si>
  <si>
    <t>Solver Model #1</t>
  </si>
  <si>
    <t>If(0,0)</t>
  </si>
  <si>
    <t>If(0,1)</t>
  </si>
  <si>
    <t>If(1,0)</t>
  </si>
  <si>
    <t>If(1,1)</t>
  </si>
  <si>
    <t>Benefit</t>
  </si>
  <si>
    <t>b-independent Cost</t>
  </si>
  <si>
    <t>b-indep Return</t>
  </si>
  <si>
    <t>What if NOT Mitt Romney?</t>
  </si>
  <si>
    <t>Expected Return</t>
  </si>
  <si>
    <t>What if Mitt Romney?</t>
  </si>
  <si>
    <t>Expected Total Return</t>
  </si>
  <si>
    <t>Changing some Outside</t>
  </si>
  <si>
    <t>Preserving the Conditional: "I have no idea what this is and don't want to bet on it."</t>
  </si>
  <si>
    <t>Solver Model #2</t>
  </si>
  <si>
    <t>d1^2</t>
  </si>
  <si>
    <t>Decision 1 Squared - ("The number of rainy or snowy days in NYC.")^2</t>
  </si>
  <si>
    <t>Mean</t>
  </si>
  <si>
    <t>Var</t>
  </si>
  <si>
    <t>CoV</t>
  </si>
  <si>
    <t>SD</t>
  </si>
  <si>
    <t>Error</t>
  </si>
  <si>
    <t>(Outcome1)^2</t>
  </si>
  <si>
    <t>Rewards:</t>
  </si>
  <si>
    <t>Eventually, the SD will converge to 0 (as uncertainty is eliminated upon the event-date [We don't know who will be elected, but we know that we WILL KNOW by December]).</t>
  </si>
  <si>
    <t>S1 (Scenario 1: "Short Variability")</t>
  </si>
  <si>
    <t>S2 (Scenario 2: "Long Variability")</t>
  </si>
  <si>
    <t>S3 (Scenario 3: "Short X^2")</t>
  </si>
  <si>
    <t>S4 (Scenario 4: "Long X^2")</t>
  </si>
  <si>
    <t>Final Sales (Revenue)</t>
  </si>
  <si>
    <t>Realization</t>
  </si>
  <si>
    <t>Short Var</t>
  </si>
  <si>
    <t>Long Var</t>
  </si>
  <si>
    <t>Short X2</t>
  </si>
  <si>
    <t>Long X2</t>
  </si>
  <si>
    <t>Absurdly high returns for S1…is it just my example?</t>
  </si>
  <si>
    <t>More analysis is needed.</t>
  </si>
  <si>
    <t>Estimates (From PMs)</t>
  </si>
  <si>
    <t>(If perfectly non-varying)</t>
  </si>
  <si>
    <t>Estimates to Moments</t>
  </si>
  <si>
    <t>X</t>
  </si>
  <si>
    <t>1 "Mean"</t>
  </si>
  <si>
    <t>X2</t>
  </si>
  <si>
    <t>2 "Variance"</t>
  </si>
  <si>
    <t>X3</t>
  </si>
  <si>
    <t>3 "Skewness"</t>
  </si>
  <si>
    <t>X4</t>
  </si>
  <si>
    <t>4 "Kurtosis"</t>
  </si>
  <si>
    <t>Moments to Parameters</t>
  </si>
  <si>
    <t>Parameter</t>
  </si>
  <si>
    <t>Normal</t>
  </si>
  <si>
    <t>Beta</t>
  </si>
  <si>
    <t>Exponential</t>
  </si>
  <si>
    <t>http://en.wikipedia.org/wiki/D%27Agostino%27s_K-squared_test</t>
  </si>
  <si>
    <t>Skew</t>
  </si>
  <si>
    <t>Goal: 0</t>
  </si>
  <si>
    <t>Goal: 2</t>
  </si>
  <si>
    <t>Kurt</t>
  </si>
  <si>
    <t>Goal: 3</t>
  </si>
  <si>
    <t>Goal: 9</t>
  </si>
  <si>
    <t>lamda</t>
  </si>
  <si>
    <t>Alpha</t>
  </si>
  <si>
    <t>Parameters to Densities</t>
  </si>
  <si>
    <t>Likelihood</t>
  </si>
  <si>
    <t>Two Scaled Decisions - One the Square of the Other</t>
  </si>
  <si>
    <t>Two or More Scaled Decisions</t>
  </si>
  <si>
    <t>Conditional Scaled Decisions</t>
  </si>
  <si>
    <t>Scaled Decisions [ Bounded Scalar instead of Boolean]</t>
  </si>
  <si>
    <t>Goal: Use trades to discourage anti-Bitcoin law from passing by (providing charitable incentive).</t>
  </si>
  <si>
    <t>Conditional or "Refunded" Claims</t>
  </si>
  <si>
    <t>Shares bought:</t>
  </si>
  <si>
    <t>Old Probabilities</t>
  </si>
  <si>
    <t>New Probabilities</t>
  </si>
  <si>
    <t>Two Possible Worlds</t>
  </si>
  <si>
    <t>Old Marginal Probabilities</t>
  </si>
  <si>
    <t>New Marginal Probabilities</t>
  </si>
  <si>
    <t>Your Info Was Wrong (Old P's were Better)</t>
  </si>
  <si>
    <t>Your Info Was Rght (New P's were Better)</t>
  </si>
  <si>
    <t>**</t>
  </si>
  <si>
    <t>The "refund" (you expect to get your money back).</t>
  </si>
  <si>
    <t>Your profit if your information is accurate.</t>
  </si>
  <si>
    <t>**Trader profits in this case.</t>
  </si>
  <si>
    <t>What if No War?</t>
  </si>
  <si>
    <t>What if War?</t>
  </si>
  <si>
    <t>(Assuming your new probabilities are accurate).</t>
  </si>
  <si>
    <t>(Assuming old probabilities were accurate).</t>
  </si>
  <si>
    <t xml:space="preserve">Refunding the Counterfactual </t>
  </si>
  <si>
    <t>Turn two prediction markets into an entire distribution (how useless that distribution is, is up to you).</t>
  </si>
  <si>
    <t>*This is the case we are interested in: Someone bet "If Mitt Romney…" yet reality gave us the counterfactual. Trader gains as long as the joint-event does not happen (ideal).</t>
  </si>
  <si>
    <t>"Avoid Square"</t>
  </si>
  <si>
    <t>"Dissociate"</t>
  </si>
  <si>
    <t>Same seed capital in both cases.</t>
  </si>
  <si>
    <t>Sensitivity</t>
  </si>
  <si>
    <t>Not
LS</t>
  </si>
  <si>
    <t>Pain</t>
  </si>
  <si>
    <t>Painfree Prices (for observers)</t>
  </si>
  <si>
    <t>d(Price)</t>
  </si>
  <si>
    <t>d(Price)/d(Account)</t>
  </si>
  <si>
    <t>Pr(A)</t>
  </si>
  <si>
    <t>LS</t>
  </si>
  <si>
    <t>b(q)</t>
  </si>
  <si>
    <t>qSUM</t>
  </si>
  <si>
    <t>(q1/b)</t>
  </si>
  <si>
    <t>(q2/b)</t>
  </si>
  <si>
    <t xml:space="preserve"> EXP (q1/b)</t>
  </si>
  <si>
    <t xml:space="preserve"> EXP (q2/b)</t>
  </si>
  <si>
    <t>SUM</t>
  </si>
  <si>
    <t>Rule of Thumb: Estimate a commission which does not exceed v (for market with N states).</t>
  </si>
  <si>
    <t>alpha = v / n log n</t>
  </si>
  <si>
    <t>Max Excessive Spread</t>
  </si>
  <si>
    <t xml:space="preserve"> (unstable)</t>
  </si>
  <si>
    <t>Comparison</t>
  </si>
  <si>
    <t>Log(Depth)</t>
  </si>
  <si>
    <t>Old Probability</t>
  </si>
  <si>
    <t>New Probability</t>
  </si>
  <si>
    <t>New Painfree</t>
  </si>
  <si>
    <t>Painfree Error</t>
  </si>
  <si>
    <t>B as a function of outstanding shares (quite clever)</t>
  </si>
  <si>
    <t>b-indep cost</t>
  </si>
  <si>
    <t>return</t>
  </si>
  <si>
    <t>"long 1"</t>
  </si>
  <si>
    <t>"long 2"</t>
  </si>
  <si>
    <t>What's the deal with these returns being on the Marginal Value and not the Index Value?</t>
  </si>
  <si>
    <t>Assume</t>
  </si>
  <si>
    <t>Index moves from 1600 to 1400, but contract only covers 1000 through 2000.</t>
  </si>
  <si>
    <t>You Got</t>
  </si>
  <si>
    <t>You Expected</t>
  </si>
  <si>
    <t>It's always going to be "overlevered". What's the deal?</t>
  </si>
  <si>
    <t>Portfolio Replication</t>
  </si>
  <si>
    <t>Cash</t>
  </si>
  <si>
    <t>h</t>
  </si>
  <si>
    <t>Total</t>
  </si>
  <si>
    <t>Total Ret</t>
  </si>
  <si>
    <t>Before</t>
  </si>
  <si>
    <t>After</t>
  </si>
  <si>
    <t>Min</t>
  </si>
  <si>
    <t>Max</t>
  </si>
  <si>
    <t>Scale</t>
  </si>
  <si>
    <t>Relative Span</t>
  </si>
  <si>
    <t>Example 2</t>
  </si>
  <si>
    <t>Example 1</t>
  </si>
  <si>
    <t>-200 over 1600</t>
  </si>
  <si>
    <t>-200 over 600</t>
  </si>
  <si>
    <t>11 over 24</t>
  </si>
  <si>
    <t>11 over 26</t>
  </si>
  <si>
    <t>Index moves from 26 to 37, but contract only covers 2 through 50.</t>
  </si>
  <si>
    <t>Example 3</t>
  </si>
  <si>
    <t>Index moves from 17.5 to 18, but contract only covers 16 through 18.</t>
  </si>
  <si>
    <t>.5 over 17.5</t>
  </si>
  <si>
    <t>Current Price</t>
  </si>
  <si>
    <t>.5 over 1.5</t>
  </si>
  <si>
    <t>how much does "one of each share" cost? 298.</t>
  </si>
  <si>
    <t>"cumulative scale" (nonexistant in this case)</t>
  </si>
  <si>
    <t>(solved algebraically)</t>
  </si>
  <si>
    <t>Info:</t>
  </si>
  <si>
    <t>User pays column J, but the amount is calculated for him/her.</t>
  </si>
  <si>
    <t>"True Prob"</t>
  </si>
  <si>
    <t>Market Price</t>
  </si>
  <si>
    <t>PF Price</t>
  </si>
  <si>
    <t>?</t>
  </si>
  <si>
    <t>Total Pain</t>
  </si>
  <si>
    <t>Surplus</t>
  </si>
  <si>
    <t>Surplus/ (2*.05)</t>
  </si>
  <si>
    <t>Price</t>
  </si>
  <si>
    <t>Requested</t>
  </si>
  <si>
    <t>Translation</t>
  </si>
  <si>
    <t>Req2</t>
  </si>
  <si>
    <t>p0</t>
  </si>
  <si>
    <t>r</t>
  </si>
  <si>
    <t>Amped R</t>
  </si>
  <si>
    <t>1- AR</t>
  </si>
  <si>
    <t>One Dollar</t>
  </si>
  <si>
    <t>Note: To repliacte the return using the method of this sheet, traders need to "buy" a portfolio of shares AND an amount of cash (or Bitcoin, or BitUSD, or the base asset of their choice, or sell some Bitcon for USD).</t>
  </si>
  <si>
    <t>For demonstration purposes only: see (Standard) for a protocol-amenable version.</t>
  </si>
  <si>
    <t>Total value across all Shares is always 1, for versions with more easily-interpretable numbers, see MV Scaled (Explicit).</t>
  </si>
  <si>
    <t>Simple Example</t>
  </si>
  <si>
    <t>Scaled Claims</t>
  </si>
  <si>
    <t>Conditional Scaled</t>
  </si>
  <si>
    <t>MV Scaled (Explicit)</t>
  </si>
  <si>
    <t>MV Scaled (Standard)</t>
  </si>
  <si>
    <t>Conditional Charity</t>
  </si>
  <si>
    <t>Liquidity Sensitivity</t>
  </si>
  <si>
    <t>Max Shares Outstanding</t>
  </si>
  <si>
    <t>Long Variability</t>
  </si>
  <si>
    <t>Counterfactual Refund</t>
  </si>
  <si>
    <t>Insurance Fraud Experiments</t>
  </si>
  <si>
    <t>Some Accounting</t>
  </si>
  <si>
    <t>DistCalculator</t>
  </si>
  <si>
    <t>2x2 Update Calculator</t>
  </si>
  <si>
    <t>Tab Title</t>
  </si>
  <si>
    <t>Table of Contents</t>
  </si>
  <si>
    <t>Tab Description</t>
  </si>
  <si>
    <t>Two examples of prediction markets which have permanent liquidity (ie, there is always someone to buy and sell against). Again, instead of placing Bid/Ask orders (which might go unfilled), individuals pay immediately for an immediate update to the market price.
The second example illuminates the choice of "logarithmic" market scoring rule, as opposed to others.</t>
  </si>
  <si>
    <t>Scenarioes where, instead of having a TRUE / FALSE outcome ("Did Hillary Clinton win the presidency?"), we have a numeric outcome ("How many votes did Hillary Clinton win?").</t>
  </si>
  <si>
    <t>Mixing a True/False with a numeric to answer "What would a number be if TRUE? …if FALSE?".</t>
  </si>
  <si>
    <t>How the math works out if you bet "I think number(X1) would increase, only if boolean(X2)=TRUE", and boolean(X2) turned out to =FALSE.</t>
  </si>
  <si>
    <t>Mixing two numeric outcomes, to (for example) bet on several exchange rates at once, or bet on events "priced in dollars".
This version of MV Scaled attempts to perform the calculations in the desired units.</t>
  </si>
  <si>
    <t>As above: Mixing two numeric outcomes, to (for example) bet on several exchange rates at once, or bet on events "priced in dollars".
This version of MV Scaled attempts to perform the calculations without units at all. The result is much more tractable, yet produces a portfolio which is always overlevered. I provide the formula to appropriately de-lever the portfolio. My expectation is that the protocol would operate this way, with trading-software automating this extra step.</t>
  </si>
  <si>
    <t>A rather complicated idea: looking at a numeric(X), such as "How many votes will Hillary Clinton get?" and betting on the *standard deviation* of that number, not the average.</t>
  </si>
  <si>
    <t>An extremely interesting idea: "I will donate X dollars to a certain charity, but only if Event Y happens."</t>
  </si>
  <si>
    <t>Changing b mid-trading</t>
  </si>
  <si>
    <t>Is it easy to change the "b" parameter, right in the middle of trading? Yes, it is.</t>
  </si>
  <si>
    <t>PMs probably aren't useful for insurance, as they must always have the full value-at-stake in reserves at all times (which partially defeats the point, but might be agreeable to some). Obviously, moral hazard would be of huge concern.</t>
  </si>
  <si>
    <t>Some have suggested that, instead of an intial "b" parameter (which would be fixed or non-decreasing), it would be more painless, and more realistic, to very slightly overcharge all traders and use those funds to scale liquidity.</t>
  </si>
  <si>
    <t>Minor experiment concerning behavior at an upper limit of outstanding shares.</t>
  </si>
  <si>
    <t>Minor experiments concerning 'additivity' of trades.</t>
  </si>
  <si>
    <t>Transforms certain PM-sourced data into distributions. Don't use this if you haven't read Taleb's "The Black Swan", because the potential for misuse is nearly limitless.</t>
  </si>
  <si>
    <t>Boring calculator for targeting conditional, joint, marginal probabilities.</t>
  </si>
  <si>
    <t>Possible Values</t>
  </si>
  <si>
    <t>Shifted</t>
  </si>
  <si>
    <t>Plausible</t>
  </si>
  <si>
    <t>Rescaled</t>
  </si>
  <si>
    <t>Function Applied (Log)</t>
  </si>
  <si>
    <t>Function Applied (^2)</t>
  </si>
  <si>
    <t>Function Applied (e^)</t>
  </si>
  <si>
    <t>Functions of Decisions</t>
  </si>
  <si>
    <t>Below are examples of a few simple operations on Decision-data, and the exact order in which these functions would be applied.</t>
  </si>
  <si>
    <t>These values are displayed to the user, and reported by voters.</t>
  </si>
  <si>
    <t>Next, the chosen function is applied.</t>
  </si>
  <si>
    <t>Finally, we divide by the shifted-Max.</t>
  </si>
  <si>
    <t>Post application of f(), we subtract by f(Min).</t>
  </si>
  <si>
    <t>Functions of Decision</t>
  </si>
  <si>
    <t>It can be cheap, and desireable, to have Markets whose axes are defined NOT by the resolved outcomes themselves, but by a function of those resolved outcomes.</t>
  </si>
  <si>
    <t>Highlight rows 2 and 3 - The purchase of variance only</t>
  </si>
  <si>
    <t>Marginal Shares</t>
  </si>
  <si>
    <t>b-indep Cost</t>
  </si>
  <si>
    <t>"What you bought."</t>
  </si>
  <si>
    <t>"What it cost."</t>
  </si>
  <si>
    <t>World 1 - Low Variance</t>
  </si>
  <si>
    <t>Case 0</t>
  </si>
  <si>
    <t>Case -1</t>
  </si>
  <si>
    <t>Case -2</t>
  </si>
  <si>
    <t>Case 1</t>
  </si>
  <si>
    <t>Case 2</t>
  </si>
  <si>
    <t>Two Worlds: Low and High Variance</t>
  </si>
  <si>
    <t>World 2 - High Variance</t>
  </si>
  <si>
    <t>Outcome</t>
  </si>
  <si>
    <t>Liklihood</t>
  </si>
  <si>
    <t>Profit</t>
  </si>
  <si>
    <t>Exp Profit</t>
  </si>
  <si>
    <t>Case -3</t>
  </si>
  <si>
    <t>difference</t>
  </si>
  <si>
    <t>% of cost</t>
  </si>
  <si>
    <t>The portfolio (in this example) seems to lose money (in expectation) regardless of which world we are in.</t>
  </si>
  <si>
    <t>The loss of money isn't relevant here.</t>
  </si>
  <si>
    <t>What *is* relevant: the "bet on volatility" does better in a more volatile world.</t>
  </si>
  <si>
    <t>How Exactly Does This Work?</t>
  </si>
  <si>
    <t>Painfree Prices (for observers, somewhat arbitrary)</t>
  </si>
  <si>
    <t>"On June 1st, 2017, does the Bitcoin blockchain with the highest cumulative proof of work use a blocksize greater than 1 MB?"</t>
  </si>
  <si>
    <t>"What will the USD/BTC Exchange rate on June 1st, 2017? (two decimal places, rounded)"</t>
  </si>
  <si>
    <t>(long BitUSD)</t>
  </si>
  <si>
    <t>(short BitUSD)</t>
  </si>
  <si>
    <t>Outcome Possibilites</t>
  </si>
  <si>
    <t>Cost of the "pro-increase" portfolio.</t>
  </si>
  <si>
    <t>Blocksize Kept at 1 MB</t>
  </si>
  <si>
    <t>Blocksize Increased to &gt;1 MB</t>
  </si>
  <si>
    <t>b-independent cost</t>
  </si>
  <si>
    <t>b-independent return</t>
  </si>
  <si>
    <t>Exchange Rate</t>
  </si>
  <si>
    <t>1 MB</t>
  </si>
  <si>
    <t>&gt;1 MB</t>
  </si>
  <si>
    <t>BTC Return:</t>
  </si>
  <si>
    <t>Expected
BTC Price</t>
  </si>
  <si>
    <t>Escrow Account Balance</t>
  </si>
  <si>
    <t>p( Increase )</t>
  </si>
  <si>
    <t>Normalized</t>
  </si>
  <si>
    <t>(always equal to the Bitcoin return)</t>
  </si>
  <si>
    <t>Becomes clear that &gt;1 MB</t>
  </si>
  <si>
    <t>*Low liquidity induces price jump.</t>
  </si>
  <si>
    <t>*Assume infinite liquidity.</t>
  </si>
  <si>
    <t>(always zero)</t>
  </si>
  <si>
    <t>A practical example concerning the recent Bitcoin blocksize controversy.</t>
  </si>
  <si>
    <t>Blocksize Limit</t>
  </si>
  <si>
    <t>Random Exchange Rate Fluctuations</t>
  </si>
  <si>
    <t>This market (with completely fabricated data) believes that increasing the blocksize is the way to go.</t>
  </si>
  <si>
    <t>Blocksize Increase Controversy</t>
  </si>
  <si>
    <t>{1} {2}</t>
  </si>
  <si>
    <t>{4}</t>
  </si>
  <si>
    <t>An introduction for anyone wondering "What is the different between this, and a traditional model (in which, for example, 100 shares are issued, and then potential traders submit Bids (to buy) and Asks (to sell) and wait for these submissions to overlap)?". The answer is that issuance, price determination, and trading all happen in one convenient step.</t>
  </si>
  <si>
    <t>error</t>
  </si>
  <si>
    <t>Setup</t>
  </si>
  <si>
    <t>#1</t>
  </si>
  <si>
    <t>#2</t>
  </si>
  <si>
    <t>#3</t>
  </si>
  <si>
    <t>#4</t>
  </si>
  <si>
    <t>#5</t>
  </si>
  <si>
    <t>#6</t>
  </si>
  <si>
    <t>#7</t>
  </si>
  <si>
    <t>#8</t>
  </si>
  <si>
    <t>Grid Form</t>
  </si>
  <si>
    <t>init sum|rand</t>
  </si>
  <si>
    <t>Dim 3 - Exchange Rate</t>
  </si>
  <si>
    <t>initial prices</t>
  </si>
  <si>
    <t>Portfolio</t>
  </si>
  <si>
    <t>Dim 2 - Goal Metric</t>
  </si>
  <si>
    <t>Min: 0</t>
  </si>
  <si>
    <t>Max: 1</t>
  </si>
  <si>
    <t>Dim 1 - Blocksize</t>
  </si>
  <si>
    <t>Remain</t>
  </si>
  <si>
    <t>Dim 1</t>
  </si>
  <si>
    <t>normed</t>
  </si>
  <si>
    <t>Increase</t>
  </si>
  <si>
    <t>d3 sum</t>
  </si>
  <si>
    <t>final prices 1</t>
  </si>
  <si>
    <t>*</t>
  </si>
  <si>
    <t>Dim 2</t>
  </si>
  <si>
    <t>Dim 3</t>
  </si>
  <si>
    <t>final prices 2</t>
  </si>
  <si>
    <t>Supporting Math</t>
  </si>
  <si>
    <t>Index</t>
  </si>
  <si>
    <t>Long</t>
  </si>
  <si>
    <t>Short</t>
  </si>
  <si>
    <t>p_5678</t>
  </si>
  <si>
    <t>p_3478</t>
  </si>
  <si>
    <t>p_68</t>
  </si>
  <si>
    <t>P_68</t>
  </si>
  <si>
    <t>lowest</t>
  </si>
  <si>
    <t>Principal</t>
  </si>
  <si>
    <t>Leverage</t>
  </si>
  <si>
    <t>Now</t>
  </si>
  <si>
    <t>Later</t>
  </si>
  <si>
    <t>BTC Port cost</t>
  </si>
  <si>
    <t>pUSD</t>
  </si>
  <si>
    <t>USD_BTC</t>
  </si>
  <si>
    <t>USD</t>
  </si>
  <si>
    <t>x=</t>
  </si>
  <si>
    <t>y=</t>
  </si>
  <si>
    <t>Range</t>
  </si>
  <si>
    <t>Results</t>
  </si>
  <si>
    <t>Switch</t>
  </si>
  <si>
    <t>Initial</t>
  </si>
  <si>
    <t>Future</t>
  </si>
  <si>
    <t>Invest</t>
  </si>
  <si>
    <t>BTC</t>
  </si>
  <si>
    <t>Sale ($)</t>
  </si>
  <si>
    <t>d2 return</t>
  </si>
  <si>
    <t>d3 return</t>
  </si>
  <si>
    <t>d2/d3</t>
  </si>
  <si>
    <t>Press F9 to refresh.</t>
  </si>
  <si>
    <t>[1] The owner of the portfolio gets a refund, in dollars, if the blocksize-decision is not what they wanted.</t>
  </si>
  <si>
    <t>[2] The owner of the portfolio makes money commensurate with their bet on the goal metric.</t>
  </si>
  <si>
    <t>[3] The real world might be even better-behaved than this model.</t>
  </si>
  <si>
    <t>Final prices should probably be constrained to have an independent d3 (dim3 | dim2 really shouldn't differ).</t>
  </si>
  <si>
    <t>Rewire final prices to miss the target…</t>
  </si>
  <si>
    <t>Distortion?</t>
  </si>
  <si>
    <t>* Try changing this around, to see what happens when the target misses. The result: almost nothing.</t>
  </si>
  <si>
    <t>USD Refunds on Blockchain Betting</t>
  </si>
  <si>
    <t>(When BTC Price Volatility Interferes with the Forecast)</t>
  </si>
  <si>
    <t>USD Refunds - II</t>
  </si>
  <si>
    <t>(Does it matter that trader must forecast P_68? No.)</t>
  </si>
  <si>
    <t>Actual P_68</t>
  </si>
  <si>
    <t>Each pair sums to 1.</t>
  </si>
  <si>
    <t>Each pair sums to scale(Di).</t>
  </si>
  <si>
    <t>Marginal, shifted by 2 mins each.</t>
  </si>
  <si>
    <t>Functions of Scalar Decisions ("Derivatives")</t>
  </si>
  <si>
    <t>d1'</t>
  </si>
  <si>
    <t>Buy this to "sell" a DJIA call option.</t>
  </si>
  <si>
    <t>Buy this to "buy" a DJIA call option.</t>
  </si>
  <si>
    <t>Derivative of d1, call option with 14500 strike price.</t>
  </si>
  <si>
    <t>F</t>
  </si>
  <si>
    <t>x</t>
  </si>
  <si>
    <t>d1, c</t>
  </si>
  <si>
    <t>Underlying</t>
  </si>
  <si>
    <t>[d1']</t>
  </si>
  <si>
    <t>M1</t>
  </si>
  <si>
    <t>M2</t>
  </si>
  <si>
    <t>Spent</t>
  </si>
  <si>
    <t>At t = 9</t>
  </si>
  <si>
    <t>Time = 7</t>
  </si>
  <si>
    <t>At t = 10</t>
  </si>
  <si>
    <t>At End</t>
  </si>
  <si>
    <t>Real World</t>
  </si>
  <si>
    <t>Synthetic (M1)</t>
  </si>
  <si>
    <t>Inv. per $</t>
  </si>
  <si>
    <t>Held per $</t>
  </si>
  <si>
    <t>De-lever (h)</t>
  </si>
  <si>
    <t>Equal?</t>
  </si>
  <si>
    <t>Sanity Check</t>
  </si>
  <si>
    <t>Opt. Value</t>
  </si>
  <si>
    <t>Short Value</t>
  </si>
  <si>
    <t>At t = 8</t>
  </si>
  <si>
    <t>Real</t>
  </si>
  <si>
    <t>Synthetic</t>
  </si>
  <si>
    <t>This shows how one can use "h" to move between the Synthetic World (ranging 0 to 1.0) and the Real World.</t>
  </si>
  <si>
    <t>The returns are the same.</t>
  </si>
  <si>
    <t>Call Option</t>
  </si>
  <si>
    <t>Time = 5</t>
  </si>
  <si>
    <t>Option</t>
  </si>
  <si>
    <t>h1</t>
  </si>
  <si>
    <t>h2</t>
  </si>
  <si>
    <t>h*</t>
  </si>
  <si>
    <t>Assuming no "time premium" (no subjective uncertainy component) for the option price...</t>
  </si>
  <si>
    <t>Harmonizing M1 and M2</t>
  </si>
  <si>
    <t>SSR</t>
  </si>
  <si>
    <t>Option Value</t>
  </si>
  <si>
    <t>Synthetic Option Value (M2)</t>
  </si>
  <si>
    <t>This should not be surprising, as M2 is merely a restricted movement within M1.</t>
  </si>
  <si>
    <t>This results in loss of precision.. one which is (seemingly) pointless.</t>
  </si>
  <si>
    <t>Solution: Adjust by 1/(1-Strike)</t>
  </si>
  <si>
    <t>Synthetic Option Value (M3)</t>
  </si>
  <si>
    <t>Both the purchase price and the sale price have been altered by 1/(1-X), which cancels.</t>
  </si>
  <si>
    <t>Bonus Points - Free Rescaling</t>
  </si>
  <si>
    <t>Movements within the zero range will be calibrated perfectly, by definition.</t>
  </si>
  <si>
    <t>It follows that, movements between the two ranges are also calibrated.</t>
  </si>
  <si>
    <t>Therefore, we have replicated the option payoff.</t>
  </si>
  <si>
    <t>"It is possible to create a position consisting of Δ shares and $B borrowed at the risk free rate, which will produce identical cash flows to one option on the underlying share."</t>
  </si>
  <si>
    <t>-- https://en.wikipedia.org/wiki/Rational_pricing#The_replicating_portfolio</t>
  </si>
  <si>
    <t>Since it is the case that:</t>
  </si>
  <si>
    <t>Option = Share + Borrowing</t>
  </si>
  <si>
    <t>Option = Underlying + Leverage</t>
  </si>
  <si>
    <t>...traders can use these Synthetic Options to create / destroy leverage.</t>
  </si>
  <si>
    <t>Derivatives and Leverage</t>
  </si>
  <si>
    <t>Using simple math to create derivatives of Decisions (namely, the put/call options which are themselves the foundation of financial engineering).</t>
  </si>
  <si>
    <t>Dimension 1</t>
  </si>
  <si>
    <t>Dimension 2</t>
  </si>
  <si>
    <t>Max ($50/share)</t>
  </si>
  <si>
    <t>Min ($2/share)</t>
  </si>
  <si>
    <t>"What will the NYSE:GE closing price be on May 2nd, 2019? (three decimal places, rounded, USD/Share)"</t>
  </si>
  <si>
    <t>This market believes that the GE share price would be higher under Flannery's leadership. Which CEOs aren't pulling their weight?</t>
  </si>
  <si>
    <t>"John Flannery to remain CEO of GE, Jan 1, 2020?"</t>
  </si>
  <si>
    <t>Stock Price</t>
  </si>
  <si>
    <t>target</t>
  </si>
  <si>
    <t>error:</t>
  </si>
  <si>
    <t>premium</t>
  </si>
  <si>
    <t>Leave &amp; Min</t>
  </si>
  <si>
    <t>Stay &amp; Min</t>
  </si>
  <si>
    <t>Leave &amp; Max</t>
  </si>
  <si>
    <t>Stay &amp; Max</t>
  </si>
  <si>
    <t>Marginals</t>
  </si>
  <si>
    <t>d1 = min</t>
  </si>
  <si>
    <t>d1 = max</t>
  </si>
  <si>
    <t>Conditional</t>
  </si>
  <si>
    <t>max|leave</t>
  </si>
  <si>
    <t>max|stay</t>
  </si>
  <si>
    <t>d2 = leave</t>
  </si>
  <si>
    <t>d2 = stay</t>
  </si>
  <si>
    <t>Conditional (Units)</t>
  </si>
  <si>
    <t>actual</t>
  </si>
  <si>
    <t>Flannery = Good</t>
  </si>
  <si>
    <t>importance</t>
  </si>
  <si>
    <t>Max | CEO Leaves</t>
  </si>
  <si>
    <t>Max | CEO Stays</t>
  </si>
  <si>
    <t>leave | max</t>
  </si>
  <si>
    <t>leave | min</t>
  </si>
  <si>
    <t>"Donald Trump to be re-elected US president in 2020?"</t>
  </si>
  <si>
    <t>"Bernie Sanders to be elected US president in 2020?"</t>
  </si>
  <si>
    <t>"What will the Dow Jones Industrial Average closing price be on Feb 13th, 2020? (two decimal places, rounded, USD/DJIA)"</t>
  </si>
  <si>
    <t>"If Donald Trump, then we won't have high tax rates."</t>
  </si>
  <si>
    <t>Getting the refund if NO Trump re-election.</t>
  </si>
  <si>
    <t>"Trump to be re-elected US president in 2020?"</t>
  </si>
  <si>
    <t>"In 2021, will the highest tax bracket be above 40%?"</t>
  </si>
  <si>
    <t>Option 1: I don't know about taxes in general (I think it's still 60%), but I know that Trump is 'less tax' than Non-Trump candiates.</t>
  </si>
  <si>
    <t>(This logically implies that the non-Trump candidates are coorespondingly 'more tax').</t>
  </si>
  <si>
    <t>Implies that trader also believed that "If Not Trump, we more likely to have high taxes."</t>
  </si>
  <si>
    <t>Not Trump</t>
  </si>
  <si>
    <t>Trump</t>
  </si>
  <si>
    <t>No High Tax</t>
  </si>
  <si>
    <t>High Tax</t>
  </si>
  <si>
    <t>P(Trump|.)</t>
  </si>
  <si>
    <t>P(Tax|.)</t>
  </si>
  <si>
    <t>*This is the case we are interested in: Someone bet "If Trump reelected…" yet reality gave us the counterfactual (Trump was NOT reelected).</t>
  </si>
  <si>
    <t>Not Trump*</t>
  </si>
  <si>
    <t>P(Not Tax)</t>
  </si>
  <si>
    <t>P(Tax)</t>
  </si>
  <si>
    <t>Option 2: There are 5 percentage points that are for Trump increasing tax rates, which I would like to erase.</t>
  </si>
  <si>
    <t>Implies that trader also believed that "tax in general is falsely expected, because some erroneously expect joint(Trump, Tax)"</t>
  </si>
  <si>
    <t>Preserving the Marginal: "I don't think Trump is more or less likely to win (as a result of my beliefs about his war)."</t>
  </si>
  <si>
    <t>"What will the BTC/LTC exchange rate be on May 2nd, 2020? (three decimal places, rounded)"</t>
  </si>
  <si>
    <t>"What will the USD / TRU exchange rate be on May 2nd, 2020? (three decimal places, rounded)"</t>
  </si>
  <si>
    <t>"How many rainy or snowy days will there be in New York City in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</si>
</sst>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6" formatCode="&quot;$&quot;#,##0_);[Red]\(&quot;$&quot;#,##0\)"/>
    <numFmt numFmtId="8" formatCode="&quot;$&quot;#,##0.00_);[Red]\(&quot;$&quot;#,##0.00\)"/>
    <numFmt numFmtId="164" formatCode="0.000"/>
    <numFmt numFmtId="165" formatCode="0.0000"/>
    <numFmt numFmtId="166" formatCode="0.0%"/>
    <numFmt numFmtId="167" formatCode="0.0"/>
    <numFmt numFmtId="168" formatCode="0.00000"/>
    <numFmt numFmtId="169" formatCode="0.0000000"/>
    <numFmt numFmtId="170" formatCode="0.00000%"/>
    <numFmt numFmtId="171" formatCode="0.000000"/>
    <numFmt numFmtId="172" formatCode="#,##0.00000"/>
    <numFmt numFmtId="173" formatCode="#,##0.000000"/>
    <numFmt numFmtId="174" formatCode="0.00000000"/>
    <numFmt numFmtId="175" formatCode="0.000%"/>
    <numFmt numFmtId="176" formatCode="0.000000%"/>
    <numFmt numFmtId="177" formatCode="0.0000000%"/>
    <numFmt numFmtId="178" formatCode="&quot;$&quot;#,##0.0000_);[Red]\(&quot;$&quot;#,##0.0000\)"/>
    <numFmt numFmtId="179" formatCode="0.000000000"/>
    <numFmt numFmtId="180" formatCode="&quot;$&quot;#,##0.0_);[Red]\(&quot;$&quot;#,##0.0\)"/>
    <numFmt numFmtId="181" formatCode="#,##0.0000"/>
    <numFmt numFmtId="182" formatCode="0.00000000000%"/>
    <numFmt numFmtId="183" formatCode="#,##0.000"/>
    <numFmt numFmtId="184" formatCode="0.00000000000000000000%"/>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4"/>
      <color theme="1"/>
      <name val="Calibri"/>
      <family val="2"/>
      <scheme val="minor"/>
    </font>
    <font>
      <sz val="24"/>
      <color theme="1"/>
      <name val="Calibri"/>
      <family val="2"/>
      <scheme val="minor"/>
    </font>
    <font>
      <b/>
      <u/>
      <sz val="11"/>
      <color theme="1"/>
      <name val="Calibri"/>
      <family val="2"/>
      <scheme val="minor"/>
    </font>
    <font>
      <sz val="22"/>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11"/>
      <color rgb="FFFFFF00"/>
      <name val="Calibri"/>
      <family val="2"/>
      <scheme val="minor"/>
    </font>
    <font>
      <sz val="11"/>
      <color theme="6" tint="0.59999389629810485"/>
      <name val="Calibri"/>
      <family val="2"/>
      <scheme val="minor"/>
    </font>
    <font>
      <b/>
      <i/>
      <sz val="11"/>
      <color theme="1"/>
      <name val="Calibri"/>
      <family val="2"/>
      <scheme val="minor"/>
    </font>
    <font>
      <b/>
      <i/>
      <sz val="11"/>
      <color rgb="FFFFFF00"/>
      <name val="Calibri"/>
      <family val="2"/>
      <scheme val="minor"/>
    </font>
    <font>
      <sz val="48"/>
      <color theme="1"/>
      <name val="Calibri"/>
      <family val="2"/>
      <scheme val="minor"/>
    </font>
    <font>
      <i/>
      <sz val="10"/>
      <color theme="1"/>
      <name val="Calibri"/>
      <family val="2"/>
      <scheme val="minor"/>
    </font>
    <font>
      <sz val="11"/>
      <color theme="0"/>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i/>
      <sz val="11"/>
      <color theme="1"/>
      <name val="Calibri"/>
      <family val="2"/>
      <scheme val="minor"/>
    </font>
    <font>
      <sz val="11"/>
      <color theme="9" tint="-0.249977111117893"/>
      <name val="Calibri"/>
      <family val="2"/>
      <scheme val="minor"/>
    </font>
    <font>
      <sz val="11"/>
      <color theme="7" tint="-0.249977111117893"/>
      <name val="Calibri"/>
      <family val="2"/>
      <scheme val="minor"/>
    </font>
    <font>
      <sz val="11"/>
      <name val="Calibri"/>
      <family val="2"/>
      <scheme val="minor"/>
    </font>
    <font>
      <sz val="11"/>
      <color theme="0" tint="-4.9989318521683403E-2"/>
      <name val="Calibri"/>
      <family val="2"/>
      <scheme val="minor"/>
    </font>
    <font>
      <b/>
      <sz val="22"/>
      <color theme="1"/>
      <name val="Calibri"/>
      <family val="2"/>
      <scheme val="minor"/>
    </font>
    <font>
      <u/>
      <sz val="16"/>
      <color theme="10"/>
      <name val="Calibri"/>
      <family val="2"/>
      <scheme val="minor"/>
    </font>
    <font>
      <sz val="9"/>
      <color theme="1"/>
      <name val="Calibri"/>
      <family val="2"/>
      <scheme val="minor"/>
    </font>
    <font>
      <sz val="12"/>
      <color theme="1"/>
      <name val="Calibri"/>
      <family val="2"/>
      <scheme val="minor"/>
    </font>
    <font>
      <u/>
      <sz val="11"/>
      <color theme="1"/>
      <name val="Calibri"/>
      <family val="2"/>
      <scheme val="minor"/>
    </font>
    <font>
      <b/>
      <sz val="26"/>
      <color theme="1"/>
      <name val="Calibri"/>
      <family val="2"/>
      <scheme val="minor"/>
    </font>
  </fonts>
  <fills count="40">
    <fill>
      <patternFill patternType="none"/>
    </fill>
    <fill>
      <patternFill patternType="gray125"/>
    </fill>
    <fill>
      <patternFill patternType="solid">
        <fgColor theme="6"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72F278"/>
        <bgColor indexed="64"/>
      </patternFill>
    </fill>
    <fill>
      <patternFill patternType="solid">
        <fgColor rgb="FFDF41CC"/>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B8FAC0"/>
        <bgColor indexed="64"/>
      </patternFill>
    </fill>
    <fill>
      <patternFill patternType="solid">
        <fgColor theme="2" tint="-0.499984740745262"/>
        <bgColor indexed="64"/>
      </patternFill>
    </fill>
    <fill>
      <patternFill patternType="solid">
        <fgColor theme="6" tint="-0.499984740745262"/>
        <bgColor indexed="64"/>
      </patternFill>
    </fill>
    <fill>
      <patternFill patternType="solid">
        <fgColor theme="1"/>
        <bgColor indexed="64"/>
      </patternFill>
    </fill>
    <fill>
      <patternFill patternType="solid">
        <fgColor theme="9" tint="-0.249977111117893"/>
        <bgColor indexed="64"/>
      </patternFill>
    </fill>
    <fill>
      <patternFill patternType="solid">
        <fgColor rgb="FFF2FDB9"/>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79998168889431442"/>
        <bgColor indexed="64"/>
      </patternFill>
    </fill>
  </fills>
  <borders count="9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double">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double">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top/>
      <bottom style="double">
        <color indexed="64"/>
      </bottom>
      <diagonal/>
    </border>
    <border>
      <left style="medium">
        <color indexed="64"/>
      </left>
      <right style="medium">
        <color indexed="64"/>
      </right>
      <top/>
      <bottom style="double">
        <color indexed="64"/>
      </bottom>
      <diagonal/>
    </border>
    <border>
      <left style="thin">
        <color indexed="64"/>
      </left>
      <right/>
      <top/>
      <bottom style="medium">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medium">
        <color indexed="64"/>
      </top>
      <bottom/>
      <diagonal/>
    </border>
    <border>
      <left style="medium">
        <color indexed="64"/>
      </left>
      <right/>
      <top style="thin">
        <color indexed="64"/>
      </top>
      <bottom style="double">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double">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1269">
    <xf numFmtId="0" fontId="0" fillId="0" borderId="0" xfId="0"/>
    <xf numFmtId="0" fontId="0" fillId="0" borderId="1" xfId="0" applyBorder="1"/>
    <xf numFmtId="0" fontId="0" fillId="0" borderId="3" xfId="0" applyBorder="1"/>
    <xf numFmtId="0" fontId="0" fillId="0" borderId="4" xfId="0" applyBorder="1"/>
    <xf numFmtId="165" fontId="0" fillId="0" borderId="0" xfId="0" applyNumberFormat="1"/>
    <xf numFmtId="0" fontId="0" fillId="0" borderId="5" xfId="0" applyBorder="1"/>
    <xf numFmtId="0" fontId="0" fillId="0" borderId="6" xfId="0" applyBorder="1"/>
    <xf numFmtId="0" fontId="0" fillId="0" borderId="0" xfId="0" applyBorder="1"/>
    <xf numFmtId="0" fontId="0" fillId="0" borderId="0" xfId="0" applyFill="1"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8" xfId="0" applyBorder="1"/>
    <xf numFmtId="0" fontId="0" fillId="0" borderId="1"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0" xfId="0" applyBorder="1" applyAlignment="1"/>
    <xf numFmtId="0" fontId="0" fillId="0" borderId="0" xfId="0" applyBorder="1" applyAlignment="1">
      <alignment horizontal="center"/>
    </xf>
    <xf numFmtId="166" fontId="0" fillId="0" borderId="0" xfId="1" applyNumberFormat="1" applyFont="1" applyBorder="1" applyAlignment="1">
      <alignment horizontal="center"/>
    </xf>
    <xf numFmtId="0" fontId="0" fillId="0" borderId="0" xfId="0" applyBorder="1" applyAlignment="1">
      <alignment horizontal="left" vertical="center"/>
    </xf>
    <xf numFmtId="0" fontId="0" fillId="0" borderId="0" xfId="0" applyBorder="1" applyAlignment="1">
      <alignment horizontal="right"/>
    </xf>
    <xf numFmtId="0" fontId="0" fillId="0" borderId="24" xfId="0" applyBorder="1"/>
    <xf numFmtId="0" fontId="0" fillId="0" borderId="25" xfId="0" applyBorder="1"/>
    <xf numFmtId="0" fontId="0" fillId="0" borderId="26" xfId="0" applyBorder="1"/>
    <xf numFmtId="0" fontId="0" fillId="0" borderId="0" xfId="0" applyAlignment="1">
      <alignment horizontal="right"/>
    </xf>
    <xf numFmtId="0" fontId="0" fillId="0" borderId="0" xfId="0" applyAlignment="1">
      <alignment horizontal="left"/>
    </xf>
    <xf numFmtId="165" fontId="0" fillId="0" borderId="25" xfId="0" applyNumberFormat="1" applyBorder="1"/>
    <xf numFmtId="2" fontId="0" fillId="0" borderId="0" xfId="0" applyNumberFormat="1" applyFill="1" applyBorder="1"/>
    <xf numFmtId="167" fontId="0" fillId="0" borderId="0" xfId="0" applyNumberFormat="1" applyFill="1"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Font="1" applyBorder="1"/>
    <xf numFmtId="0" fontId="0" fillId="0" borderId="0" xfId="0" applyAlignment="1"/>
    <xf numFmtId="0" fontId="0" fillId="0" borderId="14" xfId="0" applyFont="1" applyBorder="1" applyAlignment="1">
      <alignment horizontal="right"/>
    </xf>
    <xf numFmtId="0" fontId="0" fillId="7" borderId="14" xfId="0" applyFill="1" applyBorder="1"/>
    <xf numFmtId="0" fontId="0" fillId="8" borderId="1" xfId="0" applyFill="1" applyBorder="1" applyAlignment="1">
      <alignment horizontal="left" vertical="center"/>
    </xf>
    <xf numFmtId="0" fontId="0" fillId="8" borderId="9" xfId="0" applyFill="1" applyBorder="1" applyAlignment="1">
      <alignment horizontal="left" vertical="center"/>
    </xf>
    <xf numFmtId="0" fontId="0" fillId="8" borderId="2" xfId="0" applyFill="1" applyBorder="1" applyAlignment="1">
      <alignment horizontal="left" vertical="center"/>
    </xf>
    <xf numFmtId="0" fontId="0" fillId="5" borderId="13" xfId="0" applyFill="1" applyBorder="1" applyAlignment="1"/>
    <xf numFmtId="0" fontId="0" fillId="3" borderId="8" xfId="0" applyFill="1" applyBorder="1" applyAlignment="1"/>
    <xf numFmtId="0" fontId="0" fillId="3" borderId="0" xfId="0" applyFill="1" applyBorder="1" applyAlignment="1"/>
    <xf numFmtId="0" fontId="0" fillId="2" borderId="5" xfId="0" applyFill="1" applyBorder="1" applyAlignment="1"/>
    <xf numFmtId="0" fontId="0" fillId="7" borderId="14" xfId="0" applyFill="1" applyBorder="1" applyAlignment="1"/>
    <xf numFmtId="0" fontId="0" fillId="5" borderId="3" xfId="0" applyFill="1" applyBorder="1" applyAlignment="1"/>
    <xf numFmtId="0" fontId="0" fillId="3" borderId="7" xfId="0" applyFill="1" applyBorder="1" applyAlignment="1"/>
    <xf numFmtId="164" fontId="0" fillId="7" borderId="4" xfId="0" applyNumberFormat="1" applyFill="1" applyBorder="1" applyAlignment="1"/>
    <xf numFmtId="0" fontId="0" fillId="5" borderId="5" xfId="0" applyFill="1" applyBorder="1" applyAlignment="1"/>
    <xf numFmtId="166" fontId="0" fillId="5" borderId="21" xfId="1" applyNumberFormat="1" applyFont="1" applyFill="1" applyBorder="1" applyAlignment="1"/>
    <xf numFmtId="164" fontId="0" fillId="7" borderId="6" xfId="0" applyNumberFormat="1" applyFill="1" applyBorder="1" applyAlignment="1"/>
    <xf numFmtId="166" fontId="0" fillId="5" borderId="27" xfId="1" applyNumberFormat="1" applyFont="1" applyFill="1" applyBorder="1" applyAlignment="1"/>
    <xf numFmtId="0" fontId="0" fillId="5" borderId="18" xfId="0" applyFill="1" applyBorder="1" applyAlignment="1"/>
    <xf numFmtId="166" fontId="0" fillId="5" borderId="18" xfId="1" applyNumberFormat="1" applyFont="1" applyFill="1" applyBorder="1" applyAlignment="1"/>
    <xf numFmtId="9" fontId="1" fillId="0" borderId="0" xfId="1" applyNumberFormat="1" applyFont="1" applyBorder="1" applyAlignment="1"/>
    <xf numFmtId="9" fontId="0" fillId="0" borderId="0" xfId="1" applyNumberFormat="1" applyFont="1" applyBorder="1" applyAlignment="1"/>
    <xf numFmtId="0" fontId="0" fillId="4" borderId="8" xfId="0" applyFill="1" applyBorder="1" applyAlignment="1"/>
    <xf numFmtId="0" fontId="0" fillId="6" borderId="14" xfId="0" applyFill="1" applyBorder="1" applyAlignment="1"/>
    <xf numFmtId="0" fontId="0" fillId="4" borderId="7" xfId="0" applyFill="1" applyBorder="1" applyAlignment="1"/>
    <xf numFmtId="0" fontId="0" fillId="6" borderId="4" xfId="0" applyFill="1" applyBorder="1" applyAlignment="1"/>
    <xf numFmtId="0" fontId="0" fillId="4" borderId="0" xfId="0" applyFill="1" applyBorder="1" applyAlignment="1"/>
    <xf numFmtId="0" fontId="0" fillId="6" borderId="6" xfId="0" applyFill="1" applyBorder="1" applyAlignment="1"/>
    <xf numFmtId="0" fontId="3" fillId="8" borderId="1" xfId="0" applyFont="1" applyFill="1" applyBorder="1" applyAlignment="1">
      <alignment horizontal="left" vertical="center"/>
    </xf>
    <xf numFmtId="0" fontId="3" fillId="8" borderId="9" xfId="0" applyFont="1" applyFill="1" applyBorder="1" applyAlignment="1">
      <alignment horizontal="left" vertical="center"/>
    </xf>
    <xf numFmtId="0" fontId="3" fillId="8" borderId="2" xfId="0" applyFont="1" applyFill="1" applyBorder="1" applyAlignment="1">
      <alignment horizontal="left" vertical="center"/>
    </xf>
    <xf numFmtId="9" fontId="0" fillId="5" borderId="13" xfId="1" applyNumberFormat="1" applyFont="1" applyFill="1" applyBorder="1" applyAlignment="1"/>
    <xf numFmtId="9" fontId="0" fillId="4" borderId="8" xfId="1" applyNumberFormat="1" applyFont="1" applyFill="1" applyBorder="1" applyAlignment="1"/>
    <xf numFmtId="9" fontId="0" fillId="3" borderId="8" xfId="1" applyNumberFormat="1" applyFont="1" applyFill="1" applyBorder="1" applyAlignment="1"/>
    <xf numFmtId="9" fontId="0" fillId="6" borderId="14" xfId="1" applyNumberFormat="1" applyFont="1" applyFill="1" applyBorder="1" applyAlignment="1"/>
    <xf numFmtId="9" fontId="0" fillId="5" borderId="3" xfId="1" applyNumberFormat="1" applyFont="1" applyFill="1" applyBorder="1" applyAlignment="1"/>
    <xf numFmtId="9" fontId="0" fillId="4" borderId="7" xfId="1" applyNumberFormat="1" applyFont="1" applyFill="1" applyBorder="1" applyAlignment="1"/>
    <xf numFmtId="9" fontId="0" fillId="3" borderId="7" xfId="1" applyNumberFormat="1" applyFont="1" applyFill="1" applyBorder="1" applyAlignment="1"/>
    <xf numFmtId="9" fontId="0" fillId="5" borderId="5" xfId="1" applyNumberFormat="1" applyFont="1" applyFill="1" applyBorder="1" applyAlignment="1"/>
    <xf numFmtId="9" fontId="0" fillId="4" borderId="0" xfId="1" applyNumberFormat="1" applyFont="1" applyFill="1" applyBorder="1" applyAlignment="1"/>
    <xf numFmtId="9" fontId="0" fillId="3" borderId="0" xfId="1" applyNumberFormat="1" applyFont="1" applyFill="1" applyBorder="1" applyAlignment="1"/>
    <xf numFmtId="0" fontId="0" fillId="7" borderId="4" xfId="0" applyFill="1" applyBorder="1"/>
    <xf numFmtId="0" fontId="0" fillId="7" borderId="6" xfId="0" applyFill="1" applyBorder="1"/>
    <xf numFmtId="0" fontId="0" fillId="5" borderId="8" xfId="0" applyFill="1" applyBorder="1" applyAlignment="1"/>
    <xf numFmtId="0" fontId="0" fillId="3" borderId="14" xfId="0" applyFill="1" applyBorder="1" applyAlignment="1"/>
    <xf numFmtId="166" fontId="0" fillId="3" borderId="7" xfId="1" applyNumberFormat="1" applyFont="1" applyFill="1" applyBorder="1" applyAlignment="1"/>
    <xf numFmtId="166" fontId="0" fillId="3" borderId="0" xfId="1" applyNumberFormat="1" applyFont="1" applyFill="1" applyBorder="1" applyAlignment="1"/>
    <xf numFmtId="166" fontId="0" fillId="3" borderId="23" xfId="1" applyNumberFormat="1" applyFont="1" applyFill="1" applyBorder="1" applyAlignment="1"/>
    <xf numFmtId="0" fontId="0" fillId="2" borderId="15" xfId="0" applyFill="1" applyBorder="1" applyAlignment="1"/>
    <xf numFmtId="0" fontId="0" fillId="2" borderId="16" xfId="0" applyFill="1" applyBorder="1" applyAlignment="1"/>
    <xf numFmtId="0" fontId="0" fillId="2" borderId="17" xfId="0" applyFill="1" applyBorder="1" applyAlignment="1"/>
    <xf numFmtId="9" fontId="0" fillId="0" borderId="28" xfId="0" applyNumberFormat="1" applyBorder="1"/>
    <xf numFmtId="168" fontId="0" fillId="0" borderId="28" xfId="0" applyNumberFormat="1" applyBorder="1"/>
    <xf numFmtId="0" fontId="0" fillId="0" borderId="0" xfId="0" applyAlignment="1">
      <alignment horizontal="center"/>
    </xf>
    <xf numFmtId="10" fontId="0" fillId="5" borderId="10" xfId="1" applyNumberFormat="1" applyFont="1" applyFill="1" applyBorder="1" applyAlignment="1"/>
    <xf numFmtId="10" fontId="0" fillId="4" borderId="12" xfId="1" applyNumberFormat="1" applyFont="1" applyFill="1" applyBorder="1" applyAlignment="1"/>
    <xf numFmtId="10" fontId="0" fillId="0" borderId="27" xfId="0" applyNumberFormat="1" applyBorder="1"/>
    <xf numFmtId="10" fontId="0" fillId="3" borderId="18" xfId="1" applyNumberFormat="1" applyFont="1" applyFill="1" applyBorder="1" applyAlignment="1"/>
    <xf numFmtId="10" fontId="0" fillId="6" borderId="19" xfId="1" applyNumberFormat="1" applyFont="1" applyFill="1" applyBorder="1" applyAlignment="1"/>
    <xf numFmtId="10" fontId="0" fillId="0" borderId="0" xfId="0" applyNumberFormat="1"/>
    <xf numFmtId="10" fontId="0" fillId="0" borderId="0" xfId="0" applyNumberFormat="1" applyAlignment="1"/>
    <xf numFmtId="10" fontId="0" fillId="0" borderId="28" xfId="0" applyNumberFormat="1" applyBorder="1"/>
    <xf numFmtId="1" fontId="0" fillId="0" borderId="0" xfId="0" applyNumberFormat="1" applyAlignment="1">
      <alignment horizontal="center"/>
    </xf>
    <xf numFmtId="0" fontId="0" fillId="0" borderId="30" xfId="0" applyBorder="1"/>
    <xf numFmtId="0" fontId="0" fillId="0" borderId="31" xfId="0" applyBorder="1"/>
    <xf numFmtId="0" fontId="0" fillId="10" borderId="0" xfId="0" applyFill="1"/>
    <xf numFmtId="0" fontId="0" fillId="11" borderId="0" xfId="0" applyFill="1"/>
    <xf numFmtId="0" fontId="0" fillId="9" borderId="10" xfId="0" applyFill="1" applyBorder="1"/>
    <xf numFmtId="0" fontId="0" fillId="9" borderId="21" xfId="0" applyFill="1" applyBorder="1"/>
    <xf numFmtId="0" fontId="0" fillId="0" borderId="22" xfId="0" applyBorder="1"/>
    <xf numFmtId="0" fontId="0" fillId="9" borderId="18" xfId="0" applyFill="1" applyBorder="1"/>
    <xf numFmtId="0" fontId="0" fillId="0" borderId="19" xfId="0" applyBorder="1"/>
    <xf numFmtId="0" fontId="0" fillId="11" borderId="10" xfId="0" applyFill="1" applyBorder="1"/>
    <xf numFmtId="0" fontId="0" fillId="11" borderId="21" xfId="0" applyFill="1" applyBorder="1"/>
    <xf numFmtId="0" fontId="0" fillId="11" borderId="18" xfId="0" applyFill="1" applyBorder="1"/>
    <xf numFmtId="0" fontId="0" fillId="0" borderId="28" xfId="0" applyBorder="1"/>
    <xf numFmtId="0" fontId="0" fillId="0" borderId="32" xfId="0" applyBorder="1"/>
    <xf numFmtId="0" fontId="0" fillId="0" borderId="33" xfId="0" applyBorder="1"/>
    <xf numFmtId="0" fontId="0" fillId="0" borderId="33" xfId="0" applyFill="1" applyBorder="1"/>
    <xf numFmtId="0" fontId="0" fillId="0" borderId="0" xfId="0" applyFill="1"/>
    <xf numFmtId="0" fontId="0" fillId="2" borderId="34" xfId="0" applyFill="1" applyBorder="1" applyAlignment="1"/>
    <xf numFmtId="0" fontId="0" fillId="2" borderId="37" xfId="0" applyFill="1" applyBorder="1" applyAlignment="1"/>
    <xf numFmtId="164" fontId="0" fillId="7" borderId="35" xfId="0" applyNumberFormat="1" applyFill="1" applyBorder="1" applyAlignment="1"/>
    <xf numFmtId="0" fontId="0" fillId="0" borderId="21" xfId="0" applyBorder="1"/>
    <xf numFmtId="0" fontId="0" fillId="0" borderId="8" xfId="0" applyFont="1" applyBorder="1" applyAlignment="1">
      <alignment horizontal="right"/>
    </xf>
    <xf numFmtId="10" fontId="0" fillId="0" borderId="29" xfId="0" applyNumberFormat="1" applyFill="1" applyBorder="1" applyAlignment="1"/>
    <xf numFmtId="10" fontId="0" fillId="12" borderId="0" xfId="0" applyNumberFormat="1" applyFill="1" applyAlignment="1"/>
    <xf numFmtId="0" fontId="0" fillId="0" borderId="21" xfId="0" applyBorder="1" applyAlignment="1">
      <alignment horizontal="right"/>
    </xf>
    <xf numFmtId="0" fontId="0" fillId="0" borderId="18" xfId="0" applyBorder="1"/>
    <xf numFmtId="165" fontId="0" fillId="0" borderId="0" xfId="0" applyNumberFormat="1" applyBorder="1"/>
    <xf numFmtId="165" fontId="0" fillId="0" borderId="2" xfId="0" applyNumberFormat="1" applyBorder="1"/>
    <xf numFmtId="165" fontId="0" fillId="0" borderId="6" xfId="0" applyNumberFormat="1" applyBorder="1"/>
    <xf numFmtId="165" fontId="0" fillId="0" borderId="4" xfId="0" applyNumberFormat="1" applyBorder="1"/>
    <xf numFmtId="0" fontId="0" fillId="0" borderId="40" xfId="0" applyBorder="1"/>
    <xf numFmtId="0" fontId="0" fillId="0" borderId="16"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39" xfId="0" applyBorder="1" applyAlignment="1">
      <alignment horizontal="center"/>
    </xf>
    <xf numFmtId="0" fontId="0" fillId="0" borderId="36" xfId="0" applyBorder="1"/>
    <xf numFmtId="0" fontId="0" fillId="0" borderId="41" xfId="0" applyBorder="1"/>
    <xf numFmtId="0" fontId="0" fillId="0" borderId="35" xfId="0" applyBorder="1"/>
    <xf numFmtId="0" fontId="0" fillId="0" borderId="8" xfId="0" applyBorder="1" applyAlignment="1">
      <alignment horizontal="right"/>
    </xf>
    <xf numFmtId="0" fontId="0" fillId="0" borderId="20" xfId="0" applyBorder="1"/>
    <xf numFmtId="0" fontId="0" fillId="0" borderId="36" xfId="0" applyBorder="1" applyAlignment="1">
      <alignment horizontal="right"/>
    </xf>
    <xf numFmtId="0" fontId="0" fillId="0" borderId="37" xfId="0" applyBorder="1" applyAlignment="1">
      <alignment horizontal="center"/>
    </xf>
    <xf numFmtId="165" fontId="0" fillId="0" borderId="20" xfId="0" applyNumberFormat="1" applyBorder="1"/>
    <xf numFmtId="165" fontId="0" fillId="0" borderId="8" xfId="0" applyNumberFormat="1" applyBorder="1"/>
    <xf numFmtId="0" fontId="0" fillId="0" borderId="8" xfId="0" applyBorder="1" applyAlignment="1">
      <alignment horizontal="left"/>
    </xf>
    <xf numFmtId="0" fontId="5" fillId="0" borderId="0" xfId="0" applyFont="1"/>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xf>
    <xf numFmtId="10" fontId="0" fillId="0" borderId="0" xfId="1" applyNumberFormat="1" applyFont="1" applyFill="1" applyBorder="1" applyAlignment="1"/>
    <xf numFmtId="10" fontId="0" fillId="0" borderId="0" xfId="0" applyNumberFormat="1" applyFill="1" applyBorder="1"/>
    <xf numFmtId="166" fontId="0" fillId="0" borderId="0" xfId="0" applyNumberFormat="1" applyFill="1" applyBorder="1"/>
    <xf numFmtId="10" fontId="0" fillId="0" borderId="0" xfId="0" applyNumberFormat="1" applyFill="1" applyBorder="1" applyAlignment="1"/>
    <xf numFmtId="9" fontId="0" fillId="0" borderId="0" xfId="0" applyNumberFormat="1" applyBorder="1"/>
    <xf numFmtId="168" fontId="0" fillId="0" borderId="9" xfId="0" applyNumberFormat="1" applyBorder="1"/>
    <xf numFmtId="0" fontId="0" fillId="0" borderId="9" xfId="0" applyBorder="1"/>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169" fontId="0" fillId="7" borderId="4" xfId="0" applyNumberFormat="1" applyFill="1" applyBorder="1" applyAlignment="1"/>
    <xf numFmtId="169" fontId="0" fillId="7" borderId="6" xfId="0" applyNumberFormat="1" applyFill="1" applyBorder="1" applyAlignment="1"/>
    <xf numFmtId="169" fontId="0" fillId="7" borderId="35" xfId="0" applyNumberFormat="1" applyFill="1" applyBorder="1" applyAlignment="1"/>
    <xf numFmtId="169" fontId="0" fillId="7" borderId="14" xfId="0" applyNumberFormat="1" applyFill="1" applyBorder="1" applyAlignment="1"/>
    <xf numFmtId="169" fontId="0" fillId="7" borderId="17" xfId="0" applyNumberFormat="1" applyFill="1" applyBorder="1" applyAlignment="1"/>
    <xf numFmtId="168" fontId="0" fillId="3" borderId="0" xfId="0" applyNumberFormat="1" applyFill="1" applyBorder="1" applyAlignment="1"/>
    <xf numFmtId="2" fontId="0" fillId="0" borderId="0" xfId="0" applyNumberFormat="1" applyBorder="1"/>
    <xf numFmtId="164" fontId="0" fillId="3" borderId="0" xfId="0" applyNumberFormat="1" applyFill="1" applyBorder="1" applyAlignment="1"/>
    <xf numFmtId="169" fontId="0" fillId="0" borderId="0" xfId="0" applyNumberFormat="1"/>
    <xf numFmtId="164" fontId="0" fillId="3" borderId="23" xfId="0" applyNumberFormat="1" applyFill="1" applyBorder="1" applyAlignment="1"/>
    <xf numFmtId="0" fontId="0" fillId="0" borderId="10" xfId="0" applyBorder="1" applyAlignment="1">
      <alignment horizontal="center"/>
    </xf>
    <xf numFmtId="0" fontId="0" fillId="0" borderId="12" xfId="0" applyBorder="1" applyAlignment="1">
      <alignment horizontal="center"/>
    </xf>
    <xf numFmtId="0" fontId="0" fillId="0" borderId="23" xfId="0" applyBorder="1"/>
    <xf numFmtId="9" fontId="0" fillId="0" borderId="18" xfId="0" applyNumberFormat="1" applyBorder="1"/>
    <xf numFmtId="9" fontId="0" fillId="0" borderId="19" xfId="0" applyNumberFormat="1" applyBorder="1"/>
    <xf numFmtId="168" fontId="0" fillId="0" borderId="0" xfId="0" applyNumberFormat="1"/>
    <xf numFmtId="0" fontId="0" fillId="0" borderId="0" xfId="0" quotePrefix="1" applyFill="1" applyBorder="1"/>
    <xf numFmtId="170" fontId="0" fillId="0" borderId="0" xfId="1" applyNumberFormat="1" applyFont="1"/>
    <xf numFmtId="0" fontId="0" fillId="5" borderId="13"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0" fontId="0" fillId="3" borderId="14" xfId="0" applyFill="1" applyBorder="1" applyAlignment="1">
      <alignment horizontal="center"/>
    </xf>
    <xf numFmtId="0" fontId="0" fillId="4" borderId="8" xfId="0" applyFill="1" applyBorder="1" applyAlignment="1">
      <alignment horizontal="center"/>
    </xf>
    <xf numFmtId="0" fontId="0" fillId="6" borderId="14" xfId="0" applyFill="1" applyBorder="1" applyAlignment="1">
      <alignment horizontal="center"/>
    </xf>
    <xf numFmtId="0" fontId="0" fillId="0" borderId="12" xfId="0" applyBorder="1" applyAlignment="1">
      <alignment horizontal="left"/>
    </xf>
    <xf numFmtId="0" fontId="0" fillId="0" borderId="19" xfId="0" applyBorder="1" applyAlignment="1">
      <alignment horizontal="left"/>
    </xf>
    <xf numFmtId="0" fontId="0" fillId="0" borderId="21" xfId="0" applyBorder="1" applyAlignment="1">
      <alignment horizontal="center"/>
    </xf>
    <xf numFmtId="0" fontId="0" fillId="0" borderId="22" xfId="0" applyBorder="1" applyAlignment="1">
      <alignment horizontal="center"/>
    </xf>
    <xf numFmtId="164" fontId="0" fillId="0" borderId="0" xfId="0" applyNumberFormat="1" applyBorder="1"/>
    <xf numFmtId="0" fontId="6" fillId="0" borderId="0" xfId="0" applyFont="1" applyBorder="1" applyAlignment="1">
      <alignment horizontal="center" vertical="center"/>
    </xf>
    <xf numFmtId="0" fontId="7" fillId="0" borderId="0" xfId="0" applyFont="1" applyBorder="1"/>
    <xf numFmtId="0" fontId="7" fillId="0" borderId="0" xfId="0" applyFont="1"/>
    <xf numFmtId="0" fontId="8" fillId="0" borderId="0" xfId="0" applyFont="1"/>
    <xf numFmtId="166" fontId="0" fillId="0" borderId="0" xfId="0" applyNumberFormat="1" applyBorder="1"/>
    <xf numFmtId="2" fontId="0" fillId="0" borderId="0" xfId="0" applyNumberFormat="1" applyAlignment="1"/>
    <xf numFmtId="0" fontId="0" fillId="0" borderId="0" xfId="0" applyBorder="1" applyAlignment="1">
      <alignment horizontal="left"/>
    </xf>
    <xf numFmtId="0" fontId="4" fillId="0" borderId="0" xfId="2" applyBorder="1"/>
    <xf numFmtId="0" fontId="0" fillId="13" borderId="14" xfId="0" applyFill="1" applyBorder="1" applyAlignment="1">
      <alignment horizontal="center"/>
    </xf>
    <xf numFmtId="0" fontId="0" fillId="14" borderId="14" xfId="0" applyFill="1" applyBorder="1" applyAlignment="1">
      <alignment horizontal="center"/>
    </xf>
    <xf numFmtId="0" fontId="3" fillId="0" borderId="0" xfId="0" applyFont="1" applyFill="1" applyBorder="1" applyAlignment="1">
      <alignment horizontal="left" vertical="center"/>
    </xf>
    <xf numFmtId="164" fontId="0" fillId="0" borderId="0" xfId="0" applyNumberFormat="1" applyFill="1" applyBorder="1" applyAlignment="1"/>
    <xf numFmtId="0" fontId="0" fillId="0" borderId="22" xfId="0" applyBorder="1" applyAlignment="1"/>
    <xf numFmtId="0" fontId="0" fillId="5" borderId="44" xfId="0" applyFill="1" applyBorder="1" applyAlignment="1">
      <alignment horizontal="center"/>
    </xf>
    <xf numFmtId="0" fontId="0" fillId="3" borderId="45" xfId="0" applyFill="1" applyBorder="1" applyAlignment="1">
      <alignment horizontal="center"/>
    </xf>
    <xf numFmtId="0" fontId="0" fillId="3" borderId="46" xfId="0" applyFill="1" applyBorder="1" applyAlignment="1">
      <alignment horizontal="center"/>
    </xf>
    <xf numFmtId="0" fontId="3" fillId="8" borderId="10" xfId="0" applyFont="1" applyFill="1" applyBorder="1" applyAlignment="1">
      <alignment horizontal="left" vertical="center"/>
    </xf>
    <xf numFmtId="0" fontId="3" fillId="8" borderId="11" xfId="0" applyFont="1" applyFill="1" applyBorder="1" applyAlignment="1">
      <alignment horizontal="left" vertical="center"/>
    </xf>
    <xf numFmtId="0" fontId="3" fillId="8" borderId="12" xfId="0" applyFont="1" applyFill="1" applyBorder="1" applyAlignment="1">
      <alignment horizontal="left" vertical="center"/>
    </xf>
    <xf numFmtId="0" fontId="0" fillId="5" borderId="48" xfId="0" applyFill="1" applyBorder="1" applyAlignment="1">
      <alignment horizontal="center"/>
    </xf>
    <xf numFmtId="0" fontId="0" fillId="7" borderId="41" xfId="0" applyFill="1" applyBorder="1" applyAlignment="1"/>
    <xf numFmtId="164" fontId="0" fillId="7" borderId="39" xfId="0" applyNumberFormat="1" applyFill="1" applyBorder="1" applyAlignment="1"/>
    <xf numFmtId="0" fontId="0" fillId="5" borderId="21" xfId="0" applyFill="1" applyBorder="1" applyAlignment="1"/>
    <xf numFmtId="164" fontId="0" fillId="7" borderId="22" xfId="0" applyNumberFormat="1" applyFill="1" applyBorder="1" applyAlignment="1"/>
    <xf numFmtId="2" fontId="0" fillId="0" borderId="0" xfId="0" applyNumberFormat="1" applyBorder="1" applyAlignment="1"/>
    <xf numFmtId="166" fontId="0" fillId="6" borderId="7" xfId="1" applyNumberFormat="1" applyFont="1" applyFill="1" applyBorder="1" applyAlignment="1">
      <alignment horizontal="center"/>
    </xf>
    <xf numFmtId="166" fontId="0" fillId="3" borderId="7" xfId="1" applyNumberFormat="1" applyFont="1" applyFill="1" applyBorder="1" applyAlignment="1">
      <alignment horizontal="center"/>
    </xf>
    <xf numFmtId="166" fontId="0" fillId="4" borderId="7" xfId="1" applyNumberFormat="1" applyFont="1" applyFill="1" applyBorder="1" applyAlignment="1">
      <alignment horizontal="center"/>
    </xf>
    <xf numFmtId="166" fontId="0" fillId="5" borderId="7" xfId="1" applyNumberFormat="1" applyFont="1" applyFill="1" applyBorder="1" applyAlignment="1">
      <alignment horizontal="center"/>
    </xf>
    <xf numFmtId="2" fontId="0" fillId="6" borderId="4" xfId="0" applyNumberFormat="1" applyFill="1" applyBorder="1" applyAlignment="1">
      <alignment horizontal="center"/>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5" borderId="3" xfId="0" applyNumberFormat="1" applyFill="1" applyBorder="1" applyAlignment="1">
      <alignment horizontal="center"/>
    </xf>
    <xf numFmtId="2" fontId="0" fillId="3" borderId="0" xfId="1" applyNumberFormat="1" applyFont="1" applyFill="1" applyBorder="1" applyAlignment="1">
      <alignment horizontal="center"/>
    </xf>
    <xf numFmtId="2" fontId="0" fillId="4" borderId="0" xfId="1" applyNumberFormat="1" applyFont="1" applyFill="1" applyBorder="1" applyAlignment="1">
      <alignment horizontal="center"/>
    </xf>
    <xf numFmtId="166" fontId="0" fillId="6" borderId="8" xfId="1" applyNumberFormat="1" applyFont="1" applyFill="1" applyBorder="1" applyAlignment="1">
      <alignment horizontal="center"/>
    </xf>
    <xf numFmtId="166" fontId="0" fillId="3" borderId="8" xfId="1" applyNumberFormat="1" applyFont="1" applyFill="1" applyBorder="1" applyAlignment="1">
      <alignment horizontal="center"/>
    </xf>
    <xf numFmtId="166" fontId="0" fillId="4" borderId="8" xfId="1" applyNumberFormat="1" applyFont="1" applyFill="1" applyBorder="1" applyAlignment="1">
      <alignment horizontal="center"/>
    </xf>
    <xf numFmtId="166" fontId="0" fillId="5" borderId="8" xfId="1" applyNumberFormat="1" applyFont="1" applyFill="1" applyBorder="1" applyAlignment="1">
      <alignment horizontal="center"/>
    </xf>
    <xf numFmtId="2" fontId="0" fillId="6" borderId="14" xfId="0" applyNumberFormat="1" applyFill="1" applyBorder="1" applyAlignment="1">
      <alignment horizontal="center"/>
    </xf>
    <xf numFmtId="2" fontId="0" fillId="3" borderId="8" xfId="0" applyNumberFormat="1" applyFill="1" applyBorder="1" applyAlignment="1">
      <alignment horizontal="center"/>
    </xf>
    <xf numFmtId="2" fontId="0" fillId="4" borderId="8" xfId="0" applyNumberFormat="1" applyFill="1" applyBorder="1" applyAlignment="1">
      <alignment horizontal="center"/>
    </xf>
    <xf numFmtId="2" fontId="0" fillId="5" borderId="13" xfId="0" applyNumberFormat="1" applyFill="1" applyBorder="1" applyAlignment="1">
      <alignment horizontal="center"/>
    </xf>
    <xf numFmtId="166" fontId="0" fillId="6" borderId="0" xfId="1" applyNumberFormat="1" applyFont="1" applyFill="1" applyBorder="1" applyAlignment="1">
      <alignment horizontal="center"/>
    </xf>
    <xf numFmtId="166" fontId="0" fillId="3" borderId="0" xfId="1" applyNumberFormat="1" applyFont="1" applyFill="1" applyBorder="1" applyAlignment="1">
      <alignment horizontal="center"/>
    </xf>
    <xf numFmtId="166" fontId="0" fillId="4" borderId="0" xfId="1" applyNumberFormat="1" applyFont="1" applyFill="1" applyBorder="1" applyAlignment="1">
      <alignment horizontal="center"/>
    </xf>
    <xf numFmtId="166" fontId="0" fillId="5" borderId="0" xfId="1" applyNumberFormat="1" applyFont="1" applyFill="1" applyBorder="1" applyAlignment="1">
      <alignment horizontal="center"/>
    </xf>
    <xf numFmtId="2" fontId="0" fillId="6" borderId="6" xfId="0" applyNumberFormat="1" applyFill="1" applyBorder="1" applyAlignment="1">
      <alignment horizontal="center"/>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3" borderId="7" xfId="1" applyNumberFormat="1" applyFont="1" applyFill="1" applyBorder="1" applyAlignment="1">
      <alignment horizontal="center"/>
    </xf>
    <xf numFmtId="2" fontId="0" fillId="4" borderId="7" xfId="1" applyNumberFormat="1" applyFont="1" applyFill="1" applyBorder="1" applyAlignment="1">
      <alignment horizontal="center"/>
    </xf>
    <xf numFmtId="0" fontId="0" fillId="6" borderId="8" xfId="0" applyFill="1" applyBorder="1" applyAlignment="1">
      <alignment horizontal="center"/>
    </xf>
    <xf numFmtId="0" fontId="0" fillId="0" borderId="2" xfId="0" applyBorder="1"/>
    <xf numFmtId="0" fontId="0" fillId="0" borderId="8" xfId="0" applyBorder="1" applyAlignment="1"/>
    <xf numFmtId="0" fontId="0" fillId="0" borderId="6" xfId="0" applyBorder="1" applyAlignment="1"/>
    <xf numFmtId="0" fontId="3" fillId="8" borderId="2" xfId="0" applyFont="1" applyFill="1" applyBorder="1" applyAlignment="1">
      <alignment horizontal="center" vertical="center"/>
    </xf>
    <xf numFmtId="0" fontId="12" fillId="0" borderId="0" xfId="0" applyFont="1"/>
    <xf numFmtId="0" fontId="0" fillId="0" borderId="29" xfId="0" applyBorder="1" applyAlignment="1"/>
    <xf numFmtId="0" fontId="7" fillId="0" borderId="0" xfId="0" applyFont="1" applyFill="1" applyBorder="1"/>
    <xf numFmtId="0" fontId="0" fillId="2" borderId="28" xfId="0" applyFill="1" applyBorder="1" applyAlignment="1"/>
    <xf numFmtId="0" fontId="0" fillId="0" borderId="7" xfId="0" applyBorder="1"/>
    <xf numFmtId="164" fontId="0" fillId="2" borderId="17" xfId="0" applyNumberFormat="1" applyFill="1" applyBorder="1" applyAlignment="1"/>
    <xf numFmtId="0" fontId="0" fillId="5" borderId="36" xfId="0" applyFill="1" applyBorder="1" applyAlignment="1">
      <alignment horizontal="center"/>
    </xf>
    <xf numFmtId="0" fontId="0" fillId="3" borderId="41" xfId="0" applyFill="1" applyBorder="1" applyAlignment="1">
      <alignment horizontal="center"/>
    </xf>
    <xf numFmtId="0" fontId="0" fillId="0" borderId="12" xfId="0" applyBorder="1" applyAlignment="1"/>
    <xf numFmtId="0" fontId="0" fillId="0" borderId="19" xfId="0" applyBorder="1" applyAlignment="1"/>
    <xf numFmtId="0" fontId="0" fillId="0" borderId="11" xfId="0" applyBorder="1" applyAlignment="1"/>
    <xf numFmtId="0" fontId="0" fillId="0" borderId="23" xfId="0" applyBorder="1" applyAlignment="1"/>
    <xf numFmtId="164" fontId="0" fillId="0" borderId="0" xfId="0" applyNumberFormat="1" applyBorder="1" applyAlignment="1">
      <alignment horizontal="center"/>
    </xf>
    <xf numFmtId="1" fontId="0" fillId="0" borderId="0" xfId="0" applyNumberFormat="1" applyBorder="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7" xfId="0" applyBorder="1" applyAlignment="1"/>
    <xf numFmtId="2" fontId="0" fillId="0" borderId="7" xfId="1" applyNumberFormat="1" applyFont="1" applyBorder="1" applyAlignment="1"/>
    <xf numFmtId="0" fontId="0" fillId="0" borderId="2" xfId="0" applyBorder="1" applyAlignment="1"/>
    <xf numFmtId="0" fontId="0" fillId="0" borderId="4" xfId="0" applyBorder="1" applyAlignment="1"/>
    <xf numFmtId="165" fontId="0" fillId="2" borderId="17" xfId="0" applyNumberFormat="1" applyFill="1" applyBorder="1" applyAlignment="1"/>
    <xf numFmtId="165" fontId="0" fillId="2" borderId="15" xfId="0" applyNumberFormat="1" applyFill="1" applyBorder="1" applyAlignment="1"/>
    <xf numFmtId="165" fontId="0" fillId="2" borderId="28" xfId="0" applyNumberFormat="1" applyFill="1" applyBorder="1" applyAlignment="1"/>
    <xf numFmtId="0" fontId="0" fillId="0" borderId="9" xfId="0" applyBorder="1" applyAlignment="1"/>
    <xf numFmtId="0" fontId="0" fillId="0" borderId="7" xfId="0" applyFill="1" applyBorder="1" applyAlignment="1"/>
    <xf numFmtId="0" fontId="4" fillId="0" borderId="7" xfId="2" applyBorder="1"/>
    <xf numFmtId="0" fontId="0" fillId="0" borderId="7" xfId="0" applyFill="1" applyBorder="1"/>
    <xf numFmtId="0" fontId="0" fillId="0" borderId="9" xfId="0" applyBorder="1" applyAlignment="1">
      <alignment horizontal="center"/>
    </xf>
    <xf numFmtId="164" fontId="0" fillId="0" borderId="7" xfId="0" applyNumberFormat="1" applyBorder="1" applyAlignment="1">
      <alignment horizontal="center"/>
    </xf>
    <xf numFmtId="0" fontId="0" fillId="0" borderId="0" xfId="0" applyAlignment="1">
      <alignment horizontal="center" vertical="center"/>
    </xf>
    <xf numFmtId="0" fontId="0" fillId="0" borderId="9" xfId="0" applyBorder="1" applyAlignment="1">
      <alignment horizontal="left"/>
    </xf>
    <xf numFmtId="0" fontId="0" fillId="0" borderId="7" xfId="0" applyBorder="1" applyAlignment="1">
      <alignment horizontal="left"/>
    </xf>
    <xf numFmtId="0" fontId="0" fillId="0" borderId="11" xfId="0" applyFill="1" applyBorder="1" applyAlignment="1"/>
    <xf numFmtId="0" fontId="0" fillId="0" borderId="11" xfId="0" applyBorder="1" applyAlignment="1">
      <alignment horizontal="center"/>
    </xf>
    <xf numFmtId="164" fontId="0" fillId="0" borderId="23" xfId="0" applyNumberFormat="1" applyBorder="1" applyAlignment="1">
      <alignment horizontal="center"/>
    </xf>
    <xf numFmtId="0" fontId="0" fillId="0" borderId="11" xfId="0" applyFill="1" applyBorder="1" applyAlignment="1">
      <alignment horizontal="center"/>
    </xf>
    <xf numFmtId="0" fontId="0" fillId="0" borderId="22" xfId="0" applyBorder="1" applyAlignment="1">
      <alignment horizontal="left"/>
    </xf>
    <xf numFmtId="166" fontId="0" fillId="0" borderId="0" xfId="0" applyNumberFormat="1" applyBorder="1" applyAlignment="1"/>
    <xf numFmtId="2" fontId="0" fillId="5" borderId="18" xfId="1" applyNumberFormat="1" applyFont="1" applyFill="1" applyBorder="1" applyAlignment="1">
      <alignment horizontal="center"/>
    </xf>
    <xf numFmtId="2" fontId="0" fillId="4" borderId="23" xfId="1" applyNumberFormat="1" applyFont="1" applyFill="1" applyBorder="1" applyAlignment="1">
      <alignment horizontal="center"/>
    </xf>
    <xf numFmtId="2" fontId="0" fillId="3" borderId="23" xfId="1" applyNumberFormat="1" applyFont="1" applyFill="1" applyBorder="1" applyAlignment="1">
      <alignment horizontal="center"/>
    </xf>
    <xf numFmtId="2" fontId="0" fillId="6" borderId="19" xfId="1" applyNumberFormat="1" applyFont="1" applyFill="1" applyBorder="1" applyAlignment="1">
      <alignment horizontal="center"/>
    </xf>
    <xf numFmtId="2" fontId="0" fillId="4" borderId="8" xfId="1" applyNumberFormat="1" applyFont="1" applyFill="1" applyBorder="1" applyAlignment="1">
      <alignment horizontal="center"/>
    </xf>
    <xf numFmtId="2" fontId="0" fillId="3" borderId="8" xfId="1" applyNumberFormat="1" applyFont="1" applyFill="1" applyBorder="1" applyAlignment="1">
      <alignment horizontal="center"/>
    </xf>
    <xf numFmtId="165" fontId="0" fillId="2" borderId="16" xfId="0" applyNumberFormat="1" applyFill="1" applyBorder="1" applyAlignment="1"/>
    <xf numFmtId="165" fontId="0" fillId="2" borderId="37" xfId="0" applyNumberFormat="1" applyFill="1" applyBorder="1" applyAlignment="1"/>
    <xf numFmtId="0" fontId="0" fillId="0" borderId="9" xfId="0" applyFill="1" applyBorder="1" applyAlignment="1"/>
    <xf numFmtId="0" fontId="0" fillId="0" borderId="3" xfId="0" applyBorder="1" applyAlignment="1"/>
    <xf numFmtId="2" fontId="0" fillId="0" borderId="7" xfId="0" applyNumberFormat="1" applyBorder="1" applyAlignment="1"/>
    <xf numFmtId="0" fontId="0" fillId="0" borderId="5" xfId="0" applyBorder="1" applyAlignment="1"/>
    <xf numFmtId="166" fontId="0" fillId="5" borderId="0" xfId="1" applyNumberFormat="1" applyFont="1" applyFill="1" applyBorder="1" applyAlignment="1"/>
    <xf numFmtId="0" fontId="0" fillId="3" borderId="22" xfId="0" applyFill="1" applyBorder="1" applyAlignment="1"/>
    <xf numFmtId="0" fontId="0" fillId="2" borderId="14" xfId="0" applyFill="1" applyBorder="1" applyAlignment="1"/>
    <xf numFmtId="0" fontId="0" fillId="2" borderId="0" xfId="0" applyFill="1" applyBorder="1" applyAlignment="1"/>
    <xf numFmtId="0" fontId="0" fillId="3" borderId="23" xfId="0" applyFill="1" applyBorder="1"/>
    <xf numFmtId="0" fontId="3" fillId="8" borderId="53" xfId="0" applyFont="1" applyFill="1" applyBorder="1" applyAlignment="1">
      <alignment horizontal="left" vertical="center"/>
    </xf>
    <xf numFmtId="0" fontId="13" fillId="0" borderId="0" xfId="0" applyFont="1" applyBorder="1" applyAlignment="1">
      <alignment vertical="center"/>
    </xf>
    <xf numFmtId="0" fontId="11" fillId="0" borderId="0" xfId="0" applyFont="1" applyBorder="1" applyAlignment="1">
      <alignment vertical="center" wrapText="1"/>
    </xf>
    <xf numFmtId="0" fontId="0" fillId="6" borderId="39" xfId="0" applyFill="1" applyBorder="1" applyAlignment="1"/>
    <xf numFmtId="9" fontId="0" fillId="6" borderId="7" xfId="1" applyNumberFormat="1" applyFont="1" applyFill="1" applyBorder="1" applyAlignment="1"/>
    <xf numFmtId="9" fontId="0" fillId="6" borderId="0" xfId="1" applyNumberFormat="1" applyFont="1" applyFill="1" applyBorder="1" applyAlignment="1"/>
    <xf numFmtId="9" fontId="0" fillId="6" borderId="8" xfId="1" applyNumberFormat="1" applyFont="1" applyFill="1" applyBorder="1" applyAlignment="1"/>
    <xf numFmtId="165" fontId="0" fillId="0" borderId="0" xfId="0" applyNumberFormat="1" applyFill="1" applyBorder="1"/>
    <xf numFmtId="165" fontId="0" fillId="2" borderId="6" xfId="0" applyNumberFormat="1" applyFill="1" applyBorder="1" applyAlignment="1"/>
    <xf numFmtId="165" fontId="0" fillId="2" borderId="14" xfId="0" applyNumberFormat="1" applyFill="1" applyBorder="1" applyAlignment="1"/>
    <xf numFmtId="165" fontId="0" fillId="2" borderId="4" xfId="0" applyNumberFormat="1" applyFill="1" applyBorder="1" applyAlignment="1"/>
    <xf numFmtId="165" fontId="0" fillId="2" borderId="52" xfId="0" applyNumberFormat="1" applyFill="1" applyBorder="1" applyAlignment="1"/>
    <xf numFmtId="171" fontId="0" fillId="7" borderId="4" xfId="0" applyNumberFormat="1" applyFill="1" applyBorder="1" applyAlignment="1"/>
    <xf numFmtId="171" fontId="0" fillId="7" borderId="6" xfId="0" applyNumberFormat="1" applyFill="1" applyBorder="1" applyAlignment="1"/>
    <xf numFmtId="171" fontId="0" fillId="7" borderId="14" xfId="0" applyNumberFormat="1" applyFill="1" applyBorder="1" applyAlignment="1"/>
    <xf numFmtId="168" fontId="0" fillId="0" borderId="0" xfId="0" applyNumberFormat="1" applyBorder="1"/>
    <xf numFmtId="171" fontId="0" fillId="0" borderId="0" xfId="0" applyNumberFormat="1" applyBorder="1"/>
    <xf numFmtId="0" fontId="0" fillId="0" borderId="0" xfId="0" applyBorder="1" applyAlignment="1">
      <alignment vertical="top"/>
    </xf>
    <xf numFmtId="0" fontId="0" fillId="0" borderId="0" xfId="0" applyBorder="1" applyAlignment="1">
      <alignment horizontal="center" wrapText="1"/>
    </xf>
    <xf numFmtId="0" fontId="0" fillId="6" borderId="41" xfId="0" applyFill="1" applyBorder="1" applyAlignment="1">
      <alignment horizontal="center"/>
    </xf>
    <xf numFmtId="2" fontId="0" fillId="5" borderId="27" xfId="0" applyNumberFormat="1" applyFill="1" applyBorder="1" applyAlignment="1">
      <alignment horizontal="center"/>
    </xf>
    <xf numFmtId="2" fontId="0" fillId="6" borderId="39" xfId="0" applyNumberFormat="1" applyFill="1" applyBorder="1" applyAlignment="1">
      <alignment horizontal="center"/>
    </xf>
    <xf numFmtId="2" fontId="0" fillId="5" borderId="21" xfId="0" applyNumberFormat="1" applyFill="1" applyBorder="1" applyAlignment="1">
      <alignment horizontal="center"/>
    </xf>
    <xf numFmtId="2" fontId="0" fillId="6" borderId="22" xfId="0" applyNumberFormat="1" applyFill="1" applyBorder="1" applyAlignment="1">
      <alignment horizontal="center"/>
    </xf>
    <xf numFmtId="2" fontId="0" fillId="5" borderId="36" xfId="0" applyNumberFormat="1" applyFill="1" applyBorder="1" applyAlignment="1">
      <alignment horizontal="center"/>
    </xf>
    <xf numFmtId="2" fontId="0" fillId="6" borderId="41" xfId="0" applyNumberFormat="1" applyFill="1" applyBorder="1" applyAlignment="1">
      <alignment horizontal="center"/>
    </xf>
    <xf numFmtId="2" fontId="0" fillId="5" borderId="18" xfId="0" applyNumberFormat="1" applyFill="1" applyBorder="1" applyAlignment="1">
      <alignment horizontal="center"/>
    </xf>
    <xf numFmtId="2" fontId="0" fillId="4" borderId="23" xfId="0" applyNumberFormat="1" applyFill="1" applyBorder="1" applyAlignment="1">
      <alignment horizontal="center"/>
    </xf>
    <xf numFmtId="2" fontId="0" fillId="3" borderId="23" xfId="0" applyNumberFormat="1" applyFill="1" applyBorder="1" applyAlignment="1">
      <alignment horizontal="center"/>
    </xf>
    <xf numFmtId="2" fontId="0" fillId="6" borderId="19" xfId="0" applyNumberFormat="1" applyFill="1" applyBorder="1" applyAlignment="1">
      <alignment horizontal="center"/>
    </xf>
    <xf numFmtId="166" fontId="0" fillId="5" borderId="27" xfId="1" applyNumberFormat="1" applyFont="1" applyFill="1" applyBorder="1" applyAlignment="1">
      <alignment horizontal="center"/>
    </xf>
    <xf numFmtId="166" fontId="0" fillId="6" borderId="39" xfId="1" applyNumberFormat="1" applyFont="1" applyFill="1" applyBorder="1" applyAlignment="1">
      <alignment horizontal="center"/>
    </xf>
    <xf numFmtId="166" fontId="0" fillId="5" borderId="21" xfId="1" applyNumberFormat="1" applyFont="1" applyFill="1" applyBorder="1" applyAlignment="1">
      <alignment horizontal="center"/>
    </xf>
    <xf numFmtId="166" fontId="0" fillId="6" borderId="22" xfId="1" applyNumberFormat="1" applyFont="1" applyFill="1" applyBorder="1" applyAlignment="1">
      <alignment horizontal="center"/>
    </xf>
    <xf numFmtId="166" fontId="0" fillId="5" borderId="36" xfId="1" applyNumberFormat="1" applyFont="1" applyFill="1" applyBorder="1" applyAlignment="1">
      <alignment horizontal="center"/>
    </xf>
    <xf numFmtId="166" fontId="0" fillId="6" borderId="41" xfId="1" applyNumberFormat="1" applyFont="1" applyFill="1" applyBorder="1" applyAlignment="1">
      <alignment horizontal="center"/>
    </xf>
    <xf numFmtId="2" fontId="0" fillId="5" borderId="27" xfId="1" applyNumberFormat="1" applyFont="1" applyFill="1" applyBorder="1" applyAlignment="1">
      <alignment horizontal="center"/>
    </xf>
    <xf numFmtId="2" fontId="0" fillId="6" borderId="39" xfId="1" applyNumberFormat="1" applyFont="1" applyFill="1" applyBorder="1" applyAlignment="1">
      <alignment horizontal="center"/>
    </xf>
    <xf numFmtId="2" fontId="0" fillId="5" borderId="21" xfId="1" applyNumberFormat="1" applyFont="1" applyFill="1" applyBorder="1" applyAlignment="1">
      <alignment horizontal="center"/>
    </xf>
    <xf numFmtId="2" fontId="0" fillId="6" borderId="22" xfId="1" applyNumberFormat="1" applyFont="1" applyFill="1" applyBorder="1" applyAlignment="1">
      <alignment horizontal="center"/>
    </xf>
    <xf numFmtId="2" fontId="0" fillId="5" borderId="36" xfId="1" applyNumberFormat="1" applyFont="1" applyFill="1" applyBorder="1" applyAlignment="1">
      <alignment horizontal="center"/>
    </xf>
    <xf numFmtId="2" fontId="0" fillId="6" borderId="41" xfId="1" applyNumberFormat="1" applyFont="1" applyFill="1" applyBorder="1" applyAlignment="1">
      <alignment horizontal="center"/>
    </xf>
    <xf numFmtId="0" fontId="0" fillId="2" borderId="12" xfId="0" applyFill="1" applyBorder="1" applyAlignment="1"/>
    <xf numFmtId="0" fontId="0" fillId="2" borderId="22" xfId="0" applyFill="1" applyBorder="1" applyAlignment="1"/>
    <xf numFmtId="0" fontId="0" fillId="2" borderId="41" xfId="0" applyFill="1" applyBorder="1" applyAlignment="1"/>
    <xf numFmtId="0" fontId="0" fillId="0" borderId="54" xfId="0" applyBorder="1"/>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29" xfId="0" applyFont="1" applyBorder="1" applyAlignment="1">
      <alignment horizontal="left" vertical="center"/>
    </xf>
    <xf numFmtId="0" fontId="14" fillId="18" borderId="0" xfId="0" applyFont="1" applyFill="1" applyBorder="1"/>
    <xf numFmtId="0" fontId="15" fillId="19" borderId="6" xfId="0" applyFont="1" applyFill="1" applyBorder="1"/>
    <xf numFmtId="0" fontId="0" fillId="2" borderId="21" xfId="0" applyFill="1" applyBorder="1" applyAlignment="1">
      <alignment horizontal="center"/>
    </xf>
    <xf numFmtId="0" fontId="0" fillId="7" borderId="6" xfId="0" applyFill="1" applyBorder="1" applyAlignment="1">
      <alignment horizontal="center"/>
    </xf>
    <xf numFmtId="0" fontId="0" fillId="2" borderId="0" xfId="0" applyFill="1" applyBorder="1" applyAlignment="1">
      <alignment horizontal="center"/>
    </xf>
    <xf numFmtId="0" fontId="0" fillId="7" borderId="22" xfId="0" applyFill="1" applyBorder="1" applyAlignment="1">
      <alignment horizontal="center"/>
    </xf>
    <xf numFmtId="0" fontId="0" fillId="5" borderId="3" xfId="0" applyFill="1" applyBorder="1" applyAlignment="1">
      <alignment horizontal="center"/>
    </xf>
    <xf numFmtId="0" fontId="0" fillId="4" borderId="7" xfId="0" applyFill="1" applyBorder="1" applyAlignment="1">
      <alignment horizontal="center"/>
    </xf>
    <xf numFmtId="0" fontId="0" fillId="3" borderId="7" xfId="0" applyFill="1" applyBorder="1" applyAlignment="1">
      <alignment horizontal="center"/>
    </xf>
    <xf numFmtId="0" fontId="0" fillId="6" borderId="4" xfId="0" applyFill="1" applyBorder="1" applyAlignment="1">
      <alignment horizontal="center"/>
    </xf>
    <xf numFmtId="9" fontId="0" fillId="5" borderId="3" xfId="1" applyNumberFormat="1" applyFont="1" applyFill="1" applyBorder="1" applyAlignment="1">
      <alignment horizontal="center"/>
    </xf>
    <xf numFmtId="9" fontId="0" fillId="4" borderId="7" xfId="1" applyNumberFormat="1" applyFont="1" applyFill="1" applyBorder="1" applyAlignment="1">
      <alignment horizontal="center"/>
    </xf>
    <xf numFmtId="9" fontId="0" fillId="3" borderId="7" xfId="1" applyNumberFormat="1" applyFont="1" applyFill="1" applyBorder="1" applyAlignment="1">
      <alignment horizontal="center"/>
    </xf>
    <xf numFmtId="9" fontId="0" fillId="6" borderId="4" xfId="1" applyNumberFormat="1" applyFont="1" applyFill="1" applyBorder="1" applyAlignment="1">
      <alignment horizontal="center"/>
    </xf>
    <xf numFmtId="0" fontId="0" fillId="5" borderId="5"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6" borderId="6" xfId="0" applyFill="1" applyBorder="1" applyAlignment="1">
      <alignment horizontal="center"/>
    </xf>
    <xf numFmtId="9" fontId="0" fillId="5" borderId="5" xfId="1" applyNumberFormat="1" applyFont="1" applyFill="1" applyBorder="1" applyAlignment="1">
      <alignment horizontal="center"/>
    </xf>
    <xf numFmtId="9" fontId="0" fillId="4" borderId="0" xfId="1" applyNumberFormat="1" applyFont="1" applyFill="1" applyBorder="1" applyAlignment="1">
      <alignment horizontal="center"/>
    </xf>
    <xf numFmtId="9" fontId="0" fillId="3" borderId="0" xfId="1" applyNumberFormat="1" applyFont="1" applyFill="1" applyBorder="1" applyAlignment="1">
      <alignment horizontal="center"/>
    </xf>
    <xf numFmtId="9" fontId="0" fillId="6" borderId="6" xfId="1" applyNumberFormat="1" applyFont="1" applyFill="1" applyBorder="1" applyAlignment="1">
      <alignment horizontal="center"/>
    </xf>
    <xf numFmtId="168" fontId="0" fillId="5" borderId="28" xfId="0" applyNumberFormat="1" applyFill="1" applyBorder="1" applyAlignment="1">
      <alignment horizontal="center"/>
    </xf>
    <xf numFmtId="9" fontId="0" fillId="5" borderId="13" xfId="1" applyNumberFormat="1" applyFont="1" applyFill="1" applyBorder="1" applyAlignment="1">
      <alignment horizontal="center"/>
    </xf>
    <xf numFmtId="9" fontId="0" fillId="4" borderId="8" xfId="1" applyNumberFormat="1" applyFont="1" applyFill="1" applyBorder="1" applyAlignment="1">
      <alignment horizontal="center"/>
    </xf>
    <xf numFmtId="9" fontId="0" fillId="3" borderId="8" xfId="1" applyNumberFormat="1" applyFont="1" applyFill="1" applyBorder="1" applyAlignment="1">
      <alignment horizontal="center"/>
    </xf>
    <xf numFmtId="9" fontId="0" fillId="6" borderId="14" xfId="1" applyNumberFormat="1" applyFont="1" applyFill="1" applyBorder="1" applyAlignment="1">
      <alignment horizontal="center"/>
    </xf>
    <xf numFmtId="0" fontId="0" fillId="5" borderId="38" xfId="0" applyFill="1" applyBorder="1" applyAlignment="1">
      <alignment horizontal="center"/>
    </xf>
    <xf numFmtId="0" fontId="0" fillId="4" borderId="23" xfId="0" applyFill="1" applyBorder="1" applyAlignment="1">
      <alignment horizontal="center"/>
    </xf>
    <xf numFmtId="0" fontId="0" fillId="3" borderId="23" xfId="0" applyFill="1" applyBorder="1" applyAlignment="1">
      <alignment horizontal="center"/>
    </xf>
    <xf numFmtId="0" fontId="0" fillId="6" borderId="19" xfId="0" applyFill="1" applyBorder="1" applyAlignment="1">
      <alignment horizontal="center"/>
    </xf>
    <xf numFmtId="166" fontId="0" fillId="5" borderId="28" xfId="1" applyNumberFormat="1" applyFont="1" applyFill="1" applyBorder="1" applyAlignment="1">
      <alignment horizontal="center"/>
    </xf>
    <xf numFmtId="0" fontId="0" fillId="5" borderId="18" xfId="0" applyFill="1" applyBorder="1" applyAlignment="1">
      <alignment horizontal="center"/>
    </xf>
    <xf numFmtId="2" fontId="0" fillId="0" borderId="0" xfId="0" applyNumberFormat="1" applyFill="1" applyBorder="1" applyAlignment="1">
      <alignment horizontal="center"/>
    </xf>
    <xf numFmtId="166" fontId="0" fillId="0" borderId="0" xfId="1" applyNumberFormat="1" applyFont="1" applyFill="1" applyBorder="1" applyAlignment="1">
      <alignment horizontal="center"/>
    </xf>
    <xf numFmtId="9" fontId="0" fillId="0" borderId="0" xfId="0" applyNumberFormat="1" applyFill="1" applyBorder="1" applyAlignment="1"/>
    <xf numFmtId="2" fontId="0" fillId="5" borderId="10" xfId="0" applyNumberFormat="1" applyFill="1" applyBorder="1" applyAlignment="1">
      <alignment horizontal="center"/>
    </xf>
    <xf numFmtId="2" fontId="0" fillId="4" borderId="12" xfId="0" applyNumberFormat="1" applyFill="1" applyBorder="1" applyAlignment="1">
      <alignment horizontal="center"/>
    </xf>
    <xf numFmtId="2" fontId="0" fillId="3" borderId="18" xfId="0" applyNumberFormat="1" applyFill="1" applyBorder="1" applyAlignment="1">
      <alignment horizontal="center"/>
    </xf>
    <xf numFmtId="2" fontId="0" fillId="0" borderId="0" xfId="0" applyNumberFormat="1" applyFill="1" applyBorder="1" applyAlignment="1">
      <alignment horizontal="right"/>
    </xf>
    <xf numFmtId="10" fontId="0" fillId="5" borderId="10" xfId="1" applyNumberFormat="1" applyFont="1" applyFill="1" applyBorder="1" applyAlignment="1">
      <alignment horizontal="center"/>
    </xf>
    <xf numFmtId="10" fontId="0" fillId="4" borderId="12" xfId="1" applyNumberFormat="1" applyFont="1" applyFill="1" applyBorder="1" applyAlignment="1">
      <alignment horizontal="center"/>
    </xf>
    <xf numFmtId="10" fontId="0" fillId="0" borderId="0" xfId="1" applyNumberFormat="1" applyFont="1" applyFill="1" applyBorder="1"/>
    <xf numFmtId="10" fontId="0" fillId="3" borderId="18" xfId="1" applyNumberFormat="1" applyFont="1" applyFill="1" applyBorder="1" applyAlignment="1">
      <alignment horizontal="center"/>
    </xf>
    <xf numFmtId="10" fontId="0" fillId="6" borderId="19" xfId="1" applyNumberFormat="1" applyFont="1" applyFill="1" applyBorder="1" applyAlignment="1">
      <alignment horizontal="center"/>
    </xf>
    <xf numFmtId="10" fontId="0" fillId="0" borderId="0" xfId="1" applyNumberFormat="1" applyFont="1" applyFill="1" applyBorder="1" applyAlignment="1">
      <alignment horizontal="right"/>
    </xf>
    <xf numFmtId="10" fontId="0" fillId="0" borderId="0" xfId="1" applyNumberFormat="1" applyFont="1" applyFill="1" applyBorder="1" applyAlignment="1">
      <alignment horizontal="center"/>
    </xf>
    <xf numFmtId="164" fontId="0" fillId="5" borderId="10" xfId="0" applyNumberFormat="1" applyFill="1" applyBorder="1" applyAlignment="1">
      <alignment horizontal="center"/>
    </xf>
    <xf numFmtId="0" fontId="0" fillId="2" borderId="55" xfId="0" applyFill="1" applyBorder="1" applyAlignment="1"/>
    <xf numFmtId="164" fontId="0" fillId="7" borderId="43" xfId="0" applyNumberFormat="1" applyFill="1" applyBorder="1" applyAlignment="1"/>
    <xf numFmtId="164" fontId="0" fillId="7" borderId="19" xfId="0" applyNumberFormat="1" applyFill="1" applyBorder="1" applyAlignment="1"/>
    <xf numFmtId="164" fontId="0" fillId="4" borderId="12" xfId="0" applyNumberFormat="1" applyFill="1" applyBorder="1" applyAlignment="1">
      <alignment horizontal="center"/>
    </xf>
    <xf numFmtId="164" fontId="0" fillId="3" borderId="18" xfId="0" applyNumberFormat="1" applyFill="1" applyBorder="1" applyAlignment="1">
      <alignment horizontal="center"/>
    </xf>
    <xf numFmtId="164" fontId="0" fillId="6" borderId="19" xfId="0" applyNumberFormat="1" applyFill="1" applyBorder="1" applyAlignment="1">
      <alignment horizontal="center"/>
    </xf>
    <xf numFmtId="10" fontId="0" fillId="15" borderId="12" xfId="1" applyNumberFormat="1" applyFont="1" applyFill="1" applyBorder="1" applyAlignment="1">
      <alignment horizontal="center"/>
    </xf>
    <xf numFmtId="0" fontId="0" fillId="14" borderId="41" xfId="0" applyFill="1" applyBorder="1" applyAlignment="1">
      <alignment horizontal="center"/>
    </xf>
    <xf numFmtId="175" fontId="0" fillId="20" borderId="10" xfId="1" applyNumberFormat="1" applyFont="1" applyFill="1" applyBorder="1" applyAlignment="1">
      <alignment horizontal="center"/>
    </xf>
    <xf numFmtId="175" fontId="0" fillId="17" borderId="18" xfId="1" applyNumberFormat="1" applyFont="1" applyFill="1" applyBorder="1" applyAlignment="1">
      <alignment horizontal="center"/>
    </xf>
    <xf numFmtId="175" fontId="0" fillId="16" borderId="19" xfId="1" applyNumberFormat="1" applyFont="1" applyFill="1" applyBorder="1" applyAlignment="1">
      <alignment horizontal="center"/>
    </xf>
    <xf numFmtId="10" fontId="0" fillId="15" borderId="0" xfId="0" applyNumberFormat="1" applyFill="1"/>
    <xf numFmtId="164" fontId="0" fillId="5" borderId="5" xfId="0" applyNumberFormat="1" applyFill="1" applyBorder="1" applyAlignment="1">
      <alignment horizontal="center"/>
    </xf>
    <xf numFmtId="164" fontId="0" fillId="4" borderId="0" xfId="0" applyNumberFormat="1" applyFill="1" applyBorder="1" applyAlignment="1">
      <alignment horizontal="center"/>
    </xf>
    <xf numFmtId="174" fontId="0" fillId="7" borderId="4" xfId="0" applyNumberFormat="1" applyFill="1" applyBorder="1"/>
    <xf numFmtId="174" fontId="0" fillId="7" borderId="6" xfId="0" applyNumberFormat="1" applyFill="1" applyBorder="1"/>
    <xf numFmtId="174" fontId="0" fillId="7" borderId="14" xfId="0" applyNumberFormat="1" applyFill="1" applyBorder="1"/>
    <xf numFmtId="164" fontId="15" fillId="19" borderId="6" xfId="0" applyNumberFormat="1" applyFont="1" applyFill="1" applyBorder="1" applyAlignment="1">
      <alignment horizontal="center"/>
    </xf>
    <xf numFmtId="164" fontId="0" fillId="7" borderId="6" xfId="0" applyNumberFormat="1" applyFill="1" applyBorder="1" applyAlignment="1">
      <alignment horizontal="center"/>
    </xf>
    <xf numFmtId="164" fontId="16" fillId="7" borderId="6" xfId="0" applyNumberFormat="1" applyFont="1" applyFill="1" applyBorder="1" applyAlignment="1">
      <alignment horizontal="center"/>
    </xf>
    <xf numFmtId="164" fontId="0" fillId="7" borderId="49" xfId="0" applyNumberFormat="1" applyFill="1" applyBorder="1" applyAlignment="1">
      <alignment horizontal="center"/>
    </xf>
    <xf numFmtId="164" fontId="0" fillId="2" borderId="21" xfId="0" applyNumberFormat="1" applyFill="1" applyBorder="1" applyAlignment="1">
      <alignment horizontal="center"/>
    </xf>
    <xf numFmtId="164" fontId="16" fillId="2" borderId="21" xfId="0" applyNumberFormat="1" applyFont="1" applyFill="1" applyBorder="1" applyAlignment="1">
      <alignment horizontal="center"/>
    </xf>
    <xf numFmtId="164" fontId="0" fillId="2" borderId="18" xfId="0" applyNumberFormat="1" applyFill="1" applyBorder="1" applyAlignment="1">
      <alignment horizontal="center"/>
    </xf>
    <xf numFmtId="164" fontId="0" fillId="2" borderId="0" xfId="0" applyNumberFormat="1" applyFill="1" applyBorder="1" applyAlignment="1">
      <alignment horizontal="center"/>
    </xf>
    <xf numFmtId="164" fontId="15" fillId="19" borderId="22" xfId="0" applyNumberFormat="1" applyFont="1" applyFill="1" applyBorder="1" applyAlignment="1">
      <alignment horizontal="center"/>
    </xf>
    <xf numFmtId="164" fontId="0" fillId="7" borderId="22" xfId="0" applyNumberFormat="1" applyFill="1" applyBorder="1" applyAlignment="1">
      <alignment horizontal="center"/>
    </xf>
    <xf numFmtId="164" fontId="16" fillId="2" borderId="0" xfId="0" applyNumberFormat="1" applyFont="1" applyFill="1" applyBorder="1" applyAlignment="1">
      <alignment horizontal="center"/>
    </xf>
    <xf numFmtId="164" fontId="17" fillId="18" borderId="22" xfId="0" applyNumberFormat="1" applyFont="1" applyFill="1" applyBorder="1" applyAlignment="1">
      <alignment horizontal="center"/>
    </xf>
    <xf numFmtId="164" fontId="0" fillId="2" borderId="23" xfId="0" applyNumberFormat="1" applyFill="1" applyBorder="1" applyAlignment="1">
      <alignment horizontal="center"/>
    </xf>
    <xf numFmtId="164" fontId="0" fillId="7" borderId="19" xfId="0" applyNumberFormat="1" applyFill="1" applyBorder="1" applyAlignment="1">
      <alignment horizontal="center"/>
    </xf>
    <xf numFmtId="0" fontId="18" fillId="0" borderId="0" xfId="0" applyFont="1"/>
    <xf numFmtId="0" fontId="3" fillId="8" borderId="11" xfId="0" applyFont="1" applyFill="1" applyBorder="1" applyAlignment="1">
      <alignment horizontal="center" vertical="center"/>
    </xf>
    <xf numFmtId="2" fontId="0" fillId="12" borderId="28" xfId="0" applyNumberFormat="1" applyFill="1" applyBorder="1" applyAlignment="1"/>
    <xf numFmtId="166" fontId="0" fillId="21" borderId="38" xfId="1" applyNumberFormat="1" applyFont="1" applyFill="1" applyBorder="1" applyAlignment="1">
      <alignment horizontal="center"/>
    </xf>
    <xf numFmtId="166" fontId="0" fillId="21" borderId="49" xfId="1" applyNumberFormat="1" applyFont="1" applyFill="1" applyBorder="1" applyAlignment="1">
      <alignment horizontal="center"/>
    </xf>
    <xf numFmtId="0" fontId="0" fillId="0" borderId="2" xfId="0" applyFill="1" applyBorder="1" applyAlignment="1">
      <alignment horizontal="center"/>
    </xf>
    <xf numFmtId="166" fontId="0" fillId="21" borderId="7" xfId="1" applyNumberFormat="1" applyFont="1" applyFill="1" applyBorder="1" applyAlignment="1">
      <alignment horizontal="center"/>
    </xf>
    <xf numFmtId="166" fontId="0" fillId="21" borderId="4" xfId="1" applyNumberFormat="1" applyFont="1" applyFill="1" applyBorder="1" applyAlignment="1">
      <alignment horizontal="center"/>
    </xf>
    <xf numFmtId="0" fontId="0" fillId="7" borderId="17" xfId="0" applyFill="1" applyBorder="1"/>
    <xf numFmtId="0" fontId="3" fillId="8" borderId="10" xfId="0" applyFont="1" applyFill="1" applyBorder="1" applyAlignment="1">
      <alignment horizontal="center" vertical="center"/>
    </xf>
    <xf numFmtId="0" fontId="3" fillId="8" borderId="47"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12" xfId="0" applyFont="1" applyFill="1" applyBorder="1" applyAlignment="1">
      <alignment horizontal="center" vertical="center"/>
    </xf>
    <xf numFmtId="0" fontId="6" fillId="0" borderId="0" xfId="0" applyFont="1" applyBorder="1" applyAlignment="1"/>
    <xf numFmtId="167" fontId="0" fillId="0" borderId="0" xfId="0" applyNumberFormat="1" applyBorder="1" applyAlignment="1">
      <alignment horizontal="center"/>
    </xf>
    <xf numFmtId="167" fontId="0" fillId="0" borderId="23" xfId="0" applyNumberFormat="1" applyBorder="1" applyAlignment="1">
      <alignment horizontal="center"/>
    </xf>
    <xf numFmtId="165" fontId="0" fillId="2" borderId="19" xfId="0" applyNumberFormat="1" applyFill="1" applyBorder="1" applyAlignment="1"/>
    <xf numFmtId="0" fontId="3" fillId="8" borderId="60" xfId="0" applyFont="1" applyFill="1" applyBorder="1" applyAlignment="1">
      <alignment horizontal="center" vertical="center" wrapText="1"/>
    </xf>
    <xf numFmtId="2" fontId="0" fillId="14" borderId="22" xfId="1" applyNumberFormat="1" applyFont="1" applyFill="1" applyBorder="1" applyAlignment="1">
      <alignment horizontal="center"/>
    </xf>
    <xf numFmtId="2" fontId="0" fillId="14" borderId="41" xfId="1" applyNumberFormat="1" applyFont="1" applyFill="1" applyBorder="1" applyAlignment="1">
      <alignment horizontal="center"/>
    </xf>
    <xf numFmtId="0" fontId="3" fillId="8" borderId="51" xfId="0" applyFont="1" applyFill="1" applyBorder="1" applyAlignment="1">
      <alignment horizontal="center" vertical="center" wrapText="1"/>
    </xf>
    <xf numFmtId="2" fontId="0" fillId="13" borderId="16" xfId="1" applyNumberFormat="1" applyFont="1" applyFill="1" applyBorder="1" applyAlignment="1">
      <alignment horizontal="center"/>
    </xf>
    <xf numFmtId="2" fontId="0" fillId="13" borderId="37" xfId="1" applyNumberFormat="1" applyFont="1" applyFill="1" applyBorder="1" applyAlignment="1">
      <alignment horizontal="center"/>
    </xf>
    <xf numFmtId="2" fontId="0" fillId="13" borderId="17" xfId="1" applyNumberFormat="1" applyFont="1" applyFill="1" applyBorder="1" applyAlignment="1">
      <alignment horizontal="center"/>
    </xf>
    <xf numFmtId="2" fontId="0" fillId="14" borderId="19" xfId="1" applyNumberFormat="1" applyFont="1" applyFill="1" applyBorder="1" applyAlignment="1">
      <alignment horizontal="center"/>
    </xf>
    <xf numFmtId="2" fontId="0" fillId="13" borderId="62" xfId="1" applyNumberFormat="1" applyFont="1" applyFill="1" applyBorder="1" applyAlignment="1">
      <alignment horizontal="center"/>
    </xf>
    <xf numFmtId="2" fontId="0" fillId="14" borderId="57" xfId="1" applyNumberFormat="1" applyFont="1" applyFill="1" applyBorder="1" applyAlignment="1">
      <alignment horizontal="center"/>
    </xf>
    <xf numFmtId="0" fontId="0" fillId="5" borderId="27" xfId="0" applyFill="1" applyBorder="1" applyAlignment="1">
      <alignment horizontal="center"/>
    </xf>
    <xf numFmtId="166" fontId="0" fillId="5" borderId="3" xfId="1" applyNumberFormat="1" applyFont="1" applyFill="1" applyBorder="1" applyAlignment="1">
      <alignment horizontal="center"/>
    </xf>
    <xf numFmtId="166" fontId="0" fillId="3" borderId="4" xfId="1" applyNumberFormat="1" applyFont="1" applyFill="1" applyBorder="1" applyAlignment="1">
      <alignment horizontal="center"/>
    </xf>
    <xf numFmtId="0" fontId="0" fillId="5" borderId="21" xfId="0" applyFill="1" applyBorder="1" applyAlignment="1">
      <alignment horizontal="center"/>
    </xf>
    <xf numFmtId="166" fontId="0" fillId="5" borderId="5" xfId="1" applyNumberFormat="1" applyFont="1" applyFill="1" applyBorder="1" applyAlignment="1">
      <alignment horizontal="center"/>
    </xf>
    <xf numFmtId="166" fontId="0" fillId="3" borderId="6" xfId="1" applyNumberFormat="1" applyFont="1" applyFill="1" applyBorder="1" applyAlignment="1">
      <alignment horizontal="center"/>
    </xf>
    <xf numFmtId="166" fontId="0" fillId="5" borderId="13" xfId="1" applyNumberFormat="1" applyFont="1" applyFill="1" applyBorder="1" applyAlignment="1">
      <alignment horizontal="center"/>
    </xf>
    <xf numFmtId="166" fontId="0" fillId="3" borderId="14" xfId="1" applyNumberFormat="1" applyFont="1" applyFill="1" applyBorder="1" applyAlignment="1">
      <alignment horizontal="center"/>
    </xf>
    <xf numFmtId="167" fontId="0" fillId="0" borderId="0" xfId="0" applyNumberFormat="1" applyBorder="1" applyAlignment="1"/>
    <xf numFmtId="2" fontId="0" fillId="0" borderId="0" xfId="0" applyNumberFormat="1"/>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2" fontId="0" fillId="12" borderId="15" xfId="0" applyNumberFormat="1" applyFill="1" applyBorder="1" applyAlignment="1"/>
    <xf numFmtId="2" fontId="0" fillId="12" borderId="17" xfId="0" applyNumberFormat="1" applyFill="1" applyBorder="1" applyAlignment="1"/>
    <xf numFmtId="166" fontId="0" fillId="21" borderId="0" xfId="1" applyNumberFormat="1" applyFont="1" applyFill="1" applyBorder="1" applyAlignment="1">
      <alignment horizontal="center"/>
    </xf>
    <xf numFmtId="166" fontId="0" fillId="21" borderId="6" xfId="1" applyNumberFormat="1" applyFont="1" applyFill="1" applyBorder="1" applyAlignment="1">
      <alignment horizontal="center"/>
    </xf>
    <xf numFmtId="166" fontId="0" fillId="21" borderId="63" xfId="1" applyNumberFormat="1" applyFont="1" applyFill="1" applyBorder="1" applyAlignment="1">
      <alignment horizontal="center"/>
    </xf>
    <xf numFmtId="166" fontId="0" fillId="21" borderId="64" xfId="1" applyNumberFormat="1" applyFont="1" applyFill="1" applyBorder="1" applyAlignment="1">
      <alignment horizontal="center"/>
    </xf>
    <xf numFmtId="166" fontId="0" fillId="21" borderId="54" xfId="1" applyNumberFormat="1" applyFont="1" applyFill="1" applyBorder="1" applyAlignment="1">
      <alignment horizontal="center"/>
    </xf>
    <xf numFmtId="166" fontId="0" fillId="21" borderId="18" xfId="1" applyNumberFormat="1" applyFont="1" applyFill="1" applyBorder="1" applyAlignment="1">
      <alignment horizontal="center"/>
    </xf>
    <xf numFmtId="166" fontId="0" fillId="21" borderId="23" xfId="1" applyNumberFormat="1" applyFont="1" applyFill="1" applyBorder="1" applyAlignment="1">
      <alignment horizontal="center"/>
    </xf>
    <xf numFmtId="166" fontId="0" fillId="21" borderId="19" xfId="1" applyNumberFormat="1" applyFont="1" applyFill="1" applyBorder="1" applyAlignment="1">
      <alignment horizontal="center"/>
    </xf>
    <xf numFmtId="2" fontId="0" fillId="14" borderId="39" xfId="0" applyNumberFormat="1" applyFill="1" applyBorder="1" applyAlignment="1">
      <alignment horizontal="center"/>
    </xf>
    <xf numFmtId="2" fontId="0" fillId="14" borderId="22" xfId="0" applyNumberFormat="1" applyFill="1" applyBorder="1" applyAlignment="1">
      <alignment horizontal="center"/>
    </xf>
    <xf numFmtId="2" fontId="0" fillId="14" borderId="41" xfId="0" applyNumberFormat="1" applyFill="1" applyBorder="1" applyAlignment="1">
      <alignment horizontal="center"/>
    </xf>
    <xf numFmtId="2" fontId="0" fillId="14" borderId="19" xfId="0" applyNumberFormat="1" applyFill="1" applyBorder="1" applyAlignment="1">
      <alignment horizontal="center"/>
    </xf>
    <xf numFmtId="2" fontId="0" fillId="0" borderId="21" xfId="0" applyNumberFormat="1" applyBorder="1"/>
    <xf numFmtId="0" fontId="6" fillId="0" borderId="0" xfId="0" applyFont="1" applyFill="1" applyBorder="1" applyAlignment="1">
      <alignment horizontal="center" vertical="center"/>
    </xf>
    <xf numFmtId="164" fontId="0" fillId="0" borderId="0" xfId="0" applyNumberFormat="1" applyFill="1" applyBorder="1"/>
    <xf numFmtId="2" fontId="0" fillId="0" borderId="0" xfId="0" applyNumberFormat="1" applyFill="1" applyBorder="1" applyAlignment="1"/>
    <xf numFmtId="0" fontId="0" fillId="14" borderId="44" xfId="0" applyFill="1" applyBorder="1" applyAlignment="1">
      <alignment horizontal="center"/>
    </xf>
    <xf numFmtId="2" fontId="0" fillId="14" borderId="3" xfId="0" applyNumberFormat="1" applyFill="1" applyBorder="1" applyAlignment="1">
      <alignment horizontal="center"/>
    </xf>
    <xf numFmtId="2" fontId="0" fillId="14" borderId="5" xfId="0" applyNumberFormat="1" applyFill="1" applyBorder="1" applyAlignment="1">
      <alignment horizontal="center"/>
    </xf>
    <xf numFmtId="2" fontId="0" fillId="14" borderId="13" xfId="0" applyNumberFormat="1" applyFill="1" applyBorder="1" applyAlignment="1">
      <alignment horizontal="center"/>
    </xf>
    <xf numFmtId="2" fontId="0" fillId="14" borderId="38" xfId="0" applyNumberFormat="1" applyFill="1" applyBorder="1" applyAlignment="1">
      <alignment horizontal="center"/>
    </xf>
    <xf numFmtId="0" fontId="0" fillId="22" borderId="36" xfId="0" applyFill="1" applyBorder="1" applyAlignment="1">
      <alignment horizontal="center"/>
    </xf>
    <xf numFmtId="2" fontId="0" fillId="22" borderId="27" xfId="0" applyNumberFormat="1" applyFill="1" applyBorder="1" applyAlignment="1">
      <alignment horizontal="center"/>
    </xf>
    <xf numFmtId="2" fontId="0" fillId="22" borderId="21" xfId="0" applyNumberFormat="1" applyFill="1" applyBorder="1" applyAlignment="1">
      <alignment horizontal="center"/>
    </xf>
    <xf numFmtId="2" fontId="0" fillId="22" borderId="36" xfId="0" applyNumberFormat="1" applyFill="1" applyBorder="1" applyAlignment="1">
      <alignment horizontal="center"/>
    </xf>
    <xf numFmtId="2" fontId="0" fillId="22" borderId="18" xfId="0" applyNumberFormat="1" applyFill="1" applyBorder="1" applyAlignment="1">
      <alignment horizontal="center"/>
    </xf>
    <xf numFmtId="0" fontId="0" fillId="22" borderId="45" xfId="0" applyFill="1" applyBorder="1" applyAlignment="1">
      <alignment horizontal="center"/>
    </xf>
    <xf numFmtId="2" fontId="0" fillId="22" borderId="4" xfId="0" applyNumberFormat="1" applyFill="1" applyBorder="1" applyAlignment="1">
      <alignment horizontal="center"/>
    </xf>
    <xf numFmtId="2" fontId="0" fillId="22" borderId="6" xfId="0" applyNumberFormat="1" applyFill="1" applyBorder="1" applyAlignment="1">
      <alignment horizontal="center"/>
    </xf>
    <xf numFmtId="2" fontId="0" fillId="22" borderId="14" xfId="0" applyNumberFormat="1" applyFill="1" applyBorder="1" applyAlignment="1">
      <alignment horizontal="center"/>
    </xf>
    <xf numFmtId="2" fontId="0" fillId="22" borderId="49" xfId="0" applyNumberFormat="1" applyFill="1" applyBorder="1" applyAlignment="1">
      <alignment horizontal="center"/>
    </xf>
    <xf numFmtId="166" fontId="1" fillId="12" borderId="0" xfId="1" applyNumberFormat="1" applyFont="1" applyFill="1" applyBorder="1"/>
    <xf numFmtId="2" fontId="0" fillId="0" borderId="1" xfId="0" applyNumberFormat="1" applyBorder="1"/>
    <xf numFmtId="2" fontId="0" fillId="0" borderId="9" xfId="0" applyNumberFormat="1" applyBorder="1"/>
    <xf numFmtId="166" fontId="1" fillId="0" borderId="2" xfId="1" applyNumberFormat="1" applyFont="1" applyBorder="1"/>
    <xf numFmtId="2" fontId="0" fillId="0" borderId="5" xfId="0" applyNumberFormat="1" applyBorder="1"/>
    <xf numFmtId="166" fontId="1" fillId="0" borderId="6" xfId="1" applyNumberFormat="1" applyFont="1" applyBorder="1"/>
    <xf numFmtId="2" fontId="0" fillId="0" borderId="3" xfId="0" applyNumberFormat="1" applyBorder="1"/>
    <xf numFmtId="2" fontId="0" fillId="0" borderId="7" xfId="0" applyNumberFormat="1" applyBorder="1"/>
    <xf numFmtId="166" fontId="1" fillId="12" borderId="4" xfId="1" applyNumberFormat="1" applyFont="1" applyFill="1" applyBorder="1"/>
    <xf numFmtId="0" fontId="0" fillId="2" borderId="21" xfId="0" applyFill="1" applyBorder="1" applyAlignment="1"/>
    <xf numFmtId="164" fontId="0" fillId="7" borderId="37" xfId="0" applyNumberFormat="1" applyFill="1" applyBorder="1" applyAlignment="1"/>
    <xf numFmtId="0" fontId="0" fillId="21" borderId="0" xfId="0" applyFill="1" applyBorder="1"/>
    <xf numFmtId="0" fontId="0" fillId="21" borderId="6" xfId="0" applyFill="1" applyBorder="1"/>
    <xf numFmtId="0" fontId="0" fillId="21" borderId="7" xfId="0" applyFill="1" applyBorder="1" applyAlignment="1"/>
    <xf numFmtId="0" fontId="0" fillId="21" borderId="4" xfId="0" applyFill="1" applyBorder="1"/>
    <xf numFmtId="2" fontId="0" fillId="22" borderId="0" xfId="0" applyNumberFormat="1" applyFill="1" applyBorder="1" applyAlignment="1">
      <alignment horizontal="center"/>
    </xf>
    <xf numFmtId="2" fontId="0" fillId="14" borderId="25" xfId="0" applyNumberFormat="1" applyFill="1" applyBorder="1" applyAlignment="1">
      <alignment horizontal="center"/>
    </xf>
    <xf numFmtId="2" fontId="0" fillId="14" borderId="65" xfId="0" applyNumberFormat="1" applyFill="1" applyBorder="1" applyAlignment="1">
      <alignment horizontal="center"/>
    </xf>
    <xf numFmtId="2" fontId="0" fillId="22" borderId="23" xfId="0" applyNumberFormat="1" applyFill="1" applyBorder="1" applyAlignment="1">
      <alignment horizontal="center"/>
    </xf>
    <xf numFmtId="165" fontId="19" fillId="0" borderId="0" xfId="0" applyNumberFormat="1" applyFont="1" applyFill="1" applyBorder="1" applyAlignment="1">
      <alignment horizontal="right"/>
    </xf>
    <xf numFmtId="165" fontId="19" fillId="0" borderId="0" xfId="1" applyNumberFormat="1" applyFont="1" applyFill="1" applyBorder="1" applyAlignment="1">
      <alignment horizontal="right"/>
    </xf>
    <xf numFmtId="2" fontId="0" fillId="22" borderId="48" xfId="0" applyNumberFormat="1" applyFill="1" applyBorder="1" applyAlignment="1">
      <alignment horizontal="center"/>
    </xf>
    <xf numFmtId="2" fontId="0" fillId="14" borderId="20" xfId="0" applyNumberFormat="1" applyFill="1" applyBorder="1" applyAlignment="1">
      <alignment horizontal="center" wrapText="1"/>
    </xf>
    <xf numFmtId="2" fontId="0" fillId="22" borderId="8" xfId="0" applyNumberFormat="1" applyFill="1" applyBorder="1" applyAlignment="1">
      <alignment horizontal="center"/>
    </xf>
    <xf numFmtId="2" fontId="0" fillId="22" borderId="36" xfId="0" applyNumberFormat="1" applyFill="1" applyBorder="1" applyAlignment="1">
      <alignment horizontal="center" wrapText="1"/>
    </xf>
    <xf numFmtId="2" fontId="0" fillId="22" borderId="8" xfId="0" applyNumberFormat="1" applyFill="1" applyBorder="1" applyAlignment="1">
      <alignment horizontal="center" wrapText="1"/>
    </xf>
    <xf numFmtId="2" fontId="0" fillId="14" borderId="41" xfId="0" applyNumberFormat="1" applyFill="1" applyBorder="1" applyAlignment="1">
      <alignment horizontal="center" wrapText="1"/>
    </xf>
    <xf numFmtId="166" fontId="0" fillId="6" borderId="58" xfId="1" applyNumberFormat="1" applyFont="1" applyFill="1" applyBorder="1" applyAlignment="1">
      <alignment horizontal="center"/>
    </xf>
    <xf numFmtId="2" fontId="0" fillId="22" borderId="56" xfId="0" applyNumberFormat="1" applyFill="1" applyBorder="1" applyAlignment="1">
      <alignment horizontal="center"/>
    </xf>
    <xf numFmtId="2" fontId="0" fillId="14" borderId="66" xfId="0" applyNumberFormat="1" applyFill="1" applyBorder="1" applyAlignment="1">
      <alignment horizontal="center"/>
    </xf>
    <xf numFmtId="2" fontId="0" fillId="22" borderId="58" xfId="0" applyNumberFormat="1" applyFill="1" applyBorder="1" applyAlignment="1">
      <alignment horizontal="center"/>
    </xf>
    <xf numFmtId="2" fontId="0" fillId="14" borderId="57" xfId="0" applyNumberFormat="1" applyFill="1" applyBorder="1" applyAlignment="1">
      <alignment horizontal="center"/>
    </xf>
    <xf numFmtId="2" fontId="0" fillId="14" borderId="20" xfId="0" applyNumberFormat="1" applyFill="1" applyBorder="1" applyAlignment="1">
      <alignment horizontal="center"/>
    </xf>
    <xf numFmtId="2" fontId="0" fillId="21" borderId="7" xfId="0" applyNumberFormat="1" applyFill="1" applyBorder="1" applyAlignment="1"/>
    <xf numFmtId="2" fontId="0" fillId="21" borderId="4" xfId="0" applyNumberFormat="1" applyFill="1" applyBorder="1"/>
    <xf numFmtId="0" fontId="0" fillId="21" borderId="2" xfId="0" applyFill="1" applyBorder="1"/>
    <xf numFmtId="0" fontId="0" fillId="21" borderId="9" xfId="0" applyFill="1" applyBorder="1"/>
    <xf numFmtId="167" fontId="0" fillId="12" borderId="15" xfId="0" applyNumberFormat="1" applyFill="1" applyBorder="1" applyAlignment="1"/>
    <xf numFmtId="167" fontId="0" fillId="12" borderId="17" xfId="0" applyNumberFormat="1" applyFill="1" applyBorder="1" applyAlignment="1"/>
    <xf numFmtId="2" fontId="0" fillId="2" borderId="12" xfId="0" applyNumberFormat="1" applyFill="1" applyBorder="1" applyAlignment="1"/>
    <xf numFmtId="2" fontId="0" fillId="7" borderId="4" xfId="0" applyNumberFormat="1" applyFill="1" applyBorder="1" applyAlignment="1"/>
    <xf numFmtId="2" fontId="0" fillId="2" borderId="22" xfId="0" applyNumberFormat="1" applyFill="1" applyBorder="1" applyAlignment="1"/>
    <xf numFmtId="2" fontId="0" fillId="7" borderId="6" xfId="0" applyNumberFormat="1" applyFill="1" applyBorder="1" applyAlignment="1"/>
    <xf numFmtId="2" fontId="0" fillId="2" borderId="41" xfId="0" applyNumberFormat="1" applyFill="1" applyBorder="1" applyAlignment="1"/>
    <xf numFmtId="2" fontId="0" fillId="7" borderId="35" xfId="0" applyNumberFormat="1" applyFill="1" applyBorder="1" applyAlignment="1"/>
    <xf numFmtId="2" fontId="0" fillId="2" borderId="28" xfId="0" applyNumberFormat="1" applyFill="1" applyBorder="1" applyAlignment="1"/>
    <xf numFmtId="2" fontId="0" fillId="2" borderId="17" xfId="0" applyNumberFormat="1" applyFill="1" applyBorder="1" applyAlignment="1"/>
    <xf numFmtId="2" fontId="0" fillId="0" borderId="0" xfId="1" applyNumberFormat="1" applyFont="1" applyBorder="1" applyAlignment="1"/>
    <xf numFmtId="2" fontId="0" fillId="0" borderId="9" xfId="0" applyNumberFormat="1" applyBorder="1" applyAlignment="1"/>
    <xf numFmtId="10" fontId="0" fillId="0" borderId="0" xfId="0" applyNumberFormat="1" applyBorder="1" applyAlignment="1"/>
    <xf numFmtId="0" fontId="0" fillId="0" borderId="5" xfId="0" applyFill="1" applyBorder="1"/>
    <xf numFmtId="0" fontId="0" fillId="0" borderId="6" xfId="0" applyFill="1" applyBorder="1"/>
    <xf numFmtId="0" fontId="0" fillId="23" borderId="0" xfId="0" applyFill="1" applyBorder="1" applyAlignment="1"/>
    <xf numFmtId="168" fontId="0" fillId="0" borderId="0" xfId="0" applyNumberFormat="1" applyBorder="1" applyAlignment="1"/>
    <xf numFmtId="169" fontId="0" fillId="0" borderId="0" xfId="0" applyNumberFormat="1" applyBorder="1" applyAlignment="1"/>
    <xf numFmtId="172" fontId="0" fillId="0" borderId="0" xfId="0" applyNumberFormat="1" applyBorder="1" applyAlignment="1"/>
    <xf numFmtId="173" fontId="0" fillId="0" borderId="0" xfId="0" applyNumberFormat="1" applyBorder="1" applyAlignment="1"/>
    <xf numFmtId="167" fontId="0" fillId="0" borderId="0" xfId="0" applyNumberFormat="1" applyFill="1" applyBorder="1" applyAlignment="1"/>
    <xf numFmtId="166" fontId="0" fillId="21" borderId="30" xfId="1" applyNumberFormat="1" applyFont="1" applyFill="1" applyBorder="1"/>
    <xf numFmtId="166" fontId="0" fillId="21" borderId="31" xfId="1" applyNumberFormat="1" applyFont="1" applyFill="1" applyBorder="1" applyAlignment="1"/>
    <xf numFmtId="9" fontId="0" fillId="21" borderId="18" xfId="1" applyNumberFormat="1" applyFont="1" applyFill="1" applyBorder="1" applyAlignment="1">
      <alignment horizontal="center"/>
    </xf>
    <xf numFmtId="9" fontId="0" fillId="21" borderId="23" xfId="1" applyNumberFormat="1" applyFont="1" applyFill="1" applyBorder="1" applyAlignment="1">
      <alignment horizontal="center"/>
    </xf>
    <xf numFmtId="9" fontId="0" fillId="21" borderId="19" xfId="1" applyNumberFormat="1" applyFont="1" applyFill="1" applyBorder="1" applyAlignment="1">
      <alignment horizontal="center"/>
    </xf>
    <xf numFmtId="9" fontId="0" fillId="21" borderId="27" xfId="1" applyNumberFormat="1" applyFont="1" applyFill="1" applyBorder="1" applyAlignment="1"/>
    <xf numFmtId="9" fontId="0" fillId="21" borderId="7" xfId="1" applyNumberFormat="1" applyFont="1" applyFill="1" applyBorder="1" applyAlignment="1"/>
    <xf numFmtId="0" fontId="0" fillId="0" borderId="0" xfId="0" applyBorder="1" applyAlignment="1">
      <alignment horizontal="center" wrapText="1"/>
    </xf>
    <xf numFmtId="0" fontId="0" fillId="0" borderId="0" xfId="0" applyAlignment="1">
      <alignment horizontal="center" wrapText="1"/>
    </xf>
    <xf numFmtId="0" fontId="0" fillId="0" borderId="23" xfId="0" applyBorder="1" applyAlignment="1">
      <alignment horizontal="center"/>
    </xf>
    <xf numFmtId="0" fontId="0" fillId="0" borderId="19" xfId="0" applyBorder="1" applyAlignment="1">
      <alignment horizontal="center"/>
    </xf>
    <xf numFmtId="0" fontId="21" fillId="0" borderId="0" xfId="0" applyFont="1" applyBorder="1"/>
    <xf numFmtId="0" fontId="0" fillId="8" borderId="10" xfId="0" applyFill="1" applyBorder="1" applyAlignment="1">
      <alignment horizontal="left" vertical="center"/>
    </xf>
    <xf numFmtId="0" fontId="0" fillId="8" borderId="11" xfId="0" applyFill="1" applyBorder="1" applyAlignment="1">
      <alignment horizontal="left" vertical="center"/>
    </xf>
    <xf numFmtId="0" fontId="0" fillId="8" borderId="29" xfId="0" applyFill="1" applyBorder="1" applyAlignment="1">
      <alignment horizontal="left" vertical="center"/>
    </xf>
    <xf numFmtId="0" fontId="0" fillId="0" borderId="47" xfId="0" applyBorder="1" applyAlignment="1">
      <alignment horizontal="left" vertical="center"/>
    </xf>
    <xf numFmtId="0" fontId="0" fillId="0" borderId="11" xfId="0" applyBorder="1" applyAlignment="1">
      <alignment horizontal="left" vertical="center"/>
    </xf>
    <xf numFmtId="0" fontId="0" fillId="0" borderId="29" xfId="0" applyBorder="1" applyAlignment="1">
      <alignment horizontal="left" vertical="center"/>
    </xf>
    <xf numFmtId="0" fontId="0" fillId="0" borderId="12" xfId="0" applyBorder="1" applyAlignment="1">
      <alignment horizontal="left" vertical="center"/>
    </xf>
    <xf numFmtId="9" fontId="0" fillId="20" borderId="20" xfId="1" applyNumberFormat="1" applyFont="1" applyFill="1" applyBorder="1" applyAlignment="1">
      <alignment horizontal="center"/>
    </xf>
    <xf numFmtId="9" fontId="0" fillId="15" borderId="14" xfId="1" applyNumberFormat="1" applyFont="1" applyFill="1" applyBorder="1" applyAlignment="1">
      <alignment horizontal="center"/>
    </xf>
    <xf numFmtId="9" fontId="0" fillId="15" borderId="20" xfId="1" applyNumberFormat="1" applyFont="1" applyFill="1" applyBorder="1" applyAlignment="1">
      <alignment horizontal="center"/>
    </xf>
    <xf numFmtId="9" fontId="0" fillId="17" borderId="41" xfId="1" applyNumberFormat="1" applyFont="1" applyFill="1" applyBorder="1" applyAlignment="1">
      <alignment horizontal="center"/>
    </xf>
    <xf numFmtId="166" fontId="0" fillId="20" borderId="26" xfId="1" applyNumberFormat="1" applyFont="1" applyFill="1" applyBorder="1" applyAlignment="1">
      <alignment horizontal="center"/>
    </xf>
    <xf numFmtId="166" fontId="0" fillId="15" borderId="4" xfId="1" applyNumberFormat="1" applyFont="1" applyFill="1" applyBorder="1" applyAlignment="1">
      <alignment horizontal="center"/>
    </xf>
    <xf numFmtId="166" fontId="0" fillId="15" borderId="26" xfId="1" applyNumberFormat="1" applyFont="1" applyFill="1" applyBorder="1" applyAlignment="1">
      <alignment horizontal="center"/>
    </xf>
    <xf numFmtId="166" fontId="0" fillId="17" borderId="39" xfId="1" applyNumberFormat="1" applyFont="1" applyFill="1" applyBorder="1" applyAlignment="1">
      <alignment horizontal="center"/>
    </xf>
    <xf numFmtId="165" fontId="0" fillId="2" borderId="12" xfId="0" applyNumberFormat="1" applyFill="1" applyBorder="1" applyAlignment="1"/>
    <xf numFmtId="9" fontId="0" fillId="20" borderId="25" xfId="1" applyNumberFormat="1" applyFont="1" applyFill="1" applyBorder="1" applyAlignment="1">
      <alignment horizontal="center"/>
    </xf>
    <xf numFmtId="166" fontId="0" fillId="15" borderId="6" xfId="1" applyNumberFormat="1" applyFont="1" applyFill="1" applyBorder="1" applyAlignment="1">
      <alignment horizontal="center"/>
    </xf>
    <xf numFmtId="166" fontId="0" fillId="15" borderId="25" xfId="1" applyNumberFormat="1" applyFont="1" applyFill="1" applyBorder="1" applyAlignment="1">
      <alignment horizontal="center"/>
    </xf>
    <xf numFmtId="166" fontId="0" fillId="17" borderId="22" xfId="1" applyNumberFormat="1" applyFont="1" applyFill="1" applyBorder="1" applyAlignment="1">
      <alignment horizontal="center"/>
    </xf>
    <xf numFmtId="165" fontId="0" fillId="2" borderId="22" xfId="0" applyNumberFormat="1" applyFill="1" applyBorder="1" applyAlignment="1"/>
    <xf numFmtId="1" fontId="0" fillId="5" borderId="21" xfId="0" applyNumberFormat="1" applyFill="1" applyBorder="1" applyAlignment="1">
      <alignment horizontal="center"/>
    </xf>
    <xf numFmtId="9" fontId="0" fillId="15" borderId="6" xfId="1" applyNumberFormat="1" applyFont="1" applyFill="1" applyBorder="1" applyAlignment="1">
      <alignment horizontal="center"/>
    </xf>
    <xf numFmtId="9" fontId="0" fillId="15" borderId="25" xfId="1" applyNumberFormat="1" applyFont="1" applyFill="1" applyBorder="1" applyAlignment="1">
      <alignment horizontal="center"/>
    </xf>
    <xf numFmtId="9" fontId="0" fillId="17" borderId="22" xfId="1" applyNumberFormat="1" applyFont="1" applyFill="1" applyBorder="1" applyAlignment="1">
      <alignment horizontal="center"/>
    </xf>
    <xf numFmtId="2" fontId="0" fillId="0" borderId="6" xfId="0" applyNumberFormat="1" applyBorder="1"/>
    <xf numFmtId="0" fontId="0" fillId="18" borderId="0" xfId="0" applyFill="1" applyBorder="1"/>
    <xf numFmtId="1" fontId="0" fillId="4" borderId="0" xfId="0" applyNumberFormat="1" applyFill="1" applyBorder="1" applyAlignment="1">
      <alignment horizontal="center"/>
    </xf>
    <xf numFmtId="1" fontId="0" fillId="3" borderId="0" xfId="0" applyNumberFormat="1" applyFill="1" applyBorder="1" applyAlignment="1">
      <alignment horizontal="center"/>
    </xf>
    <xf numFmtId="1" fontId="0" fillId="6" borderId="6" xfId="0" applyNumberFormat="1" applyFill="1" applyBorder="1" applyAlignment="1">
      <alignment horizontal="center"/>
    </xf>
    <xf numFmtId="0" fontId="0" fillId="0" borderId="6" xfId="0" applyFill="1" applyBorder="1" applyAlignment="1"/>
    <xf numFmtId="0" fontId="0" fillId="12" borderId="0" xfId="0" applyFill="1" applyBorder="1"/>
    <xf numFmtId="2" fontId="0" fillId="0" borderId="5" xfId="0" applyNumberFormat="1" applyBorder="1" applyAlignment="1"/>
    <xf numFmtId="2" fontId="0" fillId="0" borderId="6" xfId="0" applyNumberFormat="1" applyFill="1" applyBorder="1" applyAlignment="1"/>
    <xf numFmtId="165" fontId="0" fillId="2" borderId="41" xfId="0" applyNumberFormat="1" applyFill="1" applyBorder="1" applyAlignment="1"/>
    <xf numFmtId="9" fontId="0" fillId="20" borderId="65" xfId="1" applyNumberFormat="1" applyFont="1" applyFill="1" applyBorder="1" applyAlignment="1">
      <alignment horizontal="center"/>
    </xf>
    <xf numFmtId="0" fontId="0" fillId="15" borderId="49" xfId="1" applyNumberFormat="1" applyFont="1" applyFill="1" applyBorder="1" applyAlignment="1">
      <alignment horizontal="center"/>
    </xf>
    <xf numFmtId="9" fontId="0" fillId="15" borderId="65" xfId="1" applyNumberFormat="1" applyFont="1" applyFill="1" applyBorder="1" applyAlignment="1">
      <alignment horizontal="center"/>
    </xf>
    <xf numFmtId="9" fontId="0" fillId="17" borderId="19" xfId="1" applyNumberFormat="1" applyFont="1" applyFill="1" applyBorder="1" applyAlignment="1">
      <alignment horizontal="center"/>
    </xf>
    <xf numFmtId="0" fontId="1" fillId="0" borderId="0" xfId="0" applyFont="1" applyBorder="1" applyAlignment="1"/>
    <xf numFmtId="0" fontId="21" fillId="0" borderId="11" xfId="0" applyFont="1" applyBorder="1"/>
    <xf numFmtId="0" fontId="1" fillId="0" borderId="11" xfId="0" applyFont="1" applyBorder="1" applyAlignment="1"/>
    <xf numFmtId="10" fontId="0" fillId="0" borderId="11" xfId="0" applyNumberFormat="1" applyFill="1" applyBorder="1" applyAlignment="1"/>
    <xf numFmtId="10" fontId="0" fillId="0" borderId="11" xfId="0" applyNumberFormat="1" applyFill="1" applyBorder="1"/>
    <xf numFmtId="0" fontId="0" fillId="0" borderId="11" xfId="0" applyFill="1" applyBorder="1"/>
    <xf numFmtId="0" fontId="0" fillId="0" borderId="12" xfId="0" applyFill="1" applyBorder="1"/>
    <xf numFmtId="0" fontId="0" fillId="0" borderId="22" xfId="0" applyFill="1" applyBorder="1"/>
    <xf numFmtId="10" fontId="0" fillId="0" borderId="0" xfId="0" applyNumberFormat="1" applyBorder="1"/>
    <xf numFmtId="0" fontId="1" fillId="0" borderId="0" xfId="0" applyFont="1" applyFill="1" applyBorder="1" applyAlignment="1">
      <alignment horizontal="left" vertical="center"/>
    </xf>
    <xf numFmtId="0" fontId="1" fillId="0" borderId="22" xfId="0" applyFont="1" applyFill="1" applyBorder="1" applyAlignment="1">
      <alignment horizontal="left" vertical="center"/>
    </xf>
    <xf numFmtId="0" fontId="0" fillId="18" borderId="0" xfId="0" applyFill="1" applyBorder="1" applyAlignment="1">
      <alignment horizontal="left" vertical="center"/>
    </xf>
    <xf numFmtId="10" fontId="0" fillId="5" borderId="0" xfId="1" applyNumberFormat="1" applyFont="1" applyFill="1" applyBorder="1" applyAlignment="1"/>
    <xf numFmtId="10" fontId="0" fillId="4" borderId="0" xfId="1" applyNumberFormat="1" applyFont="1" applyFill="1" applyBorder="1" applyAlignment="1"/>
    <xf numFmtId="166" fontId="0" fillId="20" borderId="0" xfId="1" applyNumberFormat="1" applyFont="1" applyFill="1" applyBorder="1"/>
    <xf numFmtId="0" fontId="1" fillId="0" borderId="0" xfId="0" applyFont="1" applyBorder="1"/>
    <xf numFmtId="10" fontId="0" fillId="3" borderId="0" xfId="1" applyNumberFormat="1" applyFont="1" applyFill="1" applyBorder="1" applyAlignment="1"/>
    <xf numFmtId="10" fontId="0" fillId="6" borderId="0" xfId="1" applyNumberFormat="1" applyFont="1" applyFill="1" applyBorder="1" applyAlignment="1"/>
    <xf numFmtId="166" fontId="0" fillId="0" borderId="0" xfId="1" applyNumberFormat="1" applyFont="1" applyFill="1" applyBorder="1"/>
    <xf numFmtId="174" fontId="0" fillId="0" borderId="0" xfId="0" applyNumberFormat="1" applyBorder="1"/>
    <xf numFmtId="164" fontId="0" fillId="0" borderId="0" xfId="0" applyNumberFormat="1" applyFill="1" applyBorder="1" applyAlignment="1">
      <alignment horizontal="center"/>
    </xf>
    <xf numFmtId="164" fontId="0" fillId="0" borderId="22" xfId="0" applyNumberFormat="1" applyFill="1" applyBorder="1" applyAlignment="1">
      <alignment horizontal="center"/>
    </xf>
    <xf numFmtId="0" fontId="0" fillId="0" borderId="0" xfId="0" applyFill="1" applyBorder="1" applyAlignment="1">
      <alignment horizontal="center" wrapText="1"/>
    </xf>
    <xf numFmtId="174" fontId="0" fillId="0" borderId="10" xfId="0" applyNumberFormat="1" applyBorder="1"/>
    <xf numFmtId="164" fontId="16" fillId="0" borderId="0" xfId="0" applyNumberFormat="1" applyFont="1" applyFill="1" applyBorder="1" applyAlignment="1">
      <alignment horizontal="center"/>
    </xf>
    <xf numFmtId="164" fontId="16" fillId="0" borderId="22" xfId="0" applyNumberFormat="1" applyFont="1" applyFill="1" applyBorder="1" applyAlignment="1">
      <alignment horizontal="center"/>
    </xf>
    <xf numFmtId="0" fontId="0" fillId="18" borderId="0" xfId="0" applyFill="1" applyBorder="1" applyAlignment="1">
      <alignment horizontal="left"/>
    </xf>
    <xf numFmtId="167" fontId="0" fillId="24" borderId="0" xfId="0" applyNumberFormat="1" applyFill="1" applyBorder="1" applyAlignment="1">
      <alignment horizontal="center"/>
    </xf>
    <xf numFmtId="0" fontId="0" fillId="3" borderId="10" xfId="0" applyFill="1" applyBorder="1" applyAlignment="1"/>
    <xf numFmtId="0" fontId="0" fillId="3" borderId="21" xfId="0" applyFill="1" applyBorder="1" applyAlignment="1"/>
    <xf numFmtId="0" fontId="0" fillId="3" borderId="18" xfId="0" applyFill="1" applyBorder="1" applyAlignment="1"/>
    <xf numFmtId="164" fontId="0" fillId="0" borderId="10" xfId="0" applyNumberFormat="1" applyBorder="1" applyAlignment="1">
      <alignment horizontal="center"/>
    </xf>
    <xf numFmtId="164" fontId="0" fillId="0" borderId="11" xfId="0" applyNumberFormat="1" applyBorder="1" applyAlignment="1">
      <alignment horizontal="center"/>
    </xf>
    <xf numFmtId="164" fontId="0" fillId="0" borderId="12"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6" fontId="0" fillId="0" borderId="21" xfId="1" applyNumberFormat="1" applyFont="1" applyBorder="1" applyAlignment="1">
      <alignment horizontal="center"/>
    </xf>
    <xf numFmtId="166" fontId="0" fillId="0" borderId="22" xfId="1" applyNumberFormat="1" applyFont="1" applyBorder="1" applyAlignment="1">
      <alignment horizontal="center"/>
    </xf>
    <xf numFmtId="166" fontId="0" fillId="0" borderId="18" xfId="1" applyNumberFormat="1" applyFont="1" applyBorder="1" applyAlignment="1">
      <alignment horizontal="center"/>
    </xf>
    <xf numFmtId="166" fontId="0" fillId="0" borderId="23" xfId="1" applyNumberFormat="1" applyFont="1" applyBorder="1" applyAlignment="1">
      <alignment horizontal="center"/>
    </xf>
    <xf numFmtId="166" fontId="0" fillId="0" borderId="19" xfId="1" applyNumberFormat="1" applyFont="1" applyBorder="1" applyAlignment="1">
      <alignment horizontal="center"/>
    </xf>
    <xf numFmtId="166" fontId="0" fillId="21" borderId="10" xfId="0" applyNumberFormat="1" applyFill="1" applyBorder="1" applyAlignment="1"/>
    <xf numFmtId="166" fontId="0" fillId="21" borderId="12" xfId="0" applyNumberFormat="1" applyFill="1" applyBorder="1" applyAlignment="1"/>
    <xf numFmtId="166" fontId="0" fillId="0" borderId="18" xfId="0" applyNumberFormat="1" applyBorder="1" applyAlignment="1"/>
    <xf numFmtId="166" fontId="0" fillId="0" borderId="19" xfId="0" applyNumberFormat="1" applyBorder="1" applyAlignment="1"/>
    <xf numFmtId="10" fontId="0" fillId="0" borderId="22" xfId="0" applyNumberFormat="1" applyFill="1" applyBorder="1"/>
    <xf numFmtId="166" fontId="0" fillId="22" borderId="0" xfId="1" applyNumberFormat="1" applyFont="1" applyFill="1" applyBorder="1" applyAlignment="1"/>
    <xf numFmtId="166" fontId="0" fillId="0" borderId="0" xfId="0" applyNumberFormat="1" applyFill="1" applyBorder="1" applyAlignment="1"/>
    <xf numFmtId="0" fontId="0" fillId="0" borderId="0" xfId="0" applyFill="1" applyBorder="1" applyAlignment="1">
      <alignment horizontal="left"/>
    </xf>
    <xf numFmtId="0" fontId="0" fillId="0" borderId="21" xfId="0" applyBorder="1" applyAlignment="1"/>
    <xf numFmtId="166" fontId="20" fillId="25" borderId="0" xfId="0" applyNumberFormat="1" applyFont="1" applyFill="1" applyBorder="1" applyAlignment="1"/>
    <xf numFmtId="0" fontId="0" fillId="0" borderId="22" xfId="0" applyFill="1" applyBorder="1" applyAlignment="1"/>
    <xf numFmtId="0" fontId="0" fillId="12" borderId="0" xfId="0" applyFill="1" applyBorder="1" applyAlignment="1">
      <alignment horizontal="left" vertical="center"/>
    </xf>
    <xf numFmtId="10" fontId="0" fillId="26" borderId="0" xfId="0" applyNumberFormat="1" applyFill="1" applyBorder="1"/>
    <xf numFmtId="174" fontId="0" fillId="0" borderId="0" xfId="0" applyNumberFormat="1" applyFill="1" applyBorder="1"/>
    <xf numFmtId="0" fontId="0" fillId="12" borderId="0" xfId="0" applyFill="1" applyBorder="1" applyAlignment="1">
      <alignment horizontal="left"/>
    </xf>
    <xf numFmtId="0" fontId="0" fillId="0" borderId="23" xfId="0" applyBorder="1" applyAlignment="1">
      <alignment horizontal="center"/>
    </xf>
    <xf numFmtId="0" fontId="0" fillId="0" borderId="19" xfId="0" applyBorder="1" applyAlignment="1">
      <alignment horizontal="center"/>
    </xf>
    <xf numFmtId="0" fontId="0" fillId="20" borderId="15" xfId="0" applyFill="1" applyBorder="1" applyAlignment="1">
      <alignment horizontal="center"/>
    </xf>
    <xf numFmtId="0" fontId="0" fillId="20" borderId="17" xfId="0" applyFill="1" applyBorder="1" applyAlignment="1">
      <alignment horizontal="center"/>
    </xf>
    <xf numFmtId="0" fontId="0" fillId="0" borderId="5" xfId="0" applyFill="1" applyBorder="1" applyAlignment="1"/>
    <xf numFmtId="0" fontId="0" fillId="0" borderId="3" xfId="0" applyFill="1" applyBorder="1" applyAlignment="1"/>
    <xf numFmtId="0" fontId="0" fillId="20" borderId="28" xfId="0" applyFill="1" applyBorder="1" applyAlignment="1">
      <alignment horizontal="center"/>
    </xf>
    <xf numFmtId="0" fontId="0" fillId="0" borderId="0" xfId="0" applyBorder="1" applyAlignment="1">
      <alignment horizontal="center"/>
    </xf>
    <xf numFmtId="0" fontId="1" fillId="17" borderId="44" xfId="0" applyFont="1" applyFill="1" applyBorder="1"/>
    <xf numFmtId="0" fontId="1" fillId="17" borderId="46" xfId="0" applyFont="1" applyFill="1" applyBorder="1"/>
    <xf numFmtId="0" fontId="1" fillId="17" borderId="45" xfId="0" applyFont="1" applyFill="1" applyBorder="1"/>
    <xf numFmtId="0" fontId="1" fillId="17" borderId="42" xfId="0" applyFont="1" applyFill="1" applyBorder="1"/>
    <xf numFmtId="0" fontId="1" fillId="17" borderId="55" xfId="0" applyFont="1" applyFill="1" applyBorder="1"/>
    <xf numFmtId="0" fontId="1" fillId="17" borderId="32" xfId="0" applyFont="1" applyFill="1" applyBorder="1"/>
    <xf numFmtId="0" fontId="1" fillId="0" borderId="0" xfId="0" applyFont="1" applyFill="1" applyBorder="1"/>
    <xf numFmtId="2" fontId="0" fillId="0" borderId="5" xfId="0" applyNumberFormat="1" applyBorder="1" applyAlignment="1">
      <alignment horizontal="center"/>
    </xf>
    <xf numFmtId="2" fontId="0" fillId="0" borderId="0" xfId="0" applyNumberFormat="1" applyBorder="1" applyAlignment="1">
      <alignment horizontal="center"/>
    </xf>
    <xf numFmtId="2" fontId="0" fillId="0" borderId="6" xfId="0" applyNumberFormat="1" applyBorder="1" applyAlignment="1">
      <alignment horizontal="center"/>
    </xf>
    <xf numFmtId="2" fontId="0" fillId="0" borderId="16" xfId="0" applyNumberFormat="1" applyBorder="1" applyAlignment="1">
      <alignment horizontal="center"/>
    </xf>
    <xf numFmtId="1" fontId="0" fillId="0" borderId="0" xfId="0" applyNumberFormat="1"/>
    <xf numFmtId="2" fontId="0" fillId="0" borderId="67" xfId="0" applyNumberFormat="1" applyBorder="1" applyAlignment="1">
      <alignment horizontal="center"/>
    </xf>
    <xf numFmtId="2" fontId="0" fillId="26" borderId="5" xfId="0" applyNumberFormat="1" applyFill="1" applyBorder="1" applyAlignment="1">
      <alignment horizontal="center"/>
    </xf>
    <xf numFmtId="2" fontId="0" fillId="27" borderId="28" xfId="0" applyNumberFormat="1" applyFill="1" applyBorder="1" applyAlignment="1">
      <alignment horizontal="center"/>
    </xf>
    <xf numFmtId="2" fontId="0" fillId="0" borderId="16" xfId="0" applyNumberFormat="1" applyFill="1" applyBorder="1" applyAlignment="1">
      <alignment horizontal="center"/>
    </xf>
    <xf numFmtId="2" fontId="0" fillId="0" borderId="6" xfId="0" applyNumberFormat="1" applyFill="1" applyBorder="1" applyAlignment="1">
      <alignment horizontal="center"/>
    </xf>
    <xf numFmtId="2" fontId="0" fillId="0" borderId="67" xfId="0" applyNumberFormat="1" applyFill="1" applyBorder="1" applyAlignment="1">
      <alignment horizontal="center"/>
    </xf>
    <xf numFmtId="2" fontId="0" fillId="26" borderId="0" xfId="0" applyNumberFormat="1" applyFill="1" applyBorder="1" applyAlignment="1">
      <alignment horizontal="center"/>
    </xf>
    <xf numFmtId="2" fontId="0" fillId="0" borderId="7" xfId="0" applyNumberFormat="1" applyBorder="1" applyAlignment="1">
      <alignment horizontal="center"/>
    </xf>
    <xf numFmtId="2" fontId="0" fillId="0" borderId="4" xfId="0" applyNumberFormat="1" applyBorder="1" applyAlignment="1">
      <alignment horizontal="center"/>
    </xf>
    <xf numFmtId="1" fontId="0" fillId="0" borderId="7" xfId="0" applyNumberFormat="1" applyBorder="1"/>
    <xf numFmtId="0" fontId="0" fillId="0" borderId="7" xfId="0" applyBorder="1" applyAlignment="1">
      <alignment horizontal="right"/>
    </xf>
    <xf numFmtId="2" fontId="0" fillId="2" borderId="1"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applyAlignment="1">
      <alignment horizontal="center"/>
    </xf>
    <xf numFmtId="1" fontId="0" fillId="0" borderId="0" xfId="0" applyNumberFormat="1" applyBorder="1"/>
    <xf numFmtId="2" fontId="0" fillId="26" borderId="3" xfId="0" applyNumberFormat="1" applyFill="1" applyBorder="1" applyAlignment="1">
      <alignment horizontal="center"/>
    </xf>
    <xf numFmtId="2" fontId="0" fillId="0" borderId="68" xfId="0" applyNumberFormat="1" applyBorder="1" applyAlignment="1">
      <alignment horizontal="center"/>
    </xf>
    <xf numFmtId="2" fontId="0" fillId="2" borderId="9" xfId="0" applyNumberFormat="1" applyFill="1" applyBorder="1" applyAlignment="1">
      <alignment horizontal="center"/>
    </xf>
    <xf numFmtId="2" fontId="0" fillId="2" borderId="2" xfId="0" applyNumberFormat="1" applyFill="1" applyBorder="1" applyAlignment="1">
      <alignment horizontal="center"/>
    </xf>
    <xf numFmtId="2" fontId="0" fillId="0" borderId="69" xfId="0" applyNumberFormat="1" applyBorder="1" applyAlignment="1">
      <alignment horizontal="center"/>
    </xf>
    <xf numFmtId="1" fontId="0" fillId="0" borderId="9" xfId="0" applyNumberFormat="1" applyBorder="1"/>
    <xf numFmtId="0" fontId="0" fillId="0" borderId="9" xfId="0" applyBorder="1" applyAlignment="1">
      <alignment horizontal="right"/>
    </xf>
    <xf numFmtId="2" fontId="0" fillId="5" borderId="53" xfId="0" applyNumberFormat="1" applyFill="1" applyBorder="1" applyAlignment="1">
      <alignment horizontal="center"/>
    </xf>
    <xf numFmtId="2" fontId="0" fillId="4" borderId="9" xfId="0" applyNumberFormat="1" applyFill="1" applyBorder="1" applyAlignment="1">
      <alignment horizontal="center"/>
    </xf>
    <xf numFmtId="2" fontId="0" fillId="3" borderId="9" xfId="0" applyNumberFormat="1" applyFill="1" applyBorder="1" applyAlignment="1">
      <alignment horizontal="center"/>
    </xf>
    <xf numFmtId="2" fontId="0" fillId="6" borderId="70" xfId="0" applyNumberFormat="1" applyFill="1" applyBorder="1" applyAlignment="1">
      <alignment horizontal="center"/>
    </xf>
    <xf numFmtId="2" fontId="0" fillId="0" borderId="39" xfId="0" applyNumberFormat="1" applyBorder="1" applyAlignment="1">
      <alignment horizontal="center"/>
    </xf>
    <xf numFmtId="2" fontId="0" fillId="27" borderId="71" xfId="0" applyNumberFormat="1" applyFill="1" applyBorder="1" applyAlignment="1">
      <alignment horizontal="center"/>
    </xf>
    <xf numFmtId="0" fontId="0" fillId="0" borderId="39" xfId="0" applyBorder="1" applyAlignment="1">
      <alignment horizontal="right"/>
    </xf>
    <xf numFmtId="2" fontId="0" fillId="0" borderId="7" xfId="0" applyNumberFormat="1" applyFill="1" applyBorder="1" applyAlignment="1">
      <alignment horizontal="center"/>
    </xf>
    <xf numFmtId="2" fontId="0" fillId="12" borderId="7" xfId="0" applyNumberFormat="1" applyFill="1" applyBorder="1" applyAlignment="1"/>
    <xf numFmtId="0" fontId="0" fillId="0" borderId="63" xfId="0" applyBorder="1" applyAlignment="1">
      <alignment horizontal="right"/>
    </xf>
    <xf numFmtId="166" fontId="0" fillId="0" borderId="72" xfId="0" applyNumberFormat="1" applyBorder="1"/>
    <xf numFmtId="166" fontId="0" fillId="0" borderId="61" xfId="0" applyNumberFormat="1" applyBorder="1"/>
    <xf numFmtId="166" fontId="0" fillId="0" borderId="73" xfId="0" applyNumberFormat="1" applyBorder="1"/>
    <xf numFmtId="166" fontId="0" fillId="0" borderId="21" xfId="0" applyNumberFormat="1" applyBorder="1"/>
    <xf numFmtId="166" fontId="0" fillId="0" borderId="22" xfId="0" applyNumberFormat="1" applyBorder="1"/>
    <xf numFmtId="166" fontId="0" fillId="0" borderId="74" xfId="0" applyNumberFormat="1" applyBorder="1"/>
    <xf numFmtId="166" fontId="0" fillId="0" borderId="64" xfId="0" applyNumberFormat="1" applyBorder="1"/>
    <xf numFmtId="166" fontId="0" fillId="0" borderId="75" xfId="0" applyNumberFormat="1" applyBorder="1"/>
    <xf numFmtId="166" fontId="0" fillId="0" borderId="27" xfId="0" applyNumberFormat="1" applyBorder="1"/>
    <xf numFmtId="166" fontId="0" fillId="0" borderId="7" xfId="0" applyNumberFormat="1" applyBorder="1"/>
    <xf numFmtId="166" fontId="0" fillId="0" borderId="39" xfId="0" applyNumberFormat="1" applyBorder="1"/>
    <xf numFmtId="166" fontId="0" fillId="0" borderId="18" xfId="0" applyNumberFormat="1" applyBorder="1"/>
    <xf numFmtId="166" fontId="0" fillId="0" borderId="23" xfId="0" applyNumberFormat="1" applyBorder="1"/>
    <xf numFmtId="166" fontId="0" fillId="0" borderId="19" xfId="0" applyNumberFormat="1" applyBorder="1"/>
    <xf numFmtId="2" fontId="0" fillId="0" borderId="29" xfId="0" applyNumberFormat="1" applyBorder="1" applyAlignment="1"/>
    <xf numFmtId="2" fontId="0" fillId="0" borderId="6" xfId="0" applyNumberFormat="1" applyBorder="1" applyAlignment="1"/>
    <xf numFmtId="2" fontId="0" fillId="0" borderId="4" xfId="0" applyNumberFormat="1" applyBorder="1" applyAlignment="1"/>
    <xf numFmtId="2" fontId="0" fillId="24" borderId="0" xfId="0" applyNumberFormat="1" applyFill="1" applyBorder="1" applyAlignment="1">
      <alignment horizontal="center"/>
    </xf>
    <xf numFmtId="167" fontId="0" fillId="0" borderId="0" xfId="0" applyNumberFormat="1" applyFill="1" applyBorder="1" applyAlignment="1">
      <alignment horizontal="center"/>
    </xf>
    <xf numFmtId="167" fontId="0" fillId="0" borderId="0" xfId="0" applyNumberFormat="1" applyFill="1" applyBorder="1" applyAlignment="1">
      <alignment horizontal="left"/>
    </xf>
    <xf numFmtId="164" fontId="0" fillId="0" borderId="0" xfId="0" applyNumberFormat="1"/>
    <xf numFmtId="9" fontId="0" fillId="0" borderId="0" xfId="1" applyNumberFormat="1" applyFont="1"/>
    <xf numFmtId="2"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0" borderId="42" xfId="0" applyBorder="1" applyAlignment="1">
      <alignment horizontal="center" wrapText="1"/>
    </xf>
    <xf numFmtId="0" fontId="0" fillId="0" borderId="43" xfId="0" applyBorder="1" applyAlignment="1">
      <alignment horizontal="center" wrapText="1"/>
    </xf>
    <xf numFmtId="167" fontId="0" fillId="15" borderId="71" xfId="0" applyNumberFormat="1" applyFill="1" applyBorder="1" applyAlignment="1">
      <alignment horizontal="center"/>
    </xf>
    <xf numFmtId="167" fontId="0" fillId="5" borderId="22" xfId="0" applyNumberFormat="1" applyFill="1" applyBorder="1" applyAlignment="1">
      <alignment horizontal="center"/>
    </xf>
    <xf numFmtId="167" fontId="0" fillId="15" borderId="68" xfId="0" applyNumberFormat="1" applyFill="1" applyBorder="1" applyAlignment="1">
      <alignment horizontal="center"/>
    </xf>
    <xf numFmtId="167" fontId="0" fillId="15" borderId="76" xfId="0" applyNumberFormat="1" applyFill="1" applyBorder="1" applyAlignment="1">
      <alignment horizontal="center"/>
    </xf>
    <xf numFmtId="167" fontId="0" fillId="5" borderId="19" xfId="0" applyNumberFormat="1" applyFill="1" applyBorder="1" applyAlignment="1">
      <alignment horizontal="center"/>
    </xf>
    <xf numFmtId="0" fontId="0" fillId="0" borderId="77" xfId="0" applyBorder="1"/>
    <xf numFmtId="0" fontId="0" fillId="0" borderId="78" xfId="0" applyBorder="1" applyAlignment="1">
      <alignment horizontal="center"/>
    </xf>
    <xf numFmtId="0" fontId="0" fillId="0" borderId="32" xfId="0" applyBorder="1" applyAlignment="1">
      <alignment horizontal="center"/>
    </xf>
    <xf numFmtId="0" fontId="0" fillId="0" borderId="43" xfId="0" applyBorder="1" applyAlignment="1">
      <alignment horizontal="center"/>
    </xf>
    <xf numFmtId="2" fontId="0" fillId="0" borderId="22" xfId="0" applyNumberFormat="1" applyBorder="1" applyAlignment="1">
      <alignment horizontal="center"/>
    </xf>
    <xf numFmtId="2" fontId="0" fillId="0" borderId="38" xfId="0" applyNumberFormat="1" applyBorder="1" applyAlignment="1">
      <alignment horizontal="center"/>
    </xf>
    <xf numFmtId="2" fontId="0" fillId="0" borderId="23" xfId="0" applyNumberFormat="1" applyBorder="1" applyAlignment="1">
      <alignment horizontal="center"/>
    </xf>
    <xf numFmtId="2" fontId="0" fillId="0" borderId="19" xfId="0" applyNumberFormat="1" applyBorder="1" applyAlignment="1">
      <alignment horizontal="center"/>
    </xf>
    <xf numFmtId="0" fontId="0" fillId="0" borderId="13" xfId="0" applyBorder="1"/>
    <xf numFmtId="165" fontId="0" fillId="0" borderId="21" xfId="0" applyNumberFormat="1" applyBorder="1" applyAlignment="1">
      <alignment horizontal="center"/>
    </xf>
    <xf numFmtId="166" fontId="0" fillId="0" borderId="5" xfId="0" applyNumberFormat="1" applyBorder="1" applyAlignment="1">
      <alignment horizontal="center"/>
    </xf>
    <xf numFmtId="166" fontId="0" fillId="0" borderId="0" xfId="0" applyNumberFormat="1" applyBorder="1" applyAlignment="1">
      <alignment horizontal="center"/>
    </xf>
    <xf numFmtId="166" fontId="0" fillId="0" borderId="22" xfId="0" applyNumberFormat="1" applyBorder="1" applyAlignment="1">
      <alignment horizontal="center"/>
    </xf>
    <xf numFmtId="165" fontId="0" fillId="0" borderId="18" xfId="0" applyNumberFormat="1" applyBorder="1" applyAlignment="1">
      <alignment horizontal="center"/>
    </xf>
    <xf numFmtId="166" fontId="0" fillId="0" borderId="38" xfId="0" applyNumberFormat="1" applyBorder="1" applyAlignment="1">
      <alignment horizontal="center"/>
    </xf>
    <xf numFmtId="166" fontId="0" fillId="0" borderId="23" xfId="0" applyNumberFormat="1" applyBorder="1" applyAlignment="1">
      <alignment horizontal="center"/>
    </xf>
    <xf numFmtId="166" fontId="0" fillId="0" borderId="19" xfId="0" applyNumberFormat="1" applyBorder="1" applyAlignment="1">
      <alignment horizontal="center"/>
    </xf>
    <xf numFmtId="0" fontId="22" fillId="0" borderId="0" xfId="0" applyFont="1"/>
    <xf numFmtId="0" fontId="23" fillId="0" borderId="0" xfId="0" applyFont="1"/>
    <xf numFmtId="166" fontId="0" fillId="20" borderId="25" xfId="1" applyNumberFormat="1" applyFont="1" applyFill="1" applyBorder="1" applyAlignment="1">
      <alignment horizontal="center"/>
    </xf>
    <xf numFmtId="166" fontId="24" fillId="20" borderId="0" xfId="1" applyNumberFormat="1" applyFont="1" applyFill="1" applyBorder="1"/>
    <xf numFmtId="166" fontId="24" fillId="0" borderId="0" xfId="1" applyNumberFormat="1" applyFont="1" applyFill="1" applyBorder="1"/>
    <xf numFmtId="0" fontId="0" fillId="0" borderId="0" xfId="0" applyFont="1" applyFill="1" applyBorder="1"/>
    <xf numFmtId="0" fontId="0" fillId="0" borderId="0" xfId="0" applyFont="1" applyFill="1" applyBorder="1" applyAlignment="1">
      <alignment horizontal="right"/>
    </xf>
    <xf numFmtId="166" fontId="24" fillId="0" borderId="0" xfId="1" applyNumberFormat="1" applyFont="1" applyAlignment="1"/>
    <xf numFmtId="0" fontId="0" fillId="0" borderId="0" xfId="0" applyFont="1" applyFill="1" applyBorder="1" applyAlignment="1">
      <alignment horizontal="center" wrapText="1"/>
    </xf>
    <xf numFmtId="0" fontId="25" fillId="0" borderId="0" xfId="0" applyFont="1" applyFill="1" applyBorder="1" applyAlignment="1">
      <alignment horizontal="right"/>
    </xf>
    <xf numFmtId="166" fontId="0" fillId="26" borderId="52" xfId="0" applyNumberFormat="1" applyFill="1" applyBorder="1" applyAlignment="1">
      <alignment horizontal="center"/>
    </xf>
    <xf numFmtId="0" fontId="26" fillId="0" borderId="0" xfId="0" applyFont="1" applyFill="1" applyBorder="1" applyAlignment="1">
      <alignment horizontal="right"/>
    </xf>
    <xf numFmtId="166" fontId="0" fillId="28" borderId="52" xfId="0" applyNumberFormat="1"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25" fillId="0" borderId="0" xfId="0" applyFont="1" applyBorder="1" applyAlignment="1">
      <alignment horizontal="right"/>
    </xf>
    <xf numFmtId="9" fontId="27" fillId="26" borderId="72" xfId="0" applyNumberFormat="1" applyFont="1" applyFill="1" applyBorder="1" applyAlignment="1">
      <alignment horizontal="center"/>
    </xf>
    <xf numFmtId="9" fontId="27" fillId="26" borderId="73" xfId="0" applyNumberFormat="1" applyFont="1" applyFill="1" applyBorder="1" applyAlignment="1">
      <alignment horizontal="center"/>
    </xf>
    <xf numFmtId="0" fontId="25" fillId="0" borderId="0" xfId="0" applyFont="1" applyBorder="1" applyAlignment="1">
      <alignment horizontal="left"/>
    </xf>
    <xf numFmtId="0" fontId="26" fillId="0" borderId="0" xfId="0" applyFont="1" applyBorder="1" applyAlignment="1">
      <alignment horizontal="right"/>
    </xf>
    <xf numFmtId="9" fontId="27" fillId="28" borderId="79" xfId="0" applyNumberFormat="1" applyFont="1" applyFill="1" applyBorder="1" applyAlignment="1">
      <alignment horizontal="center"/>
    </xf>
    <xf numFmtId="9" fontId="27" fillId="28" borderId="80" xfId="0" applyNumberFormat="1" applyFont="1" applyFill="1" applyBorder="1" applyAlignment="1">
      <alignment horizontal="center"/>
    </xf>
    <xf numFmtId="0" fontId="26" fillId="0" borderId="0" xfId="0" applyFont="1" applyBorder="1" applyAlignment="1">
      <alignment horizontal="left"/>
    </xf>
    <xf numFmtId="166" fontId="0" fillId="26" borderId="0" xfId="0" applyNumberFormat="1" applyFill="1" applyBorder="1" applyAlignment="1">
      <alignment horizontal="left"/>
    </xf>
    <xf numFmtId="166" fontId="0" fillId="26" borderId="0" xfId="0" applyNumberFormat="1" applyFill="1" applyBorder="1" applyAlignment="1">
      <alignment horizontal="right"/>
    </xf>
    <xf numFmtId="166" fontId="0" fillId="28" borderId="0" xfId="0" applyNumberFormat="1" applyFill="1" applyBorder="1" applyAlignment="1">
      <alignment horizontal="left"/>
    </xf>
    <xf numFmtId="166" fontId="0" fillId="28" borderId="0" xfId="0" applyNumberFormat="1" applyFill="1" applyBorder="1" applyAlignment="1">
      <alignment horizontal="right"/>
    </xf>
    <xf numFmtId="0" fontId="0" fillId="0" borderId="10" xfId="0" applyBorder="1" applyAlignment="1">
      <alignment horizontal="right" vertical="center"/>
    </xf>
    <xf numFmtId="166" fontId="20" fillId="25" borderId="12" xfId="0" applyNumberFormat="1" applyFont="1" applyFill="1" applyBorder="1" applyAlignment="1"/>
    <xf numFmtId="0" fontId="0" fillId="0" borderId="18" xfId="0" applyBorder="1" applyAlignment="1">
      <alignment horizontal="right" vertical="center" wrapText="1"/>
    </xf>
    <xf numFmtId="166" fontId="20" fillId="25" borderId="19" xfId="0" applyNumberFormat="1" applyFont="1" applyFill="1" applyBorder="1" applyAlignment="1"/>
    <xf numFmtId="166" fontId="27" fillId="0" borderId="0" xfId="0" applyNumberFormat="1" applyFont="1" applyFill="1" applyBorder="1" applyAlignment="1"/>
    <xf numFmtId="0" fontId="0" fillId="0" borderId="0" xfId="0" applyFill="1" applyBorder="1" applyAlignment="1">
      <alignment horizontal="right" vertical="center" wrapText="1"/>
    </xf>
    <xf numFmtId="166" fontId="20" fillId="0" borderId="0" xfId="0" applyNumberFormat="1" applyFont="1" applyFill="1" applyBorder="1" applyAlignment="1"/>
    <xf numFmtId="166" fontId="0" fillId="0" borderId="63" xfId="0" applyNumberFormat="1" applyFont="1" applyFill="1" applyBorder="1" applyAlignment="1"/>
    <xf numFmtId="166" fontId="0" fillId="0" borderId="64" xfId="0" applyNumberFormat="1" applyFont="1" applyFill="1" applyBorder="1" applyAlignment="1"/>
    <xf numFmtId="9" fontId="0" fillId="0" borderId="64" xfId="0" applyNumberFormat="1" applyFont="1" applyFill="1" applyBorder="1" applyAlignment="1"/>
    <xf numFmtId="9" fontId="0" fillId="0" borderId="54" xfId="0" applyNumberFormat="1" applyFont="1" applyFill="1" applyBorder="1" applyAlignment="1"/>
    <xf numFmtId="166" fontId="0" fillId="21" borderId="0" xfId="0" applyNumberFormat="1" applyFill="1" applyBorder="1"/>
    <xf numFmtId="9" fontId="0" fillId="21" borderId="0" xfId="0" applyNumberFormat="1" applyFill="1"/>
    <xf numFmtId="10" fontId="0" fillId="22" borderId="0" xfId="1" applyNumberFormat="1" applyFont="1" applyFill="1" applyBorder="1" applyAlignment="1"/>
    <xf numFmtId="9" fontId="0" fillId="21" borderId="0" xfId="0" applyNumberFormat="1" applyFill="1" applyBorder="1"/>
    <xf numFmtId="0" fontId="0" fillId="0" borderId="0" xfId="0" applyBorder="1" applyAlignment="1">
      <alignment horizontal="center"/>
    </xf>
    <xf numFmtId="0" fontId="12" fillId="0" borderId="0" xfId="0" applyFont="1" applyAlignment="1"/>
    <xf numFmtId="171" fontId="0" fillId="0" borderId="0" xfId="0" applyNumberFormat="1" applyBorder="1" applyAlignment="1">
      <alignment horizontal="center"/>
    </xf>
    <xf numFmtId="2" fontId="20" fillId="18" borderId="0" xfId="0" applyNumberFormat="1" applyFont="1" applyFill="1" applyBorder="1" applyAlignment="1">
      <alignment horizontal="center"/>
    </xf>
    <xf numFmtId="0" fontId="3" fillId="8" borderId="15" xfId="0" applyFont="1" applyFill="1" applyBorder="1" applyAlignment="1">
      <alignment horizontal="center" vertical="center" wrapText="1"/>
    </xf>
    <xf numFmtId="0" fontId="3" fillId="8" borderId="2" xfId="0" applyFont="1" applyFill="1" applyBorder="1" applyAlignment="1">
      <alignment horizontal="center" vertical="center" wrapText="1"/>
    </xf>
    <xf numFmtId="164" fontId="0" fillId="2" borderId="37" xfId="0" applyNumberFormat="1" applyFill="1" applyBorder="1" applyAlignment="1">
      <alignment horizontal="center"/>
    </xf>
    <xf numFmtId="164" fontId="0" fillId="7" borderId="14" xfId="0" applyNumberFormat="1" applyFill="1" applyBorder="1" applyAlignment="1">
      <alignment horizontal="center"/>
    </xf>
    <xf numFmtId="0" fontId="20" fillId="18" borderId="0" xfId="0" applyFont="1" applyFill="1" applyBorder="1"/>
    <xf numFmtId="2" fontId="0" fillId="3" borderId="22" xfId="0" applyNumberFormat="1" applyFill="1" applyBorder="1" applyAlignment="1">
      <alignment horizontal="center"/>
    </xf>
    <xf numFmtId="166" fontId="0" fillId="3" borderId="22" xfId="1" applyNumberFormat="1" applyFont="1" applyFill="1" applyBorder="1" applyAlignment="1">
      <alignment horizontal="center"/>
    </xf>
    <xf numFmtId="164" fontId="0" fillId="2" borderId="16" xfId="0" applyNumberFormat="1" applyFill="1" applyBorder="1" applyAlignment="1">
      <alignment horizontal="center"/>
    </xf>
    <xf numFmtId="164" fontId="0" fillId="7" borderId="4" xfId="0" applyNumberFormat="1" applyFill="1" applyBorder="1" applyAlignment="1">
      <alignment horizontal="center"/>
    </xf>
    <xf numFmtId="165" fontId="0" fillId="0" borderId="0" xfId="0" applyNumberFormat="1" applyBorder="1" applyAlignment="1">
      <alignment horizontal="center"/>
    </xf>
    <xf numFmtId="2" fontId="0" fillId="0" borderId="0" xfId="1" applyNumberFormat="1" applyFont="1" applyFill="1" applyBorder="1" applyAlignment="1">
      <alignment horizontal="center"/>
    </xf>
    <xf numFmtId="9" fontId="0" fillId="12" borderId="24" xfId="0" applyNumberFormat="1" applyFill="1" applyBorder="1" applyAlignment="1">
      <alignment horizontal="center"/>
    </xf>
    <xf numFmtId="166" fontId="0" fillId="12" borderId="24" xfId="0" applyNumberFormat="1" applyFill="1" applyBorder="1" applyAlignment="1">
      <alignment horizontal="center"/>
    </xf>
    <xf numFmtId="9" fontId="0" fillId="12" borderId="25" xfId="0" applyNumberFormat="1" applyFill="1" applyBorder="1" applyAlignment="1">
      <alignment horizontal="center"/>
    </xf>
    <xf numFmtId="166" fontId="0" fillId="26" borderId="25" xfId="0" applyNumberFormat="1" applyFill="1" applyBorder="1" applyAlignment="1">
      <alignment horizontal="center"/>
    </xf>
    <xf numFmtId="9" fontId="0" fillId="12" borderId="26" xfId="0" applyNumberFormat="1" applyFill="1" applyBorder="1" applyAlignment="1">
      <alignment horizontal="center"/>
    </xf>
    <xf numFmtId="166" fontId="0" fillId="26" borderId="26" xfId="0" applyNumberFormat="1" applyFill="1" applyBorder="1" applyAlignment="1">
      <alignment horizontal="center"/>
    </xf>
    <xf numFmtId="9" fontId="0" fillId="0" borderId="0" xfId="0" applyNumberFormat="1" applyBorder="1" applyAlignment="1">
      <alignment horizontal="center"/>
    </xf>
    <xf numFmtId="2" fontId="0" fillId="3" borderId="41" xfId="0" applyNumberFormat="1" applyFill="1" applyBorder="1" applyAlignment="1">
      <alignment horizontal="center"/>
    </xf>
    <xf numFmtId="166" fontId="0" fillId="3" borderId="41" xfId="1" applyNumberFormat="1" applyFont="1" applyFill="1" applyBorder="1" applyAlignment="1">
      <alignment horizontal="center"/>
    </xf>
    <xf numFmtId="2" fontId="0" fillId="3" borderId="19" xfId="0" applyNumberFormat="1" applyFill="1" applyBorder="1" applyAlignment="1">
      <alignment horizontal="center"/>
    </xf>
    <xf numFmtId="0" fontId="0" fillId="0" borderId="27" xfId="0" applyBorder="1"/>
    <xf numFmtId="165" fontId="0" fillId="2" borderId="17" xfId="0" applyNumberFormat="1" applyFill="1" applyBorder="1" applyAlignment="1">
      <alignment horizontal="center"/>
    </xf>
    <xf numFmtId="165" fontId="0" fillId="2" borderId="26" xfId="0" applyNumberFormat="1" applyFill="1" applyBorder="1" applyAlignment="1">
      <alignment horizontal="center"/>
    </xf>
    <xf numFmtId="165" fontId="0" fillId="2" borderId="52" xfId="0" applyNumberFormat="1" applyFill="1" applyBorder="1" applyAlignment="1">
      <alignment horizontal="center"/>
    </xf>
    <xf numFmtId="0" fontId="3" fillId="0" borderId="11" xfId="0" applyFont="1" applyFill="1" applyBorder="1" applyAlignment="1">
      <alignment horizontal="center" vertical="center"/>
    </xf>
    <xf numFmtId="0" fontId="3" fillId="8" borderId="81" xfId="0" applyFont="1" applyFill="1" applyBorder="1" applyAlignment="1">
      <alignment horizontal="center" vertical="center"/>
    </xf>
    <xf numFmtId="0" fontId="0" fillId="0" borderId="8" xfId="0" applyFill="1" applyBorder="1" applyAlignment="1">
      <alignment horizontal="center"/>
    </xf>
    <xf numFmtId="0" fontId="0" fillId="2" borderId="41" xfId="0" applyFill="1" applyBorder="1" applyAlignment="1">
      <alignment horizontal="center"/>
    </xf>
    <xf numFmtId="0" fontId="0" fillId="7" borderId="35" xfId="0" applyFill="1" applyBorder="1" applyAlignment="1">
      <alignment horizontal="center"/>
    </xf>
    <xf numFmtId="0" fontId="0" fillId="26" borderId="0" xfId="0" applyFill="1"/>
    <xf numFmtId="165" fontId="0" fillId="5" borderId="21" xfId="1" applyNumberFormat="1" applyFont="1" applyFill="1" applyBorder="1" applyAlignment="1">
      <alignment horizontal="center"/>
    </xf>
    <xf numFmtId="165" fontId="0" fillId="3" borderId="0" xfId="1" applyNumberFormat="1" applyFont="1" applyFill="1" applyBorder="1" applyAlignment="1">
      <alignment horizontal="center"/>
    </xf>
    <xf numFmtId="164" fontId="0" fillId="2" borderId="22" xfId="0" applyNumberFormat="1" applyFill="1" applyBorder="1" applyAlignment="1">
      <alignment horizontal="center"/>
    </xf>
    <xf numFmtId="164" fontId="0" fillId="12" borderId="2" xfId="0" applyNumberFormat="1" applyFill="1" applyBorder="1" applyAlignment="1">
      <alignment horizontal="center"/>
    </xf>
    <xf numFmtId="164" fontId="0" fillId="12" borderId="6" xfId="0" applyNumberFormat="1" applyFill="1" applyBorder="1" applyAlignment="1">
      <alignment horizontal="center"/>
    </xf>
    <xf numFmtId="164" fontId="0" fillId="12" borderId="4" xfId="0" applyNumberFormat="1" applyFill="1" applyBorder="1" applyAlignment="1">
      <alignment horizontal="center"/>
    </xf>
    <xf numFmtId="0" fontId="0" fillId="3" borderId="22" xfId="0" applyFill="1" applyBorder="1" applyAlignment="1">
      <alignment horizontal="center"/>
    </xf>
    <xf numFmtId="165" fontId="0" fillId="5" borderId="36" xfId="1" applyNumberFormat="1" applyFont="1" applyFill="1" applyBorder="1" applyAlignment="1">
      <alignment horizontal="center"/>
    </xf>
    <xf numFmtId="165" fontId="0" fillId="3" borderId="8" xfId="1" applyNumberFormat="1" applyFont="1" applyFill="1" applyBorder="1" applyAlignment="1">
      <alignment horizontal="center"/>
    </xf>
    <xf numFmtId="164" fontId="0" fillId="2" borderId="41" xfId="0" applyNumberFormat="1" applyFill="1" applyBorder="1" applyAlignment="1">
      <alignment horizontal="center"/>
    </xf>
    <xf numFmtId="0" fontId="0" fillId="0" borderId="23" xfId="0" applyFill="1" applyBorder="1" applyAlignment="1">
      <alignment horizontal="center"/>
    </xf>
    <xf numFmtId="165" fontId="0" fillId="2" borderId="19" xfId="0" applyNumberFormat="1" applyFill="1" applyBorder="1" applyAlignment="1">
      <alignment horizontal="center"/>
    </xf>
    <xf numFmtId="0" fontId="1" fillId="0" borderId="0" xfId="0" applyFont="1" applyAlignment="1"/>
    <xf numFmtId="9" fontId="0" fillId="0" borderId="0" xfId="0" applyNumberFormat="1"/>
    <xf numFmtId="167" fontId="0" fillId="0" borderId="0" xfId="0" applyNumberFormat="1" applyAlignment="1">
      <alignment horizont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0" fillId="0" borderId="0" xfId="0" applyBorder="1" applyAlignment="1">
      <alignment horizontal="center"/>
    </xf>
    <xf numFmtId="164" fontId="0" fillId="23" borderId="22" xfId="0" applyNumberFormat="1" applyFill="1" applyBorder="1" applyAlignment="1"/>
    <xf numFmtId="2" fontId="0" fillId="23" borderId="21" xfId="0" applyNumberFormat="1" applyFill="1" applyBorder="1" applyAlignment="1">
      <alignment horizontal="center"/>
    </xf>
    <xf numFmtId="2" fontId="0" fillId="23" borderId="0" xfId="0" applyNumberFormat="1" applyFill="1" applyBorder="1" applyAlignment="1">
      <alignment horizontal="center"/>
    </xf>
    <xf numFmtId="2" fontId="0" fillId="23" borderId="22" xfId="0" applyNumberFormat="1" applyFill="1" applyBorder="1" applyAlignment="1">
      <alignment horizontal="center"/>
    </xf>
    <xf numFmtId="164" fontId="0" fillId="0" borderId="52" xfId="0" applyNumberFormat="1" applyBorder="1"/>
    <xf numFmtId="166" fontId="0" fillId="0" borderId="0" xfId="0" applyNumberFormat="1" applyFill="1" applyBorder="1" applyAlignment="1">
      <alignment horizontal="right"/>
    </xf>
    <xf numFmtId="166" fontId="24" fillId="0" borderId="0" xfId="0" applyNumberFormat="1" applyFont="1" applyBorder="1" applyAlignment="1">
      <alignment horizontal="right"/>
    </xf>
    <xf numFmtId="6" fontId="0" fillId="0" borderId="0" xfId="0" applyNumberFormat="1" applyBorder="1" applyAlignment="1">
      <alignment horizontal="left"/>
    </xf>
    <xf numFmtId="10" fontId="0" fillId="0" borderId="0" xfId="0" applyNumberFormat="1" applyBorder="1" applyAlignment="1">
      <alignment horizontal="center"/>
    </xf>
    <xf numFmtId="8" fontId="0" fillId="0" borderId="1" xfId="0" applyNumberFormat="1" applyBorder="1" applyAlignment="1">
      <alignment horizontal="center"/>
    </xf>
    <xf numFmtId="170" fontId="0" fillId="0" borderId="0" xfId="0" applyNumberFormat="1" applyBorder="1" applyAlignment="1">
      <alignment horizontal="center"/>
    </xf>
    <xf numFmtId="178" fontId="0" fillId="0" borderId="1" xfId="0" applyNumberFormat="1" applyBorder="1" applyAlignment="1">
      <alignment horizontal="center"/>
    </xf>
    <xf numFmtId="178" fontId="0" fillId="0" borderId="2" xfId="0" applyNumberFormat="1" applyBorder="1" applyAlignment="1">
      <alignment horizontal="center"/>
    </xf>
    <xf numFmtId="178" fontId="0" fillId="0" borderId="13" xfId="0" applyNumberFormat="1" applyBorder="1" applyAlignment="1">
      <alignment horizontal="center"/>
    </xf>
    <xf numFmtId="178" fontId="0" fillId="0" borderId="14" xfId="0" applyNumberFormat="1" applyBorder="1" applyAlignment="1">
      <alignment horizontal="center"/>
    </xf>
    <xf numFmtId="178" fontId="0" fillId="0" borderId="0" xfId="0" applyNumberFormat="1" applyBorder="1" applyAlignment="1">
      <alignment horizontal="center"/>
    </xf>
    <xf numFmtId="0" fontId="1" fillId="0" borderId="10" xfId="0" applyFont="1" applyBorder="1" applyAlignment="1"/>
    <xf numFmtId="0" fontId="0" fillId="0" borderId="0" xfId="0" quotePrefix="1" applyBorder="1" applyAlignment="1">
      <alignment horizontal="left"/>
    </xf>
    <xf numFmtId="0" fontId="0" fillId="0" borderId="22" xfId="0" quotePrefix="1" applyBorder="1" applyAlignment="1"/>
    <xf numFmtId="10" fontId="0" fillId="0" borderId="22" xfId="0" applyNumberFormat="1" applyBorder="1" applyAlignment="1"/>
    <xf numFmtId="176" fontId="0" fillId="0" borderId="22" xfId="0" applyNumberFormat="1" applyBorder="1" applyAlignment="1"/>
    <xf numFmtId="0" fontId="0" fillId="0" borderId="18" xfId="0" applyBorder="1" applyAlignment="1"/>
    <xf numFmtId="0" fontId="0" fillId="0" borderId="0" xfId="0" quotePrefix="1" applyBorder="1" applyAlignment="1"/>
    <xf numFmtId="176" fontId="0" fillId="0" borderId="0" xfId="0" applyNumberFormat="1" applyBorder="1" applyAlignment="1"/>
    <xf numFmtId="177" fontId="0" fillId="0" borderId="0" xfId="0" applyNumberFormat="1" applyBorder="1" applyAlignment="1"/>
    <xf numFmtId="4" fontId="0" fillId="0" borderId="0" xfId="0" applyNumberFormat="1" applyBorder="1" applyAlignment="1"/>
    <xf numFmtId="0" fontId="0" fillId="23" borderId="0" xfId="0" applyFill="1" applyBorder="1" applyAlignment="1">
      <alignment horizontal="center"/>
    </xf>
    <xf numFmtId="0" fontId="0" fillId="0" borderId="0" xfId="0" applyFill="1" applyBorder="1" applyAlignment="1">
      <alignment wrapText="1"/>
    </xf>
    <xf numFmtId="0" fontId="0" fillId="0" borderId="0" xfId="0" applyBorder="1" applyAlignment="1">
      <alignment horizontal="center"/>
    </xf>
    <xf numFmtId="0" fontId="3" fillId="24" borderId="11" xfId="0" applyFont="1" applyFill="1" applyBorder="1" applyAlignment="1">
      <alignment horizontal="center" vertical="center"/>
    </xf>
    <xf numFmtId="0" fontId="0" fillId="24" borderId="8" xfId="0" applyFill="1" applyBorder="1" applyAlignment="1">
      <alignment horizontal="center"/>
    </xf>
    <xf numFmtId="0" fontId="0" fillId="24" borderId="23" xfId="0" applyFill="1" applyBorder="1" applyAlignment="1">
      <alignment horizontal="center"/>
    </xf>
    <xf numFmtId="9" fontId="0" fillId="24" borderId="0" xfId="0" applyNumberFormat="1" applyFill="1" applyBorder="1" applyAlignment="1">
      <alignment horizontal="center"/>
    </xf>
    <xf numFmtId="9" fontId="0" fillId="24" borderId="8" xfId="0" applyNumberFormat="1" applyFill="1" applyBorder="1" applyAlignment="1">
      <alignment horizontal="center"/>
    </xf>
    <xf numFmtId="0" fontId="3" fillId="29" borderId="11" xfId="0" applyFont="1" applyFill="1" applyBorder="1" applyAlignment="1">
      <alignment horizontal="center" vertical="center"/>
    </xf>
    <xf numFmtId="0" fontId="0" fillId="29" borderId="8" xfId="0" applyFill="1" applyBorder="1" applyAlignment="1">
      <alignment horizontal="center"/>
    </xf>
    <xf numFmtId="9" fontId="0" fillId="29" borderId="0" xfId="0" applyNumberFormat="1" applyFill="1" applyBorder="1" applyAlignment="1">
      <alignment horizontal="center"/>
    </xf>
    <xf numFmtId="9" fontId="0" fillId="29" borderId="8" xfId="0" applyNumberFormat="1" applyFill="1" applyBorder="1" applyAlignment="1">
      <alignment horizontal="center"/>
    </xf>
    <xf numFmtId="0" fontId="0" fillId="29" borderId="23" xfId="0" applyFill="1" applyBorder="1" applyAlignment="1">
      <alignment horizontal="center"/>
    </xf>
    <xf numFmtId="0" fontId="0" fillId="0" borderId="0" xfId="0" applyFont="1" applyBorder="1" applyAlignment="1">
      <alignment horizontal="right"/>
    </xf>
    <xf numFmtId="0" fontId="0" fillId="26" borderId="30" xfId="0" applyFill="1" applyBorder="1"/>
    <xf numFmtId="0" fontId="20" fillId="18" borderId="33" xfId="0" applyFont="1" applyFill="1" applyBorder="1"/>
    <xf numFmtId="0" fontId="0" fillId="0" borderId="33" xfId="0" applyBorder="1" applyAlignment="1">
      <alignment horizontal="right"/>
    </xf>
    <xf numFmtId="2" fontId="0" fillId="5" borderId="30" xfId="0" applyNumberFormat="1" applyFill="1" applyBorder="1" applyAlignment="1">
      <alignment horizontal="center"/>
    </xf>
    <xf numFmtId="2" fontId="0" fillId="3" borderId="31" xfId="0" applyNumberFormat="1" applyFill="1" applyBorder="1" applyAlignment="1">
      <alignment horizontal="center"/>
    </xf>
    <xf numFmtId="2" fontId="20" fillId="18" borderId="0" xfId="0" applyNumberFormat="1" applyFont="1" applyFill="1" applyBorder="1"/>
    <xf numFmtId="2" fontId="0" fillId="0" borderId="31" xfId="0" applyNumberFormat="1" applyFill="1" applyBorder="1" applyAlignment="1">
      <alignment horizontal="center"/>
    </xf>
    <xf numFmtId="179" fontId="0" fillId="0" borderId="0" xfId="1" applyNumberFormat="1" applyFont="1" applyFill="1" applyBorder="1" applyAlignment="1">
      <alignment horizontal="left" indent="1"/>
    </xf>
    <xf numFmtId="179" fontId="0" fillId="0" borderId="0" xfId="0" applyNumberFormat="1" applyBorder="1"/>
    <xf numFmtId="168" fontId="0" fillId="0" borderId="0" xfId="0" applyNumberFormat="1" applyBorder="1" applyAlignment="1">
      <alignment horizontal="center"/>
    </xf>
    <xf numFmtId="0" fontId="0" fillId="0" borderId="0" xfId="0" applyBorder="1" applyAlignment="1">
      <alignment horizontal="center"/>
    </xf>
    <xf numFmtId="165" fontId="0" fillId="0" borderId="0" xfId="1" applyNumberFormat="1" applyFont="1" applyFill="1" applyBorder="1" applyAlignment="1">
      <alignment horizontal="center"/>
    </xf>
    <xf numFmtId="175" fontId="0" fillId="0" borderId="21" xfId="0" applyNumberFormat="1" applyBorder="1" applyAlignment="1">
      <alignment horizontal="right"/>
    </xf>
    <xf numFmtId="0" fontId="0" fillId="23" borderId="8" xfId="0" applyFill="1" applyBorder="1" applyAlignment="1">
      <alignment horizontal="right"/>
    </xf>
    <xf numFmtId="10" fontId="28" fillId="32" borderId="0" xfId="1" applyNumberFormat="1" applyFont="1" applyFill="1" applyBorder="1"/>
    <xf numFmtId="0" fontId="28" fillId="32" borderId="0" xfId="0" applyFont="1" applyFill="1" applyBorder="1" applyAlignment="1"/>
    <xf numFmtId="0" fontId="29" fillId="0" borderId="0" xfId="0" applyFont="1" applyAlignment="1">
      <alignment wrapText="1"/>
    </xf>
    <xf numFmtId="0" fontId="30" fillId="21" borderId="82" xfId="2" applyFont="1" applyFill="1" applyBorder="1"/>
    <xf numFmtId="0" fontId="0" fillId="0" borderId="83" xfId="0" applyBorder="1" applyAlignment="1">
      <alignment wrapText="1"/>
    </xf>
    <xf numFmtId="0" fontId="30" fillId="14" borderId="84" xfId="2" applyFont="1" applyFill="1" applyBorder="1"/>
    <xf numFmtId="0" fontId="0" fillId="0" borderId="85" xfId="0" applyBorder="1" applyAlignment="1">
      <alignment wrapText="1"/>
    </xf>
    <xf numFmtId="0" fontId="30" fillId="23" borderId="84" xfId="2" applyFont="1" applyFill="1" applyBorder="1"/>
    <xf numFmtId="0" fontId="30" fillId="31" borderId="84" xfId="2" applyFont="1" applyFill="1" applyBorder="1"/>
    <xf numFmtId="0" fontId="30" fillId="27" borderId="84" xfId="2" applyFont="1" applyFill="1" applyBorder="1"/>
    <xf numFmtId="0" fontId="30" fillId="27" borderId="86" xfId="2" applyFont="1" applyFill="1" applyBorder="1"/>
    <xf numFmtId="0" fontId="0" fillId="0" borderId="87" xfId="0" applyBorder="1" applyAlignment="1">
      <alignment wrapText="1"/>
    </xf>
    <xf numFmtId="0" fontId="5" fillId="0" borderId="35" xfId="0" applyFont="1" applyBorder="1" applyAlignment="1">
      <alignment horizontal="center"/>
    </xf>
    <xf numFmtId="0" fontId="5" fillId="0" borderId="88" xfId="0" applyFont="1" applyBorder="1" applyAlignment="1">
      <alignment horizontal="center"/>
    </xf>
    <xf numFmtId="164" fontId="0" fillId="30" borderId="23" xfId="0" applyNumberFormat="1" applyFill="1" applyBorder="1" applyAlignment="1">
      <alignment horizontal="center"/>
    </xf>
    <xf numFmtId="164" fontId="0" fillId="30" borderId="52" xfId="0" applyNumberFormat="1" applyFill="1" applyBorder="1" applyAlignment="1">
      <alignment horizontal="left"/>
    </xf>
    <xf numFmtId="0" fontId="0" fillId="0" borderId="0" xfId="0" applyBorder="1" applyAlignment="1">
      <alignment horizontal="center"/>
    </xf>
    <xf numFmtId="0" fontId="1" fillId="0" borderId="0" xfId="0" applyFont="1" applyFill="1" applyBorder="1" applyAlignment="1">
      <alignment horizontal="center" vertical="center"/>
    </xf>
    <xf numFmtId="0" fontId="21" fillId="0" borderId="0" xfId="0" applyFont="1"/>
    <xf numFmtId="9" fontId="1" fillId="0" borderId="0" xfId="1" applyNumberFormat="1" applyFont="1" applyBorder="1"/>
    <xf numFmtId="166" fontId="1" fillId="0" borderId="0" xfId="1" applyNumberFormat="1" applyFont="1" applyFill="1" applyBorder="1"/>
    <xf numFmtId="2" fontId="0" fillId="0" borderId="10" xfId="0" applyNumberFormat="1" applyBorder="1"/>
    <xf numFmtId="2" fontId="0" fillId="0" borderId="11" xfId="0" applyNumberFormat="1" applyBorder="1"/>
    <xf numFmtId="166" fontId="1" fillId="0" borderId="12" xfId="1" applyNumberFormat="1" applyFont="1" applyBorder="1"/>
    <xf numFmtId="2" fontId="0" fillId="0" borderId="18" xfId="0" applyNumberFormat="1" applyBorder="1"/>
    <xf numFmtId="2" fontId="0" fillId="0" borderId="23" xfId="0" applyNumberFormat="1" applyBorder="1"/>
    <xf numFmtId="166" fontId="1" fillId="12" borderId="19" xfId="1" applyNumberFormat="1" applyFont="1" applyFill="1" applyBorder="1"/>
    <xf numFmtId="166" fontId="0" fillId="5" borderId="21" xfId="0" applyNumberFormat="1" applyFill="1" applyBorder="1" applyAlignment="1">
      <alignment horizontal="center"/>
    </xf>
    <xf numFmtId="166" fontId="0" fillId="4" borderId="0" xfId="0" applyNumberFormat="1" applyFill="1" applyBorder="1" applyAlignment="1">
      <alignment horizontal="center"/>
    </xf>
    <xf numFmtId="166" fontId="0" fillId="3" borderId="0" xfId="0" applyNumberFormat="1" applyFill="1" applyBorder="1" applyAlignment="1">
      <alignment horizontal="center"/>
    </xf>
    <xf numFmtId="166" fontId="0" fillId="6" borderId="22" xfId="0" applyNumberFormat="1" applyFill="1" applyBorder="1" applyAlignment="1">
      <alignment horizontal="center"/>
    </xf>
    <xf numFmtId="2" fontId="0" fillId="0" borderId="10" xfId="0" applyNumberFormat="1" applyBorder="1" applyAlignment="1"/>
    <xf numFmtId="2" fontId="0" fillId="0" borderId="11" xfId="0" applyNumberFormat="1" applyBorder="1" applyAlignment="1"/>
    <xf numFmtId="2" fontId="0" fillId="0" borderId="21" xfId="0" applyNumberFormat="1" applyBorder="1" applyAlignment="1"/>
    <xf numFmtId="2" fontId="6" fillId="0" borderId="0" xfId="0" applyNumberFormat="1" applyFont="1" applyBorder="1" applyAlignment="1"/>
    <xf numFmtId="1" fontId="0" fillId="0" borderId="21" xfId="0" applyNumberFormat="1" applyBorder="1" applyAlignment="1"/>
    <xf numFmtId="1" fontId="0" fillId="0" borderId="18" xfId="0" applyNumberFormat="1" applyBorder="1" applyAlignment="1"/>
    <xf numFmtId="166" fontId="0" fillId="5" borderId="18" xfId="0" applyNumberFormat="1" applyFill="1" applyBorder="1" applyAlignment="1">
      <alignment horizontal="center"/>
    </xf>
    <xf numFmtId="166" fontId="0" fillId="4" borderId="23" xfId="0" applyNumberFormat="1" applyFill="1" applyBorder="1" applyAlignment="1">
      <alignment horizontal="center"/>
    </xf>
    <xf numFmtId="166" fontId="0" fillId="3" borderId="23" xfId="0" applyNumberFormat="1" applyFill="1" applyBorder="1" applyAlignment="1">
      <alignment horizontal="center"/>
    </xf>
    <xf numFmtId="166" fontId="0" fillId="6" borderId="19" xfId="0" applyNumberFormat="1" applyFill="1" applyBorder="1" applyAlignment="1">
      <alignment horizontal="center"/>
    </xf>
    <xf numFmtId="0" fontId="0" fillId="0" borderId="39" xfId="0" applyBorder="1"/>
    <xf numFmtId="2" fontId="0" fillId="0" borderId="30" xfId="0" applyNumberFormat="1" applyBorder="1" applyAlignment="1">
      <alignment horizontal="center"/>
    </xf>
    <xf numFmtId="2" fontId="0" fillId="0" borderId="33" xfId="0" applyNumberFormat="1" applyBorder="1" applyAlignment="1">
      <alignment horizontal="center"/>
    </xf>
    <xf numFmtId="2" fontId="0" fillId="0" borderId="31" xfId="0" applyNumberFormat="1" applyBorder="1" applyAlignment="1">
      <alignment horizontal="center"/>
    </xf>
    <xf numFmtId="166" fontId="0" fillId="0" borderId="6" xfId="1" applyNumberFormat="1" applyFont="1" applyFill="1" applyBorder="1" applyAlignment="1">
      <alignment horizontal="center"/>
    </xf>
    <xf numFmtId="0" fontId="0" fillId="0" borderId="2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9" fontId="0" fillId="0" borderId="5" xfId="0" applyNumberFormat="1" applyBorder="1" applyAlignment="1">
      <alignment horizontal="center"/>
    </xf>
    <xf numFmtId="0" fontId="0" fillId="0" borderId="6" xfId="0" applyBorder="1" applyAlignment="1">
      <alignment horizontal="center"/>
    </xf>
    <xf numFmtId="9" fontId="0" fillId="0" borderId="13" xfId="0" applyNumberFormat="1" applyBorder="1" applyAlignment="1">
      <alignment horizontal="center"/>
    </xf>
    <xf numFmtId="0" fontId="0" fillId="0" borderId="10" xfId="0" applyBorder="1" applyAlignment="1"/>
    <xf numFmtId="0" fontId="20" fillId="33" borderId="0" xfId="0" applyFont="1" applyFill="1" applyBorder="1"/>
    <xf numFmtId="0" fontId="0" fillId="0" borderId="0" xfId="0" applyBorder="1" applyAlignment="1">
      <alignment horizontal="center"/>
    </xf>
    <xf numFmtId="1" fontId="0" fillId="21" borderId="7" xfId="0" applyNumberFormat="1" applyFill="1" applyBorder="1" applyAlignment="1"/>
    <xf numFmtId="164" fontId="0" fillId="34" borderId="0" xfId="0" applyNumberFormat="1" applyFill="1" applyBorder="1"/>
    <xf numFmtId="1" fontId="0" fillId="21" borderId="4" xfId="0" applyNumberFormat="1" applyFill="1" applyBorder="1"/>
    <xf numFmtId="1" fontId="0" fillId="12" borderId="15" xfId="0" applyNumberFormat="1" applyFill="1" applyBorder="1" applyAlignment="1"/>
    <xf numFmtId="0" fontId="1" fillId="0" borderId="63" xfId="0" applyFont="1" applyBorder="1"/>
    <xf numFmtId="10" fontId="0" fillId="0" borderId="54" xfId="0" applyNumberFormat="1" applyBorder="1" applyAlignment="1">
      <alignment horizontal="right"/>
    </xf>
    <xf numFmtId="164" fontId="0" fillId="7" borderId="14" xfId="0" applyNumberFormat="1" applyFill="1" applyBorder="1" applyAlignment="1"/>
    <xf numFmtId="0" fontId="0" fillId="13" borderId="42" xfId="0" applyFill="1" applyBorder="1" applyAlignment="1">
      <alignment horizontal="center"/>
    </xf>
    <xf numFmtId="0" fontId="0" fillId="14" borderId="43" xfId="0" applyFill="1" applyBorder="1" applyAlignment="1">
      <alignment horizontal="center"/>
    </xf>
    <xf numFmtId="0" fontId="0" fillId="2" borderId="19" xfId="0" applyFill="1" applyBorder="1" applyAlignment="1"/>
    <xf numFmtId="0" fontId="3" fillId="8" borderId="24" xfId="0" applyFont="1" applyFill="1" applyBorder="1" applyAlignment="1">
      <alignment horizontal="left" vertical="center"/>
    </xf>
    <xf numFmtId="0" fontId="0" fillId="13" borderId="55" xfId="0" applyFill="1" applyBorder="1" applyAlignment="1">
      <alignment horizontal="center"/>
    </xf>
    <xf numFmtId="166" fontId="0" fillId="13" borderId="67" xfId="1" applyNumberFormat="1" applyFont="1" applyFill="1" applyBorder="1" applyAlignment="1">
      <alignment horizontal="center"/>
    </xf>
    <xf numFmtId="166" fontId="0" fillId="13" borderId="16" xfId="1" applyNumberFormat="1" applyFont="1" applyFill="1" applyBorder="1" applyAlignment="1">
      <alignment horizontal="center"/>
    </xf>
    <xf numFmtId="166" fontId="0" fillId="13" borderId="37" xfId="1" applyNumberFormat="1" applyFont="1" applyFill="1" applyBorder="1" applyAlignment="1">
      <alignment horizontal="center"/>
    </xf>
    <xf numFmtId="166" fontId="0" fillId="13" borderId="17" xfId="1" applyNumberFormat="1" applyFont="1" applyFill="1" applyBorder="1" applyAlignment="1">
      <alignment horizontal="center"/>
    </xf>
    <xf numFmtId="180" fontId="0" fillId="13" borderId="56" xfId="1" applyNumberFormat="1" applyFont="1" applyFill="1" applyBorder="1" applyAlignment="1">
      <alignment horizontal="center"/>
    </xf>
    <xf numFmtId="180" fontId="0" fillId="14" borderId="57" xfId="1" applyNumberFormat="1" applyFont="1" applyFill="1" applyBorder="1" applyAlignment="1">
      <alignment horizontal="center"/>
    </xf>
    <xf numFmtId="180" fontId="0" fillId="13" borderId="21" xfId="1" applyNumberFormat="1" applyFont="1" applyFill="1" applyBorder="1" applyAlignment="1">
      <alignment horizontal="center"/>
    </xf>
    <xf numFmtId="180" fontId="0" fillId="14" borderId="22" xfId="1" applyNumberFormat="1" applyFont="1" applyFill="1" applyBorder="1" applyAlignment="1">
      <alignment horizontal="center"/>
    </xf>
    <xf numFmtId="180" fontId="0" fillId="13" borderId="36" xfId="1" applyNumberFormat="1" applyFont="1" applyFill="1" applyBorder="1" applyAlignment="1">
      <alignment horizontal="center"/>
    </xf>
    <xf numFmtId="180" fontId="0" fillId="14" borderId="41" xfId="1" applyNumberFormat="1" applyFont="1" applyFill="1" applyBorder="1" applyAlignment="1">
      <alignment horizontal="center"/>
    </xf>
    <xf numFmtId="180" fontId="0" fillId="13" borderId="18" xfId="1" applyNumberFormat="1" applyFont="1" applyFill="1" applyBorder="1" applyAlignment="1">
      <alignment horizontal="center"/>
    </xf>
    <xf numFmtId="180" fontId="0" fillId="14" borderId="19" xfId="1" applyNumberFormat="1" applyFont="1" applyFill="1" applyBorder="1" applyAlignment="1">
      <alignment horizontal="center"/>
    </xf>
    <xf numFmtId="6" fontId="0" fillId="0" borderId="0" xfId="0" applyNumberFormat="1" applyBorder="1" applyAlignment="1">
      <alignment horizontal="center"/>
    </xf>
    <xf numFmtId="0" fontId="0" fillId="0" borderId="30" xfId="0" applyBorder="1" applyAlignment="1">
      <alignment horizontal="right"/>
    </xf>
    <xf numFmtId="2" fontId="0" fillId="5" borderId="89" xfId="0" applyNumberFormat="1" applyFill="1" applyBorder="1" applyAlignment="1">
      <alignment horizontal="center"/>
    </xf>
    <xf numFmtId="2" fontId="0" fillId="4" borderId="33" xfId="0" applyNumberFormat="1" applyFill="1" applyBorder="1" applyAlignment="1">
      <alignment horizontal="center"/>
    </xf>
    <xf numFmtId="2" fontId="0" fillId="3" borderId="33" xfId="0" applyNumberFormat="1" applyFill="1" applyBorder="1" applyAlignment="1">
      <alignment horizontal="center"/>
    </xf>
    <xf numFmtId="2" fontId="0" fillId="6" borderId="31" xfId="0" applyNumberFormat="1" applyFill="1" applyBorder="1" applyAlignment="1">
      <alignment horizontal="center"/>
    </xf>
    <xf numFmtId="10" fontId="31" fillId="0" borderId="0" xfId="0" applyNumberFormat="1" applyFont="1" applyBorder="1"/>
    <xf numFmtId="4" fontId="3" fillId="0" borderId="0" xfId="0" applyNumberFormat="1" applyFont="1" applyBorder="1" applyAlignment="1">
      <alignment horizontal="center"/>
    </xf>
    <xf numFmtId="2" fontId="0" fillId="0" borderId="52" xfId="0" applyNumberFormat="1" applyBorder="1"/>
    <xf numFmtId="2" fontId="0" fillId="23" borderId="7" xfId="0" applyNumberFormat="1" applyFill="1" applyBorder="1" applyAlignment="1">
      <alignment horizontal="right"/>
    </xf>
    <xf numFmtId="164" fontId="0" fillId="30" borderId="54" xfId="0" applyNumberFormat="1" applyFill="1" applyBorder="1" applyAlignment="1"/>
    <xf numFmtId="164" fontId="0" fillId="30" borderId="52" xfId="0" applyNumberFormat="1" applyFill="1" applyBorder="1"/>
    <xf numFmtId="164" fontId="0" fillId="30" borderId="26" xfId="0" applyNumberFormat="1" applyFill="1" applyBorder="1"/>
    <xf numFmtId="168" fontId="0" fillId="34" borderId="0" xfId="0" applyNumberFormat="1" applyFill="1" applyBorder="1"/>
    <xf numFmtId="165" fontId="0" fillId="0" borderId="0" xfId="0" applyNumberFormat="1" applyFill="1" applyBorder="1" applyAlignment="1"/>
    <xf numFmtId="181" fontId="3" fillId="0" borderId="0" xfId="0" applyNumberFormat="1" applyFont="1" applyBorder="1" applyAlignment="1">
      <alignment horizontal="center"/>
    </xf>
    <xf numFmtId="0" fontId="0" fillId="14" borderId="28" xfId="1" applyNumberFormat="1" applyFont="1" applyFill="1" applyBorder="1" applyAlignment="1">
      <alignment horizontal="center"/>
    </xf>
    <xf numFmtId="0" fontId="3" fillId="0" borderId="0" xfId="0" applyFont="1" applyBorder="1" applyAlignment="1">
      <alignment horizontal="center"/>
    </xf>
    <xf numFmtId="165" fontId="0" fillId="0" borderId="3" xfId="0" applyNumberFormat="1" applyFill="1" applyBorder="1" applyAlignment="1"/>
    <xf numFmtId="164" fontId="0" fillId="0" borderId="7" xfId="0" applyNumberFormat="1" applyBorder="1"/>
    <xf numFmtId="0" fontId="7" fillId="0" borderId="7" xfId="0" applyFont="1" applyBorder="1"/>
    <xf numFmtId="6" fontId="0" fillId="0" borderId="7" xfId="0" applyNumberFormat="1" applyBorder="1" applyAlignment="1">
      <alignment horizontal="center"/>
    </xf>
    <xf numFmtId="181" fontId="3" fillId="0" borderId="4" xfId="0" applyNumberFormat="1" applyFont="1" applyBorder="1" applyAlignment="1">
      <alignment horizontal="center"/>
    </xf>
    <xf numFmtId="0" fontId="0" fillId="0" borderId="63" xfId="0" applyBorder="1"/>
    <xf numFmtId="6" fontId="0" fillId="14" borderId="28" xfId="1" applyNumberFormat="1" applyFont="1" applyFill="1"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0" fillId="0" borderId="12" xfId="0" applyBorder="1" applyAlignment="1">
      <alignment horizontal="center"/>
    </xf>
    <xf numFmtId="0" fontId="0" fillId="0" borderId="19" xfId="0" applyBorder="1" applyAlignment="1">
      <alignment horizontal="center"/>
    </xf>
    <xf numFmtId="10" fontId="0" fillId="0" borderId="0" xfId="0" applyNumberFormat="1" applyBorder="1" applyAlignment="1">
      <alignment horizontal="right"/>
    </xf>
    <xf numFmtId="182" fontId="0" fillId="0" borderId="0" xfId="0" applyNumberFormat="1" applyBorder="1"/>
    <xf numFmtId="0" fontId="0" fillId="0" borderId="0" xfId="0" applyBorder="1" applyAlignment="1">
      <alignment horizontal="center"/>
    </xf>
    <xf numFmtId="0" fontId="1" fillId="0" borderId="10" xfId="0" applyFont="1" applyBorder="1"/>
    <xf numFmtId="0" fontId="1" fillId="0" borderId="1" xfId="0" applyFont="1" applyBorder="1"/>
    <xf numFmtId="0" fontId="3" fillId="0" borderId="21" xfId="0" applyFont="1" applyBorder="1"/>
    <xf numFmtId="2" fontId="3" fillId="0" borderId="52" xfId="0" applyNumberFormat="1" applyFont="1" applyBorder="1" applyAlignment="1">
      <alignment horizontal="left"/>
    </xf>
    <xf numFmtId="2" fontId="3" fillId="0" borderId="0" xfId="0" applyNumberFormat="1" applyFont="1" applyBorder="1" applyAlignment="1">
      <alignment horizontal="center"/>
    </xf>
    <xf numFmtId="2" fontId="3" fillId="0" borderId="22" xfId="0" applyNumberFormat="1" applyFont="1" applyBorder="1" applyAlignment="1">
      <alignment horizontal="center"/>
    </xf>
    <xf numFmtId="0" fontId="32" fillId="0" borderId="18" xfId="0" applyFont="1" applyBorder="1"/>
    <xf numFmtId="166" fontId="32" fillId="15" borderId="90" xfId="0" applyNumberFormat="1" applyFont="1" applyFill="1" applyBorder="1" applyAlignment="1">
      <alignment horizontal="center"/>
    </xf>
    <xf numFmtId="166" fontId="32" fillId="15" borderId="87" xfId="0" applyNumberFormat="1" applyFont="1" applyFill="1" applyBorder="1" applyAlignment="1">
      <alignment horizontal="center"/>
    </xf>
    <xf numFmtId="0" fontId="0" fillId="0" borderId="64" xfId="0" applyBorder="1"/>
    <xf numFmtId="0" fontId="33" fillId="0" borderId="0" xfId="0" applyFont="1" applyBorder="1"/>
    <xf numFmtId="0" fontId="1" fillId="0" borderId="21" xfId="0" applyFont="1" applyBorder="1"/>
    <xf numFmtId="2" fontId="32" fillId="26" borderId="52" xfId="0" applyNumberFormat="1" applyFont="1" applyFill="1" applyBorder="1" applyAlignment="1">
      <alignment horizontal="center"/>
    </xf>
    <xf numFmtId="10" fontId="0" fillId="0" borderId="22" xfId="0" applyNumberFormat="1" applyBorder="1" applyAlignment="1">
      <alignment horizontal="center"/>
    </xf>
    <xf numFmtId="166" fontId="0" fillId="15" borderId="52" xfId="1" applyNumberFormat="1" applyFont="1" applyFill="1" applyBorder="1" applyAlignment="1">
      <alignment horizontal="center"/>
    </xf>
    <xf numFmtId="0" fontId="3" fillId="0" borderId="0" xfId="0" applyFont="1" applyBorder="1"/>
    <xf numFmtId="0" fontId="3" fillId="0" borderId="22" xfId="0" applyFont="1" applyBorder="1" applyAlignment="1">
      <alignment horizontal="center"/>
    </xf>
    <xf numFmtId="166" fontId="0" fillId="0" borderId="6" xfId="0" applyNumberFormat="1" applyBorder="1"/>
    <xf numFmtId="0" fontId="3" fillId="0" borderId="52" xfId="0" applyFont="1" applyBorder="1"/>
    <xf numFmtId="0" fontId="3" fillId="0" borderId="24" xfId="0" applyFont="1" applyBorder="1"/>
    <xf numFmtId="0" fontId="3" fillId="0" borderId="22" xfId="0" applyFont="1" applyBorder="1"/>
    <xf numFmtId="0" fontId="32" fillId="0" borderId="21" xfId="0" applyFont="1" applyBorder="1"/>
    <xf numFmtId="166" fontId="32" fillId="35" borderId="52" xfId="0" applyNumberFormat="1" applyFont="1" applyFill="1" applyBorder="1" applyAlignment="1">
      <alignment horizontal="center"/>
    </xf>
    <xf numFmtId="166" fontId="32" fillId="35" borderId="85" xfId="0" applyNumberFormat="1" applyFont="1" applyFill="1" applyBorder="1" applyAlignment="1">
      <alignment horizontal="center"/>
    </xf>
    <xf numFmtId="16" fontId="0" fillId="0" borderId="23" xfId="0" quotePrefix="1" applyNumberFormat="1" applyBorder="1" applyAlignment="1">
      <alignment horizontal="center"/>
    </xf>
    <xf numFmtId="0" fontId="1" fillId="0" borderId="10" xfId="0" applyFont="1" applyFill="1" applyBorder="1" applyAlignment="1">
      <alignment horizontal="left"/>
    </xf>
    <xf numFmtId="0" fontId="0" fillId="0" borderId="91" xfId="0" applyBorder="1" applyAlignment="1">
      <alignment horizontal="center"/>
    </xf>
    <xf numFmtId="0" fontId="0" fillId="0" borderId="29" xfId="0" applyBorder="1" applyAlignment="1">
      <alignment horizontal="center"/>
    </xf>
    <xf numFmtId="0" fontId="0" fillId="0" borderId="15" xfId="0" applyFill="1" applyBorder="1" applyAlignment="1">
      <alignment horizontal="center"/>
    </xf>
    <xf numFmtId="0" fontId="0" fillId="0" borderId="15" xfId="0" applyBorder="1"/>
    <xf numFmtId="164" fontId="0" fillId="0" borderId="9" xfId="0" applyNumberFormat="1" applyBorder="1" applyAlignment="1">
      <alignment horizontal="center"/>
    </xf>
    <xf numFmtId="164" fontId="0" fillId="0" borderId="2" xfId="0" applyNumberFormat="1" applyBorder="1" applyAlignment="1">
      <alignment horizontal="center"/>
    </xf>
    <xf numFmtId="0" fontId="0" fillId="2" borderId="17" xfId="0" applyFill="1" applyBorder="1" applyAlignment="1">
      <alignment horizontal="center"/>
    </xf>
    <xf numFmtId="180" fontId="0" fillId="2" borderId="17" xfId="0" applyNumberFormat="1" applyFill="1" applyBorder="1" applyAlignment="1">
      <alignment horizontal="center"/>
    </xf>
    <xf numFmtId="164" fontId="0" fillId="0" borderId="6" xfId="0" applyNumberFormat="1" applyBorder="1" applyAlignment="1">
      <alignment horizontal="center"/>
    </xf>
    <xf numFmtId="0" fontId="0" fillId="0" borderId="0" xfId="0" quotePrefix="1" applyBorder="1"/>
    <xf numFmtId="0" fontId="0" fillId="0" borderId="3" xfId="0" applyBorder="1" applyAlignment="1">
      <alignment horizontal="center"/>
    </xf>
    <xf numFmtId="164" fontId="0" fillId="0" borderId="4" xfId="0" applyNumberFormat="1" applyBorder="1" applyAlignment="1">
      <alignment horizontal="center"/>
    </xf>
    <xf numFmtId="0" fontId="0" fillId="0" borderId="5" xfId="0" applyBorder="1" applyAlignment="1">
      <alignment horizontal="center"/>
    </xf>
    <xf numFmtId="9" fontId="0" fillId="0" borderId="23" xfId="0" applyNumberFormat="1" applyBorder="1"/>
    <xf numFmtId="165" fontId="0" fillId="0" borderId="21" xfId="0" applyNumberFormat="1" applyBorder="1"/>
    <xf numFmtId="180" fontId="0" fillId="5" borderId="52" xfId="0" applyNumberFormat="1" applyFill="1" applyBorder="1" applyAlignment="1">
      <alignment horizontal="center"/>
    </xf>
    <xf numFmtId="180" fontId="0" fillId="0" borderId="0" xfId="0" applyNumberFormat="1" applyBorder="1" applyAlignment="1">
      <alignment horizontal="center"/>
    </xf>
    <xf numFmtId="166" fontId="0" fillId="28" borderId="52" xfId="0" applyNumberFormat="1" applyFill="1" applyBorder="1"/>
    <xf numFmtId="0" fontId="0" fillId="0" borderId="92" xfId="0" applyBorder="1"/>
    <xf numFmtId="9" fontId="0" fillId="0" borderId="52" xfId="0" applyNumberFormat="1" applyBorder="1"/>
    <xf numFmtId="0" fontId="0" fillId="0" borderId="0" xfId="0" quotePrefix="1" applyBorder="1" applyAlignment="1">
      <alignment horizontal="center" wrapText="1"/>
    </xf>
    <xf numFmtId="175" fontId="0" fillId="0" borderId="18" xfId="0" applyNumberFormat="1" applyBorder="1"/>
    <xf numFmtId="175" fontId="0" fillId="0" borderId="23" xfId="0" applyNumberFormat="1" applyBorder="1"/>
    <xf numFmtId="166" fontId="3" fillId="0" borderId="24" xfId="0" applyNumberFormat="1" applyFont="1" applyBorder="1"/>
    <xf numFmtId="0" fontId="0" fillId="0" borderId="63" xfId="0" applyBorder="1" applyAlignment="1">
      <alignment horizontal="center"/>
    </xf>
    <xf numFmtId="0" fontId="0" fillId="0" borderId="54" xfId="0" applyBorder="1" applyAlignment="1">
      <alignment horizontal="center"/>
    </xf>
    <xf numFmtId="0" fontId="0" fillId="0" borderId="64" xfId="0" applyBorder="1" applyAlignment="1">
      <alignment horizontal="center"/>
    </xf>
    <xf numFmtId="0" fontId="0" fillId="0" borderId="0" xfId="0" applyBorder="1" applyAlignment="1">
      <alignment horizontal="center"/>
    </xf>
    <xf numFmtId="2" fontId="0" fillId="14" borderId="0" xfId="0" applyNumberFormat="1" applyFill="1" applyBorder="1" applyAlignment="1">
      <alignment horizontal="center"/>
    </xf>
    <xf numFmtId="2" fontId="0" fillId="14" borderId="6" xfId="0" applyNumberFormat="1" applyFill="1" applyBorder="1" applyAlignment="1">
      <alignment horizontal="center"/>
    </xf>
    <xf numFmtId="2" fontId="0" fillId="14" borderId="93" xfId="0" applyNumberFormat="1" applyFill="1" applyBorder="1" applyAlignment="1">
      <alignment horizontal="center"/>
    </xf>
    <xf numFmtId="2" fontId="0" fillId="14" borderId="14" xfId="0" applyNumberFormat="1" applyFill="1" applyBorder="1" applyAlignment="1">
      <alignment horizontal="center"/>
    </xf>
    <xf numFmtId="2" fontId="0" fillId="14" borderId="49" xfId="0" applyNumberFormat="1" applyFill="1" applyBorder="1" applyAlignment="1">
      <alignment horizontal="center"/>
    </xf>
    <xf numFmtId="2" fontId="0" fillId="14" borderId="58" xfId="0" applyNumberFormat="1" applyFill="1" applyBorder="1" applyAlignment="1">
      <alignment horizontal="center"/>
    </xf>
    <xf numFmtId="2" fontId="0" fillId="14" borderId="8" xfId="0" applyNumberFormat="1" applyFill="1" applyBorder="1" applyAlignment="1">
      <alignment horizontal="center"/>
    </xf>
    <xf numFmtId="2" fontId="0" fillId="14" borderId="23" xfId="0" applyNumberFormat="1" applyFill="1" applyBorder="1" applyAlignment="1">
      <alignment horizontal="center"/>
    </xf>
    <xf numFmtId="2" fontId="0" fillId="22" borderId="5" xfId="0" applyNumberFormat="1" applyFill="1" applyBorder="1" applyAlignment="1">
      <alignment horizontal="center"/>
    </xf>
    <xf numFmtId="2" fontId="0" fillId="22" borderId="94" xfId="0" applyNumberFormat="1" applyFill="1" applyBorder="1" applyAlignment="1">
      <alignment horizontal="center"/>
    </xf>
    <xf numFmtId="2" fontId="0" fillId="22" borderId="13" xfId="0" applyNumberFormat="1" applyFill="1" applyBorder="1" applyAlignment="1">
      <alignment horizontal="center"/>
    </xf>
    <xf numFmtId="2" fontId="0" fillId="22" borderId="38" xfId="0" applyNumberFormat="1" applyFill="1" applyBorder="1" applyAlignment="1">
      <alignment horizontal="center"/>
    </xf>
    <xf numFmtId="0" fontId="0" fillId="0" borderId="29" xfId="0" applyBorder="1"/>
    <xf numFmtId="0" fontId="16" fillId="20" borderId="11" xfId="0" applyFont="1" applyFill="1" applyBorder="1" applyAlignment="1">
      <alignment horizontal="center"/>
    </xf>
    <xf numFmtId="166" fontId="0" fillId="0" borderId="0" xfId="0" applyNumberFormat="1" applyAlignment="1"/>
    <xf numFmtId="0" fontId="22" fillId="0" borderId="0" xfId="0" applyFont="1" applyAlignment="1"/>
    <xf numFmtId="0" fontId="34" fillId="0" borderId="0" xfId="0" applyFont="1" applyAlignment="1"/>
    <xf numFmtId="166" fontId="0" fillId="0" borderId="0" xfId="0" applyNumberFormat="1" applyAlignment="1">
      <alignment horizontal="center"/>
    </xf>
    <xf numFmtId="168" fontId="0" fillId="0" borderId="0" xfId="0" applyNumberFormat="1" applyAlignment="1">
      <alignment horizontal="center"/>
    </xf>
    <xf numFmtId="175" fontId="0" fillId="0" borderId="0" xfId="0" applyNumberFormat="1" applyFill="1" applyBorder="1" applyAlignment="1">
      <alignment horizontal="right"/>
    </xf>
    <xf numFmtId="178" fontId="0" fillId="0" borderId="0" xfId="0" applyNumberFormat="1" applyFill="1" applyBorder="1" applyAlignment="1">
      <alignment horizontal="center"/>
    </xf>
    <xf numFmtId="166" fontId="0" fillId="0" borderId="6" xfId="0" applyNumberFormat="1" applyBorder="1" applyAlignment="1">
      <alignment horizontal="center"/>
    </xf>
    <xf numFmtId="183" fontId="0" fillId="0" borderId="0" xfId="1" applyNumberFormat="1" applyFont="1" applyFill="1" applyBorder="1" applyAlignment="1">
      <alignment horizontal="center"/>
    </xf>
    <xf numFmtId="164" fontId="0" fillId="0" borderId="0" xfId="0" applyNumberFormat="1" applyAlignment="1">
      <alignment horizontal="center"/>
    </xf>
    <xf numFmtId="166" fontId="0" fillId="0" borderId="0" xfId="0" applyNumberFormat="1" applyFill="1" applyBorder="1" applyAlignment="1">
      <alignment horizontal="center"/>
    </xf>
    <xf numFmtId="0" fontId="0" fillId="13" borderId="0" xfId="0" applyFill="1" applyBorder="1" applyAlignment="1">
      <alignment horizontal="center"/>
    </xf>
    <xf numFmtId="164" fontId="0" fillId="7" borderId="17" xfId="0" applyNumberFormat="1" applyFill="1" applyBorder="1"/>
    <xf numFmtId="168" fontId="0" fillId="0" borderId="0" xfId="0" applyNumberFormat="1" applyFill="1" applyBorder="1" applyAlignment="1">
      <alignment horizontal="center"/>
    </xf>
    <xf numFmtId="0" fontId="0" fillId="0" borderId="0" xfId="0" applyFill="1" applyBorder="1" applyAlignment="1">
      <alignment horizontal="center"/>
    </xf>
    <xf numFmtId="184" fontId="0" fillId="0" borderId="0" xfId="0" applyNumberFormat="1" applyFill="1" applyBorder="1"/>
    <xf numFmtId="0" fontId="0" fillId="0" borderId="0" xfId="0" applyBorder="1" applyAlignment="1">
      <alignment horizontal="center"/>
    </xf>
    <xf numFmtId="0" fontId="0" fillId="0" borderId="4" xfId="0" applyBorder="1" applyAlignment="1">
      <alignment horizontal="center"/>
    </xf>
    <xf numFmtId="2" fontId="0" fillId="0" borderId="3" xfId="0" applyNumberFormat="1" applyBorder="1" applyAlignment="1">
      <alignment horizontal="center"/>
    </xf>
    <xf numFmtId="4" fontId="0" fillId="0" borderId="0" xfId="1" applyNumberFormat="1" applyFont="1" applyBorder="1" applyAlignment="1">
      <alignment horizontal="center"/>
    </xf>
    <xf numFmtId="0" fontId="0" fillId="0" borderId="0" xfId="0" applyNumberFormat="1" applyBorder="1"/>
    <xf numFmtId="9" fontId="0" fillId="0" borderId="64" xfId="0" applyNumberFormat="1" applyBorder="1" applyAlignment="1">
      <alignment horizontal="center"/>
    </xf>
    <xf numFmtId="0" fontId="0" fillId="0" borderId="64" xfId="0" applyFill="1" applyBorder="1" applyAlignment="1">
      <alignment horizontal="center"/>
    </xf>
    <xf numFmtId="178" fontId="0" fillId="0" borderId="54" xfId="0" applyNumberFormat="1" applyFill="1" applyBorder="1" applyAlignment="1">
      <alignment horizontal="center"/>
    </xf>
    <xf numFmtId="4" fontId="0" fillId="0" borderId="0" xfId="1" applyNumberFormat="1" applyFont="1" applyBorder="1" applyAlignment="1">
      <alignment horizontal="left"/>
    </xf>
    <xf numFmtId="2" fontId="0" fillId="36" borderId="6" xfId="0" applyNumberFormat="1" applyFill="1" applyBorder="1" applyAlignment="1">
      <alignment horizontal="center"/>
    </xf>
    <xf numFmtId="2" fontId="0" fillId="37" borderId="6" xfId="0" applyNumberFormat="1" applyFill="1" applyBorder="1" applyAlignment="1">
      <alignment horizontal="center"/>
    </xf>
    <xf numFmtId="2" fontId="0" fillId="38" borderId="4" xfId="0" applyNumberFormat="1" applyFill="1" applyBorder="1" applyAlignment="1">
      <alignment horizontal="center"/>
    </xf>
    <xf numFmtId="2" fontId="0" fillId="39" borderId="0" xfId="0" applyNumberFormat="1" applyFill="1" applyAlignment="1">
      <alignment horizontal="center"/>
    </xf>
    <xf numFmtId="166" fontId="0" fillId="39" borderId="6" xfId="0" applyNumberFormat="1" applyFill="1" applyBorder="1" applyAlignment="1">
      <alignment horizontal="center"/>
    </xf>
    <xf numFmtId="166" fontId="0" fillId="29" borderId="0" xfId="0" applyNumberFormat="1" applyFill="1" applyAlignment="1">
      <alignment horizontal="center"/>
    </xf>
    <xf numFmtId="167" fontId="0" fillId="23" borderId="24" xfId="0" applyNumberFormat="1" applyFill="1" applyBorder="1" applyAlignment="1">
      <alignment horizontal="center"/>
    </xf>
    <xf numFmtId="168" fontId="0" fillId="0" borderId="26" xfId="0" applyNumberFormat="1" applyBorder="1" applyAlignment="1">
      <alignment horizontal="center"/>
    </xf>
    <xf numFmtId="167" fontId="0" fillId="0" borderId="24" xfId="0" applyNumberFormat="1" applyFill="1" applyBorder="1" applyAlignment="1">
      <alignment horizontal="center"/>
    </xf>
    <xf numFmtId="2" fontId="0" fillId="39" borderId="6" xfId="0" applyNumberFormat="1" applyFill="1" applyBorder="1" applyAlignment="1">
      <alignment horizontal="center"/>
    </xf>
    <xf numFmtId="2" fontId="0" fillId="38" borderId="6" xfId="0" applyNumberFormat="1" applyFill="1" applyBorder="1" applyAlignment="1">
      <alignment horizontal="center"/>
    </xf>
    <xf numFmtId="2" fontId="0" fillId="8" borderId="6" xfId="0" applyNumberFormat="1" applyFill="1" applyBorder="1" applyAlignment="1">
      <alignment horizontal="center"/>
    </xf>
    <xf numFmtId="0" fontId="0" fillId="0" borderId="0" xfId="0" quotePrefix="1" applyAlignment="1"/>
    <xf numFmtId="0" fontId="0" fillId="2" borderId="8" xfId="0" applyFill="1" applyBorder="1" applyAlignment="1">
      <alignment horizontal="center"/>
    </xf>
    <xf numFmtId="2" fontId="0" fillId="2" borderId="7" xfId="1" applyNumberFormat="1" applyFont="1" applyFill="1" applyBorder="1" applyAlignment="1">
      <alignment horizontal="center"/>
    </xf>
    <xf numFmtId="2" fontId="0" fillId="2" borderId="0" xfId="1" applyNumberFormat="1" applyFont="1" applyFill="1" applyBorder="1" applyAlignment="1">
      <alignment horizontal="center"/>
    </xf>
    <xf numFmtId="2" fontId="0" fillId="2" borderId="8" xfId="1" applyNumberFormat="1" applyFont="1" applyFill="1" applyBorder="1" applyAlignment="1">
      <alignment horizontal="center"/>
    </xf>
    <xf numFmtId="2" fontId="0" fillId="2" borderId="23" xfId="1" applyNumberFormat="1" applyFont="1" applyFill="1" applyBorder="1" applyAlignment="1">
      <alignment horizontal="center"/>
    </xf>
    <xf numFmtId="2" fontId="0" fillId="15" borderId="8" xfId="1" applyNumberFormat="1" applyFont="1" applyFill="1" applyBorder="1" applyAlignment="1">
      <alignment horizontal="center"/>
    </xf>
    <xf numFmtId="2" fontId="0" fillId="14" borderId="0" xfId="1" applyNumberFormat="1" applyFont="1" applyFill="1" applyBorder="1" applyAlignment="1">
      <alignment horizontal="center"/>
    </xf>
    <xf numFmtId="2" fontId="0" fillId="14" borderId="8" xfId="1" applyNumberFormat="1" applyFont="1" applyFill="1" applyBorder="1" applyAlignment="1">
      <alignment horizontal="center"/>
    </xf>
    <xf numFmtId="2" fontId="0" fillId="14" borderId="23" xfId="1" applyNumberFormat="1" applyFont="1" applyFill="1" applyBorder="1" applyAlignment="1">
      <alignment horizontal="center"/>
    </xf>
    <xf numFmtId="2" fontId="0" fillId="13" borderId="7" xfId="1" applyNumberFormat="1" applyFont="1" applyFill="1" applyBorder="1" applyAlignment="1">
      <alignment horizontal="center"/>
    </xf>
    <xf numFmtId="2" fontId="0" fillId="13" borderId="0" xfId="1" applyNumberFormat="1" applyFont="1" applyFill="1" applyBorder="1" applyAlignment="1">
      <alignment horizontal="center"/>
    </xf>
    <xf numFmtId="2" fontId="0" fillId="13" borderId="8" xfId="1" applyNumberFormat="1" applyFont="1" applyFill="1" applyBorder="1" applyAlignment="1">
      <alignment horizontal="center"/>
    </xf>
    <xf numFmtId="2" fontId="0" fillId="13" borderId="23" xfId="1" applyNumberFormat="1" applyFont="1" applyFill="1" applyBorder="1" applyAlignment="1">
      <alignment horizontal="center"/>
    </xf>
    <xf numFmtId="0" fontId="0" fillId="15" borderId="14" xfId="0" applyFill="1" applyBorder="1" applyAlignment="1">
      <alignment horizontal="center"/>
    </xf>
    <xf numFmtId="2" fontId="0" fillId="15" borderId="4" xfId="1" applyNumberFormat="1" applyFont="1" applyFill="1" applyBorder="1" applyAlignment="1">
      <alignment horizontal="center"/>
    </xf>
    <xf numFmtId="2" fontId="0" fillId="15" borderId="6" xfId="1" applyNumberFormat="1" applyFont="1" applyFill="1" applyBorder="1" applyAlignment="1">
      <alignment horizontal="center"/>
    </xf>
    <xf numFmtId="2" fontId="0" fillId="15" borderId="19" xfId="1" applyNumberFormat="1" applyFont="1" applyFill="1" applyBorder="1" applyAlignment="1">
      <alignment horizontal="center"/>
    </xf>
    <xf numFmtId="0" fontId="0" fillId="26" borderId="13" xfId="0" quotePrefix="1" applyFill="1" applyBorder="1" applyAlignment="1">
      <alignment horizontal="center"/>
    </xf>
    <xf numFmtId="2" fontId="0" fillId="26" borderId="3" xfId="1" applyNumberFormat="1" applyFont="1" applyFill="1" applyBorder="1" applyAlignment="1">
      <alignment horizontal="center"/>
    </xf>
    <xf numFmtId="2" fontId="0" fillId="26" borderId="5" xfId="1" applyNumberFormat="1" applyFont="1" applyFill="1" applyBorder="1" applyAlignment="1">
      <alignment horizontal="center"/>
    </xf>
    <xf numFmtId="2" fontId="0" fillId="26" borderId="13" xfId="1" applyNumberFormat="1" applyFont="1" applyFill="1" applyBorder="1" applyAlignment="1">
      <alignment horizontal="center"/>
    </xf>
    <xf numFmtId="2" fontId="0" fillId="26" borderId="18" xfId="1" applyNumberFormat="1" applyFont="1" applyFill="1" applyBorder="1" applyAlignment="1">
      <alignment horizontal="center"/>
    </xf>
    <xf numFmtId="0" fontId="3" fillId="8" borderId="63" xfId="0" applyFont="1" applyFill="1" applyBorder="1" applyAlignment="1">
      <alignment horizontal="left" vertical="center"/>
    </xf>
    <xf numFmtId="0" fontId="3" fillId="8" borderId="54" xfId="0" applyFont="1" applyFill="1" applyBorder="1" applyAlignment="1">
      <alignment horizontal="left" vertical="center"/>
    </xf>
    <xf numFmtId="0" fontId="0" fillId="13" borderId="20" xfId="0" applyFill="1" applyBorder="1" applyAlignment="1">
      <alignment horizontal="center"/>
    </xf>
    <xf numFmtId="2" fontId="0" fillId="14" borderId="4" xfId="1" applyNumberFormat="1" applyFont="1" applyFill="1" applyBorder="1" applyAlignment="1">
      <alignment horizontal="center"/>
    </xf>
    <xf numFmtId="2" fontId="0" fillId="14" borderId="39" xfId="1" applyNumberFormat="1" applyFont="1" applyFill="1" applyBorder="1" applyAlignment="1">
      <alignment horizontal="center"/>
    </xf>
    <xf numFmtId="2" fontId="0" fillId="14" borderId="6" xfId="1" applyNumberFormat="1" applyFont="1" applyFill="1" applyBorder="1" applyAlignment="1">
      <alignment horizontal="center"/>
    </xf>
    <xf numFmtId="2" fontId="0" fillId="13" borderId="13" xfId="1" applyNumberFormat="1" applyFont="1" applyFill="1" applyBorder="1" applyAlignment="1">
      <alignment horizontal="center"/>
    </xf>
    <xf numFmtId="2" fontId="0" fillId="14" borderId="14" xfId="1" applyNumberFormat="1" applyFont="1" applyFill="1" applyBorder="1" applyAlignment="1">
      <alignment horizontal="center"/>
    </xf>
    <xf numFmtId="2" fontId="0" fillId="13" borderId="18" xfId="1" applyNumberFormat="1" applyFont="1" applyFill="1" applyBorder="1" applyAlignment="1">
      <alignment horizontal="center"/>
    </xf>
    <xf numFmtId="2" fontId="0" fillId="14" borderId="49" xfId="1" applyNumberFormat="1" applyFont="1" applyFill="1" applyBorder="1" applyAlignment="1">
      <alignment horizontal="center"/>
    </xf>
    <xf numFmtId="171" fontId="0" fillId="0" borderId="0" xfId="0" applyNumberFormat="1" applyAlignment="1"/>
    <xf numFmtId="11" fontId="0" fillId="0" borderId="0" xfId="0" applyNumberFormat="1" applyAlignment="1"/>
    <xf numFmtId="0" fontId="29" fillId="0" borderId="10" xfId="0" applyFont="1" applyBorder="1" applyAlignment="1">
      <alignment horizontal="center" wrapText="1"/>
    </xf>
    <xf numFmtId="0" fontId="29" fillId="0" borderId="12" xfId="0" applyFont="1" applyBorder="1" applyAlignment="1">
      <alignment horizontal="center" wrapText="1"/>
    </xf>
    <xf numFmtId="0" fontId="29" fillId="0" borderId="18" xfId="0" applyFont="1" applyBorder="1" applyAlignment="1">
      <alignment horizontal="center" wrapText="1"/>
    </xf>
    <xf numFmtId="0" fontId="29" fillId="0" borderId="19" xfId="0" applyFont="1" applyBorder="1" applyAlignment="1">
      <alignment horizontal="center" wrapText="1"/>
    </xf>
    <xf numFmtId="166" fontId="0" fillId="21" borderId="30" xfId="1" applyNumberFormat="1" applyFont="1" applyFill="1" applyBorder="1" applyAlignment="1">
      <alignment horizontal="center"/>
    </xf>
    <xf numFmtId="166" fontId="0" fillId="21" borderId="31" xfId="1" applyNumberFormat="1" applyFont="1" applyFill="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51"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10" fillId="0" borderId="1" xfId="0" applyFont="1" applyBorder="1" applyAlignment="1">
      <alignment horizontal="center" wrapText="1"/>
    </xf>
    <xf numFmtId="0" fontId="10" fillId="0" borderId="9" xfId="0" applyFont="1" applyBorder="1" applyAlignment="1">
      <alignment horizontal="center" wrapText="1"/>
    </xf>
    <xf numFmtId="0" fontId="10" fillId="0" borderId="5" xfId="0" applyFont="1" applyBorder="1" applyAlignment="1">
      <alignment horizontal="center" wrapText="1"/>
    </xf>
    <xf numFmtId="0" fontId="10" fillId="0" borderId="0" xfId="0" applyFont="1" applyBorder="1" applyAlignment="1">
      <alignment horizontal="center" wrapText="1"/>
    </xf>
    <xf numFmtId="0" fontId="10" fillId="0" borderId="3" xfId="0" applyFont="1" applyBorder="1" applyAlignment="1">
      <alignment horizontal="center" wrapText="1"/>
    </xf>
    <xf numFmtId="0" fontId="10" fillId="0" borderId="7" xfId="0" applyFont="1" applyBorder="1" applyAlignment="1">
      <alignment horizont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13" fillId="0" borderId="0" xfId="0" applyFont="1" applyBorder="1" applyAlignment="1">
      <alignment horizontal="center" vertical="center"/>
    </xf>
    <xf numFmtId="0" fontId="13" fillId="0" borderId="6" xfId="0" applyFont="1" applyBorder="1" applyAlignment="1">
      <alignment horizontal="center" vertical="center"/>
    </xf>
    <xf numFmtId="0" fontId="0" fillId="0" borderId="0" xfId="0" applyBorder="1" applyAlignment="1">
      <alignment horizontal="center" wrapText="1"/>
    </xf>
    <xf numFmtId="0" fontId="0" fillId="0" borderId="1"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wrapText="1"/>
    </xf>
    <xf numFmtId="0" fontId="0" fillId="0" borderId="0" xfId="0" applyBorder="1" applyAlignment="1">
      <alignment horizontal="center"/>
    </xf>
    <xf numFmtId="0" fontId="1" fillId="0" borderId="0" xfId="0" applyFont="1" applyFill="1" applyBorder="1" applyAlignment="1">
      <alignment horizontal="center"/>
    </xf>
    <xf numFmtId="0" fontId="1" fillId="0" borderId="0" xfId="0" applyFont="1" applyBorder="1" applyAlignment="1">
      <alignment horizontal="center"/>
    </xf>
    <xf numFmtId="0" fontId="0" fillId="0" borderId="1" xfId="0" applyFont="1" applyFill="1" applyBorder="1" applyAlignment="1">
      <alignment horizontal="center"/>
    </xf>
    <xf numFmtId="0" fontId="0" fillId="0" borderId="2" xfId="0" applyFont="1" applyFill="1" applyBorder="1" applyAlignment="1">
      <alignment horizontal="center"/>
    </xf>
    <xf numFmtId="0" fontId="0" fillId="0" borderId="9" xfId="0" applyFont="1" applyFill="1" applyBorder="1" applyAlignment="1">
      <alignment horizontal="center"/>
    </xf>
    <xf numFmtId="0" fontId="0" fillId="0" borderId="52" xfId="0" applyBorder="1" applyAlignment="1">
      <alignment horizontal="center"/>
    </xf>
    <xf numFmtId="0" fontId="0" fillId="22" borderId="13" xfId="0" applyFill="1" applyBorder="1" applyAlignment="1">
      <alignment horizontal="center"/>
    </xf>
    <xf numFmtId="0" fontId="0" fillId="22" borderId="41" xfId="0" applyFill="1" applyBorder="1" applyAlignment="1">
      <alignment horizontal="center"/>
    </xf>
    <xf numFmtId="0" fontId="0" fillId="22" borderId="36" xfId="0" applyFill="1" applyBorder="1" applyAlignment="1">
      <alignment horizontal="center"/>
    </xf>
    <xf numFmtId="0" fontId="0" fillId="22" borderId="14" xfId="0" applyFill="1" applyBorder="1" applyAlignment="1">
      <alignment horizontal="center"/>
    </xf>
    <xf numFmtId="0" fontId="0" fillId="22" borderId="8" xfId="0" applyFill="1" applyBorder="1" applyAlignment="1">
      <alignment horizontal="center"/>
    </xf>
    <xf numFmtId="0" fontId="0" fillId="23" borderId="0" xfId="0" applyFill="1" applyBorder="1" applyAlignment="1">
      <alignment horizontal="center" wrapText="1"/>
    </xf>
    <xf numFmtId="0" fontId="0" fillId="23" borderId="0" xfId="0" applyFill="1" applyBorder="1" applyAlignment="1">
      <alignment horizontal="center" vertical="center" wrapText="1"/>
    </xf>
    <xf numFmtId="0" fontId="0" fillId="0" borderId="44" xfId="0" applyBorder="1" applyAlignment="1">
      <alignment horizontal="center"/>
    </xf>
    <xf numFmtId="0" fontId="0" fillId="0" borderId="46"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45" xfId="0" applyBorder="1" applyAlignment="1">
      <alignment horizontal="center"/>
    </xf>
    <xf numFmtId="0" fontId="16" fillId="20" borderId="24" xfId="0" applyFont="1" applyFill="1" applyBorder="1" applyAlignment="1">
      <alignment horizontal="center" vertical="center"/>
    </xf>
    <xf numFmtId="0" fontId="16" fillId="20" borderId="25" xfId="0" applyFont="1" applyFill="1" applyBorder="1" applyAlignment="1">
      <alignment horizontal="center" vertical="center"/>
    </xf>
    <xf numFmtId="0" fontId="0" fillId="20" borderId="25" xfId="0" applyFill="1" applyBorder="1" applyAlignment="1">
      <alignment horizontal="center" vertical="center"/>
    </xf>
    <xf numFmtId="0" fontId="0" fillId="20" borderId="26" xfId="0" applyFill="1" applyBorder="1" applyAlignment="1">
      <alignment horizontal="center" vertical="center"/>
    </xf>
    <xf numFmtId="0" fontId="0" fillId="29" borderId="0" xfId="0" applyFill="1" applyAlignment="1">
      <alignment horizontal="left"/>
    </xf>
    <xf numFmtId="0" fontId="0" fillId="0" borderId="63" xfId="0" applyBorder="1" applyAlignment="1">
      <alignment horizontal="center"/>
    </xf>
    <xf numFmtId="0" fontId="0" fillId="0" borderId="54" xfId="0" applyBorder="1" applyAlignment="1">
      <alignment horizontal="center"/>
    </xf>
    <xf numFmtId="0" fontId="3" fillId="8" borderId="1" xfId="0" applyFont="1" applyFill="1" applyBorder="1" applyAlignment="1">
      <alignment horizontal="center" vertical="center"/>
    </xf>
    <xf numFmtId="0" fontId="3" fillId="8" borderId="9" xfId="0" applyFont="1" applyFill="1" applyBorder="1" applyAlignment="1">
      <alignment horizontal="center" vertical="center"/>
    </xf>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64" xfId="0" applyBorder="1" applyAlignment="1">
      <alignment horizontal="center"/>
    </xf>
    <xf numFmtId="0" fontId="0" fillId="0" borderId="7" xfId="0" applyBorder="1" applyAlignment="1">
      <alignment horizontal="center"/>
    </xf>
    <xf numFmtId="2" fontId="10" fillId="0" borderId="0" xfId="0" applyNumberFormat="1" applyFont="1" applyBorder="1" applyAlignment="1">
      <alignment horizontal="left" vertical="top"/>
    </xf>
    <xf numFmtId="0" fontId="0" fillId="21" borderId="0" xfId="0" applyFill="1" applyAlignment="1">
      <alignment horizontal="center"/>
    </xf>
    <xf numFmtId="0" fontId="0" fillId="0" borderId="23" xfId="0" applyBorder="1" applyAlignment="1">
      <alignment horizontal="center"/>
    </xf>
    <xf numFmtId="0" fontId="1" fillId="0" borderId="0" xfId="0" applyFont="1"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3" fillId="0" borderId="15"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20" fillId="18" borderId="0" xfId="0" applyFont="1" applyFill="1" applyBorder="1" applyAlignment="1">
      <alignment horizontal="center"/>
    </xf>
    <xf numFmtId="0" fontId="13" fillId="0" borderId="15" xfId="0" applyFont="1" applyBorder="1" applyAlignment="1">
      <alignment horizontal="center" vertical="center" wrapText="1"/>
    </xf>
    <xf numFmtId="0" fontId="0" fillId="0" borderId="59" xfId="0" applyBorder="1" applyAlignment="1">
      <alignment horizontal="center"/>
    </xf>
    <xf numFmtId="0" fontId="0" fillId="0" borderId="61" xfId="0" applyBorder="1" applyAlignment="1">
      <alignment horizontal="center"/>
    </xf>
    <xf numFmtId="0" fontId="0" fillId="0" borderId="73"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18" xfId="0" applyBorder="1" applyAlignment="1">
      <alignment horizontal="center"/>
    </xf>
    <xf numFmtId="0" fontId="0" fillId="0" borderId="19" xfId="0" applyBorder="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DF41CC"/>
      <color rgb="FFB8FAC0"/>
      <color rgb="FF088236"/>
      <color rgb="FF72F2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9.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Probability that</a:t>
            </a:r>
            <a:r>
              <a:rPr lang="en-US" baseline="0"/>
              <a:t> Donald Trump is Re-Elected</a:t>
            </a:r>
            <a:endParaRPr lang="en-US"/>
          </a:p>
        </c:rich>
      </c:tx>
      <c:overlay val="0"/>
    </c:title>
    <c:autoTitleDeleted val="0"/>
    <c:plotArea>
      <c:layout/>
      <c:lineChart>
        <c:grouping val="standard"/>
        <c:varyColors val="0"/>
        <c:ser>
          <c:idx val="0"/>
          <c:order val="0"/>
          <c:marker>
            <c:symbol val="none"/>
          </c:marker>
          <c:val>
            <c:numRef>
              <c:f>'Simple Example'!$H$15:$H$31</c:f>
              <c:numCache>
                <c:formatCode>0.0%</c:formatCode>
                <c:ptCount val="17"/>
                <c:pt idx="0">
                  <c:v>0.5</c:v>
                </c:pt>
                <c:pt idx="1">
                  <c:v>0.46434632916602836</c:v>
                </c:pt>
                <c:pt idx="2">
                  <c:v>0.67134745348273006</c:v>
                </c:pt>
                <c:pt idx="3">
                  <c:v>0.152608664842631</c:v>
                </c:pt>
                <c:pt idx="4">
                  <c:v>0.5</c:v>
                </c:pt>
                <c:pt idx="5">
                  <c:v>0.11920292202211759</c:v>
                </c:pt>
                <c:pt idx="6">
                  <c:v>0.42905340311653373</c:v>
                </c:pt>
                <c:pt idx="7">
                  <c:v>0.21657909576817599</c:v>
                </c:pt>
                <c:pt idx="8">
                  <c:v>0.63909274516285142</c:v>
                </c:pt>
                <c:pt idx="9">
                  <c:v>0.11920292202211764</c:v>
                </c:pt>
                <c:pt idx="10">
                  <c:v>0.63909274516285108</c:v>
                </c:pt>
                <c:pt idx="11">
                  <c:v>0.5</c:v>
                </c:pt>
                <c:pt idx="12">
                  <c:v>4.7425873177566823E-2</c:v>
                </c:pt>
                <c:pt idx="13">
                  <c:v>0.42905340311653378</c:v>
                </c:pt>
                <c:pt idx="14">
                  <c:v>8.8865887190879463E-3</c:v>
                </c:pt>
                <c:pt idx="15">
                  <c:v>4.3701795434443556E-3</c:v>
                </c:pt>
                <c:pt idx="16">
                  <c:v>0</c:v>
                </c:pt>
              </c:numCache>
            </c:numRef>
          </c:val>
          <c:smooth val="0"/>
          <c:extLst>
            <c:ext xmlns:c16="http://schemas.microsoft.com/office/drawing/2014/chart" uri="{C3380CC4-5D6E-409C-BE32-E72D297353CC}">
              <c16:uniqueId val="{00000000-DD82-4DD3-BEAC-38FEE41726A3}"/>
            </c:ext>
          </c:extLst>
        </c:ser>
        <c:dLbls>
          <c:showLegendKey val="0"/>
          <c:showVal val="0"/>
          <c:showCatName val="0"/>
          <c:showSerName val="0"/>
          <c:showPercent val="0"/>
          <c:showBubbleSize val="0"/>
        </c:dLbls>
        <c:smooth val="0"/>
        <c:axId val="163603968"/>
        <c:axId val="163433856"/>
      </c:lineChart>
      <c:catAx>
        <c:axId val="163603968"/>
        <c:scaling>
          <c:orientation val="minMax"/>
        </c:scaling>
        <c:delete val="0"/>
        <c:axPos val="b"/>
        <c:majorTickMark val="out"/>
        <c:minorTickMark val="none"/>
        <c:tickLblPos val="nextTo"/>
        <c:crossAx val="163433856"/>
        <c:crosses val="autoZero"/>
        <c:auto val="1"/>
        <c:lblAlgn val="ctr"/>
        <c:lblOffset val="100"/>
        <c:noMultiLvlLbl val="0"/>
      </c:catAx>
      <c:valAx>
        <c:axId val="163433856"/>
        <c:scaling>
          <c:orientation val="minMax"/>
          <c:max val="1"/>
        </c:scaling>
        <c:delete val="0"/>
        <c:axPos val="l"/>
        <c:majorGridlines/>
        <c:numFmt formatCode="0.0%" sourceLinked="1"/>
        <c:majorTickMark val="out"/>
        <c:minorTickMark val="none"/>
        <c:tickLblPos val="nextTo"/>
        <c:crossAx val="16360396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LMSR!$H$68</c:f>
              <c:strCache>
                <c:ptCount val="1"/>
                <c:pt idx="0">
                  <c:v>i=0,0</c:v>
                </c:pt>
              </c:strCache>
            </c:strRef>
          </c:tx>
          <c:marker>
            <c:symbol val="none"/>
          </c:marker>
          <c:val>
            <c:numRef>
              <c:f>LMSR!$H$69:$H$76</c:f>
              <c:numCache>
                <c:formatCode>0%</c:formatCode>
                <c:ptCount val="8"/>
                <c:pt idx="0">
                  <c:v>0.25</c:v>
                </c:pt>
                <c:pt idx="1">
                  <c:v>0.25</c:v>
                </c:pt>
                <c:pt idx="2">
                  <c:v>0.35</c:v>
                </c:pt>
                <c:pt idx="3">
                  <c:v>0.34388908334498003</c:v>
                </c:pt>
                <c:pt idx="4">
                  <c:v>0.33151414279912189</c:v>
                </c:pt>
                <c:pt idx="5">
                  <c:v>0.45792577025660447</c:v>
                </c:pt>
                <c:pt idx="6">
                  <c:v>0.53777481102890734</c:v>
                </c:pt>
                <c:pt idx="7">
                  <c:v>1</c:v>
                </c:pt>
              </c:numCache>
            </c:numRef>
          </c:val>
          <c:smooth val="0"/>
          <c:extLst>
            <c:ext xmlns:c16="http://schemas.microsoft.com/office/drawing/2014/chart" uri="{C3380CC4-5D6E-409C-BE32-E72D297353CC}">
              <c16:uniqueId val="{00000000-69C8-4393-BC17-0D91099F8DBB}"/>
            </c:ext>
          </c:extLst>
        </c:ser>
        <c:ser>
          <c:idx val="2"/>
          <c:order val="1"/>
          <c:tx>
            <c:strRef>
              <c:f>LMSR!$I$68</c:f>
              <c:strCache>
                <c:ptCount val="1"/>
                <c:pt idx="0">
                  <c:v>i=0,1</c:v>
                </c:pt>
              </c:strCache>
            </c:strRef>
          </c:tx>
          <c:marker>
            <c:symbol val="none"/>
          </c:marker>
          <c:val>
            <c:numRef>
              <c:f>LMSR!$I$69:$I$76</c:f>
              <c:numCache>
                <c:formatCode>0%</c:formatCode>
                <c:ptCount val="8"/>
                <c:pt idx="0">
                  <c:v>0.25</c:v>
                </c:pt>
                <c:pt idx="1">
                  <c:v>0.25</c:v>
                </c:pt>
                <c:pt idx="2">
                  <c:v>0.21203981987370624</c:v>
                </c:pt>
                <c:pt idx="3">
                  <c:v>0.21569600589575436</c:v>
                </c:pt>
                <c:pt idx="4">
                  <c:v>0.22784611611341585</c:v>
                </c:pt>
                <c:pt idx="5">
                  <c:v>0.21630881750738612</c:v>
                </c:pt>
                <c:pt idx="6">
                  <c:v>0.15407506299036422</c:v>
                </c:pt>
                <c:pt idx="7">
                  <c:v>0</c:v>
                </c:pt>
              </c:numCache>
            </c:numRef>
          </c:val>
          <c:smooth val="0"/>
          <c:extLst>
            <c:ext xmlns:c16="http://schemas.microsoft.com/office/drawing/2014/chart" uri="{C3380CC4-5D6E-409C-BE32-E72D297353CC}">
              <c16:uniqueId val="{00000001-69C8-4393-BC17-0D91099F8DBB}"/>
            </c:ext>
          </c:extLst>
        </c:ser>
        <c:ser>
          <c:idx val="3"/>
          <c:order val="2"/>
          <c:tx>
            <c:strRef>
              <c:f>LMSR!$J$68</c:f>
              <c:strCache>
                <c:ptCount val="1"/>
                <c:pt idx="0">
                  <c:v>i=1,0</c:v>
                </c:pt>
              </c:strCache>
            </c:strRef>
          </c:tx>
          <c:marker>
            <c:symbol val="none"/>
          </c:marker>
          <c:val>
            <c:numRef>
              <c:f>LMSR!$J$69:$J$76</c:f>
              <c:numCache>
                <c:formatCode>0%</c:formatCode>
                <c:ptCount val="8"/>
                <c:pt idx="0">
                  <c:v>0.25</c:v>
                </c:pt>
                <c:pt idx="1">
                  <c:v>0.25</c:v>
                </c:pt>
                <c:pt idx="2">
                  <c:v>0.22855436119830008</c:v>
                </c:pt>
                <c:pt idx="3">
                  <c:v>0.23466526756425818</c:v>
                </c:pt>
                <c:pt idx="4">
                  <c:v>0.23478506339276881</c:v>
                </c:pt>
                <c:pt idx="5">
                  <c:v>0.14866673118077942</c:v>
                </c:pt>
                <c:pt idx="6">
                  <c:v>0.15407506299036422</c:v>
                </c:pt>
                <c:pt idx="7">
                  <c:v>0</c:v>
                </c:pt>
              </c:numCache>
            </c:numRef>
          </c:val>
          <c:smooth val="0"/>
          <c:extLst>
            <c:ext xmlns:c16="http://schemas.microsoft.com/office/drawing/2014/chart" uri="{C3380CC4-5D6E-409C-BE32-E72D297353CC}">
              <c16:uniqueId val="{00000002-69C8-4393-BC17-0D91099F8DBB}"/>
            </c:ext>
          </c:extLst>
        </c:ser>
        <c:ser>
          <c:idx val="4"/>
          <c:order val="3"/>
          <c:tx>
            <c:strRef>
              <c:f>LMSR!$K$68</c:f>
              <c:strCache>
                <c:ptCount val="1"/>
                <c:pt idx="0">
                  <c:v>i=1,1</c:v>
                </c:pt>
              </c:strCache>
            </c:strRef>
          </c:tx>
          <c:marker>
            <c:symbol val="none"/>
          </c:marker>
          <c:val>
            <c:numRef>
              <c:f>LMSR!$K$69:$K$76</c:f>
              <c:numCache>
                <c:formatCode>0%</c:formatCode>
                <c:ptCount val="8"/>
                <c:pt idx="0">
                  <c:v>0.25</c:v>
                </c:pt>
                <c:pt idx="1">
                  <c:v>0.25</c:v>
                </c:pt>
                <c:pt idx="2">
                  <c:v>0.20940581892799362</c:v>
                </c:pt>
                <c:pt idx="3">
                  <c:v>0.20574964319500744</c:v>
                </c:pt>
                <c:pt idx="4">
                  <c:v>0.20585467769469348</c:v>
                </c:pt>
                <c:pt idx="5">
                  <c:v>0.17709868105523</c:v>
                </c:pt>
                <c:pt idx="6">
                  <c:v>0.15407506299036422</c:v>
                </c:pt>
                <c:pt idx="7">
                  <c:v>0</c:v>
                </c:pt>
              </c:numCache>
            </c:numRef>
          </c:val>
          <c:smooth val="0"/>
          <c:extLst>
            <c:ext xmlns:c16="http://schemas.microsoft.com/office/drawing/2014/chart" uri="{C3380CC4-5D6E-409C-BE32-E72D297353CC}">
              <c16:uniqueId val="{00000003-69C8-4393-BC17-0D91099F8DBB}"/>
            </c:ext>
          </c:extLst>
        </c:ser>
        <c:dLbls>
          <c:showLegendKey val="0"/>
          <c:showVal val="0"/>
          <c:showCatName val="0"/>
          <c:showSerName val="0"/>
          <c:showPercent val="0"/>
          <c:showBubbleSize val="0"/>
        </c:dLbls>
        <c:smooth val="0"/>
        <c:axId val="143073792"/>
        <c:axId val="163436160"/>
      </c:lineChart>
      <c:catAx>
        <c:axId val="143073792"/>
        <c:scaling>
          <c:orientation val="minMax"/>
        </c:scaling>
        <c:delete val="0"/>
        <c:axPos val="b"/>
        <c:majorTickMark val="out"/>
        <c:minorTickMark val="none"/>
        <c:tickLblPos val="nextTo"/>
        <c:crossAx val="163436160"/>
        <c:crosses val="autoZero"/>
        <c:auto val="1"/>
        <c:lblAlgn val="ctr"/>
        <c:lblOffset val="100"/>
        <c:noMultiLvlLbl val="0"/>
      </c:catAx>
      <c:valAx>
        <c:axId val="163436160"/>
        <c:scaling>
          <c:orientation val="minMax"/>
          <c:max val="1"/>
        </c:scaling>
        <c:delete val="0"/>
        <c:axPos val="l"/>
        <c:majorGridlines/>
        <c:numFmt formatCode="0%" sourceLinked="1"/>
        <c:majorTickMark val="out"/>
        <c:minorTickMark val="none"/>
        <c:tickLblPos val="nextTo"/>
        <c:crossAx val="143073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LMSR!$AP$68</c:f>
              <c:strCache>
                <c:ptCount val="1"/>
              </c:strCache>
            </c:strRef>
          </c:tx>
          <c:val>
            <c:numRef>
              <c:f>LMSR!$AP$69:$AP$75</c:f>
              <c:numCache>
                <c:formatCode>0.0%</c:formatCode>
                <c:ptCount val="7"/>
              </c:numCache>
            </c:numRef>
          </c:val>
          <c:smooth val="0"/>
          <c:extLst>
            <c:ext xmlns:c16="http://schemas.microsoft.com/office/drawing/2014/chart" uri="{C3380CC4-5D6E-409C-BE32-E72D297353CC}">
              <c16:uniqueId val="{00000000-96CE-4B6C-A5DA-ED5F15244E77}"/>
            </c:ext>
          </c:extLst>
        </c:ser>
        <c:ser>
          <c:idx val="1"/>
          <c:order val="1"/>
          <c:tx>
            <c:strRef>
              <c:f>LMSR!$AQ$68</c:f>
              <c:strCache>
                <c:ptCount val="1"/>
              </c:strCache>
            </c:strRef>
          </c:tx>
          <c:val>
            <c:numRef>
              <c:f>LMSR!$AQ$69:$AQ$75</c:f>
              <c:numCache>
                <c:formatCode>0.0%</c:formatCode>
                <c:ptCount val="7"/>
              </c:numCache>
            </c:numRef>
          </c:val>
          <c:smooth val="0"/>
          <c:extLst>
            <c:ext xmlns:c16="http://schemas.microsoft.com/office/drawing/2014/chart" uri="{C3380CC4-5D6E-409C-BE32-E72D297353CC}">
              <c16:uniqueId val="{00000001-96CE-4B6C-A5DA-ED5F15244E77}"/>
            </c:ext>
          </c:extLst>
        </c:ser>
        <c:ser>
          <c:idx val="2"/>
          <c:order val="2"/>
          <c:tx>
            <c:strRef>
              <c:f>LMSR!$AR$68</c:f>
              <c:strCache>
                <c:ptCount val="1"/>
              </c:strCache>
            </c:strRef>
          </c:tx>
          <c:val>
            <c:numRef>
              <c:f>LMSR!$AR$69:$AR$75</c:f>
              <c:numCache>
                <c:formatCode>0.0%</c:formatCode>
                <c:ptCount val="7"/>
              </c:numCache>
            </c:numRef>
          </c:val>
          <c:smooth val="0"/>
          <c:extLst>
            <c:ext xmlns:c16="http://schemas.microsoft.com/office/drawing/2014/chart" uri="{C3380CC4-5D6E-409C-BE32-E72D297353CC}">
              <c16:uniqueId val="{00000002-96CE-4B6C-A5DA-ED5F15244E77}"/>
            </c:ext>
          </c:extLst>
        </c:ser>
        <c:ser>
          <c:idx val="3"/>
          <c:order val="3"/>
          <c:tx>
            <c:strRef>
              <c:f>LMSR!$AS$68</c:f>
              <c:strCache>
                <c:ptCount val="1"/>
              </c:strCache>
            </c:strRef>
          </c:tx>
          <c:val>
            <c:numRef>
              <c:f>LMSR!$AS$69:$AS$75</c:f>
              <c:numCache>
                <c:formatCode>0.0%</c:formatCode>
                <c:ptCount val="7"/>
              </c:numCache>
            </c:numRef>
          </c:val>
          <c:smooth val="0"/>
          <c:extLst>
            <c:ext xmlns:c16="http://schemas.microsoft.com/office/drawing/2014/chart" uri="{C3380CC4-5D6E-409C-BE32-E72D297353CC}">
              <c16:uniqueId val="{00000003-96CE-4B6C-A5DA-ED5F15244E77}"/>
            </c:ext>
          </c:extLst>
        </c:ser>
        <c:dLbls>
          <c:showLegendKey val="0"/>
          <c:showVal val="0"/>
          <c:showCatName val="0"/>
          <c:showSerName val="0"/>
          <c:showPercent val="0"/>
          <c:showBubbleSize val="0"/>
        </c:dLbls>
        <c:marker val="1"/>
        <c:smooth val="0"/>
        <c:axId val="143075840"/>
        <c:axId val="164216832"/>
      </c:lineChart>
      <c:catAx>
        <c:axId val="143075840"/>
        <c:scaling>
          <c:orientation val="minMax"/>
        </c:scaling>
        <c:delete val="0"/>
        <c:axPos val="b"/>
        <c:majorTickMark val="out"/>
        <c:minorTickMark val="none"/>
        <c:tickLblPos val="nextTo"/>
        <c:crossAx val="164216832"/>
        <c:crosses val="autoZero"/>
        <c:auto val="1"/>
        <c:lblAlgn val="ctr"/>
        <c:lblOffset val="100"/>
        <c:noMultiLvlLbl val="0"/>
      </c:catAx>
      <c:valAx>
        <c:axId val="164216832"/>
        <c:scaling>
          <c:orientation val="minMax"/>
        </c:scaling>
        <c:delete val="0"/>
        <c:axPos val="l"/>
        <c:majorGridlines/>
        <c:numFmt formatCode="0.0%" sourceLinked="1"/>
        <c:majorTickMark val="out"/>
        <c:minorTickMark val="none"/>
        <c:tickLblPos val="nextTo"/>
        <c:crossAx val="14307584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LMSR!$F$26:$F$33</c:f>
              <c:numCache>
                <c:formatCode>0.0%</c:formatCode>
                <c:ptCount val="8"/>
                <c:pt idx="0">
                  <c:v>0.5</c:v>
                </c:pt>
                <c:pt idx="1">
                  <c:v>0.7310585786300049</c:v>
                </c:pt>
                <c:pt idx="2">
                  <c:v>0.75000000000000011</c:v>
                </c:pt>
                <c:pt idx="3">
                  <c:v>0.62245933120185459</c:v>
                </c:pt>
                <c:pt idx="4">
                  <c:v>0.78583498304255861</c:v>
                </c:pt>
                <c:pt idx="5">
                  <c:v>0.86989152563700223</c:v>
                </c:pt>
                <c:pt idx="6">
                  <c:v>0.94267582410113127</c:v>
                </c:pt>
                <c:pt idx="7">
                  <c:v>1</c:v>
                </c:pt>
              </c:numCache>
            </c:numRef>
          </c:val>
          <c:smooth val="0"/>
          <c:extLst>
            <c:ext xmlns:c16="http://schemas.microsoft.com/office/drawing/2014/chart" uri="{C3380CC4-5D6E-409C-BE32-E72D297353CC}">
              <c16:uniqueId val="{00000000-3110-4B44-BB98-F48800E1CC30}"/>
            </c:ext>
          </c:extLst>
        </c:ser>
        <c:dLbls>
          <c:showLegendKey val="0"/>
          <c:showVal val="0"/>
          <c:showCatName val="0"/>
          <c:showSerName val="0"/>
          <c:showPercent val="0"/>
          <c:showBubbleSize val="0"/>
        </c:dLbls>
        <c:smooth val="0"/>
        <c:axId val="143076864"/>
        <c:axId val="164219136"/>
      </c:lineChart>
      <c:catAx>
        <c:axId val="143076864"/>
        <c:scaling>
          <c:orientation val="minMax"/>
        </c:scaling>
        <c:delete val="0"/>
        <c:axPos val="b"/>
        <c:majorTickMark val="out"/>
        <c:minorTickMark val="none"/>
        <c:tickLblPos val="nextTo"/>
        <c:crossAx val="164219136"/>
        <c:crosses val="autoZero"/>
        <c:auto val="1"/>
        <c:lblAlgn val="ctr"/>
        <c:lblOffset val="100"/>
        <c:noMultiLvlLbl val="0"/>
      </c:catAx>
      <c:valAx>
        <c:axId val="164219136"/>
        <c:scaling>
          <c:orientation val="minMax"/>
          <c:max val="1"/>
        </c:scaling>
        <c:delete val="0"/>
        <c:axPos val="l"/>
        <c:majorGridlines/>
        <c:numFmt formatCode="0.0%" sourceLinked="1"/>
        <c:majorTickMark val="out"/>
        <c:minorTickMark val="none"/>
        <c:tickLblPos val="nextTo"/>
        <c:crossAx val="143076864"/>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DJIA</a:t>
            </a:r>
            <a:r>
              <a:rPr lang="en-US" baseline="0"/>
              <a:t> on 2/13/2020</a:t>
            </a:r>
            <a:endParaRPr lang="en-US"/>
          </a:p>
        </c:rich>
      </c:tx>
      <c:overlay val="0"/>
    </c:title>
    <c:autoTitleDeleted val="0"/>
    <c:plotArea>
      <c:layout/>
      <c:lineChart>
        <c:grouping val="standard"/>
        <c:varyColors val="0"/>
        <c:ser>
          <c:idx val="0"/>
          <c:order val="0"/>
          <c:marker>
            <c:symbol val="none"/>
          </c:marker>
          <c:val>
            <c:numRef>
              <c:f>'Scaled Claims'!$H$21:$H$31</c:f>
              <c:numCache>
                <c:formatCode>0.00</c:formatCode>
                <c:ptCount val="11"/>
                <c:pt idx="0">
                  <c:v>14000</c:v>
                </c:pt>
                <c:pt idx="1">
                  <c:v>11799.746357746604</c:v>
                </c:pt>
                <c:pt idx="2">
                  <c:v>16200.253642253396</c:v>
                </c:pt>
                <c:pt idx="3">
                  <c:v>14000</c:v>
                </c:pt>
                <c:pt idx="4">
                  <c:v>19994.526610831323</c:v>
                </c:pt>
                <c:pt idx="5">
                  <c:v>14000</c:v>
                </c:pt>
                <c:pt idx="6">
                  <c:v>10121.108397425352</c:v>
                </c:pt>
                <c:pt idx="7">
                  <c:v>17878.891602574651</c:v>
                </c:pt>
                <c:pt idx="8">
                  <c:v>10121.108397425352</c:v>
                </c:pt>
                <c:pt idx="9">
                  <c:v>10121.108397425352</c:v>
                </c:pt>
                <c:pt idx="10">
                  <c:v>16027.59</c:v>
                </c:pt>
              </c:numCache>
            </c:numRef>
          </c:val>
          <c:smooth val="0"/>
          <c:extLst>
            <c:ext xmlns:c16="http://schemas.microsoft.com/office/drawing/2014/chart" uri="{C3380CC4-5D6E-409C-BE32-E72D297353CC}">
              <c16:uniqueId val="{00000000-E4F7-485B-ADE1-43BDB423FF75}"/>
            </c:ext>
          </c:extLst>
        </c:ser>
        <c:dLbls>
          <c:showLegendKey val="0"/>
          <c:showVal val="0"/>
          <c:showCatName val="0"/>
          <c:showSerName val="0"/>
          <c:showPercent val="0"/>
          <c:showBubbleSize val="0"/>
        </c:dLbls>
        <c:smooth val="0"/>
        <c:axId val="143073280"/>
        <c:axId val="164220864"/>
      </c:lineChart>
      <c:catAx>
        <c:axId val="143073280"/>
        <c:scaling>
          <c:orientation val="minMax"/>
        </c:scaling>
        <c:delete val="0"/>
        <c:axPos val="b"/>
        <c:majorTickMark val="out"/>
        <c:minorTickMark val="none"/>
        <c:tickLblPos val="nextTo"/>
        <c:crossAx val="164220864"/>
        <c:crosses val="autoZero"/>
        <c:auto val="1"/>
        <c:lblAlgn val="ctr"/>
        <c:lblOffset val="100"/>
        <c:noMultiLvlLbl val="0"/>
      </c:catAx>
      <c:valAx>
        <c:axId val="164220864"/>
        <c:scaling>
          <c:orientation val="minMax"/>
          <c:max val="20000"/>
          <c:min val="8000"/>
        </c:scaling>
        <c:delete val="0"/>
        <c:axPos val="l"/>
        <c:majorGridlines/>
        <c:numFmt formatCode="0.00" sourceLinked="1"/>
        <c:majorTickMark val="out"/>
        <c:minorTickMark val="none"/>
        <c:tickLblPos val="nextTo"/>
        <c:crossAx val="143073280"/>
        <c:crosses val="autoZero"/>
        <c:crossBetween val="between"/>
        <c:majorUnit val="10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NYSE:GE</a:t>
            </a:r>
            <a:r>
              <a:rPr lang="en-US" baseline="0"/>
              <a:t> on 5/02/2019</a:t>
            </a:r>
          </a:p>
        </c:rich>
      </c:tx>
      <c:overlay val="0"/>
    </c:title>
    <c:autoTitleDeleted val="0"/>
    <c:plotArea>
      <c:layout/>
      <c:lineChart>
        <c:grouping val="standard"/>
        <c:varyColors val="0"/>
        <c:ser>
          <c:idx val="0"/>
          <c:order val="0"/>
          <c:tx>
            <c:v>Not Remain CEO</c:v>
          </c:tx>
          <c:marker>
            <c:symbol val="none"/>
          </c:marker>
          <c:val>
            <c:numRef>
              <c:f>'Conditional Scaled'!$S$25:$S$50</c:f>
              <c:numCache>
                <c:formatCode>0.00</c:formatCode>
                <c:ptCount val="26"/>
                <c:pt idx="0">
                  <c:v>26</c:v>
                </c:pt>
                <c:pt idx="1">
                  <c:v>24.311405838916222</c:v>
                </c:pt>
                <c:pt idx="2">
                  <c:v>21.945573855139656</c:v>
                </c:pt>
                <c:pt idx="3">
                  <c:v>20.30132196544497</c:v>
                </c:pt>
                <c:pt idx="4">
                  <c:v>17.431759763148605</c:v>
                </c:pt>
                <c:pt idx="5">
                  <c:v>13.907299193587061</c:v>
                </c:pt>
                <c:pt idx="6">
                  <c:v>12.101753199573846</c:v>
                </c:pt>
                <c:pt idx="7">
                  <c:v>12.74146334645283</c:v>
                </c:pt>
                <c:pt idx="8">
                  <c:v>12.912412622225437</c:v>
                </c:pt>
                <c:pt idx="9">
                  <c:v>14.580088150611456</c:v>
                </c:pt>
                <c:pt idx="10">
                  <c:v>10.38655702930264</c:v>
                </c:pt>
                <c:pt idx="11">
                  <c:v>9.8427696405719747</c:v>
                </c:pt>
                <c:pt idx="12">
                  <c:v>10.523419078520245</c:v>
                </c:pt>
                <c:pt idx="13">
                  <c:v>13.241440378799151</c:v>
                </c:pt>
                <c:pt idx="14">
                  <c:v>15.961528805145619</c:v>
                </c:pt>
                <c:pt idx="15">
                  <c:v>14.960936653733906</c:v>
                </c:pt>
                <c:pt idx="16">
                  <c:v>7.4448306021688104</c:v>
                </c:pt>
                <c:pt idx="17">
                  <c:v>3.3639745573463351</c:v>
                </c:pt>
                <c:pt idx="18">
                  <c:v>2.8934780356533736</c:v>
                </c:pt>
                <c:pt idx="19">
                  <c:v>2.5897888029732408</c:v>
                </c:pt>
                <c:pt idx="20">
                  <c:v>2.2093122926043423</c:v>
                </c:pt>
                <c:pt idx="21">
                  <c:v>2.2306154104318301</c:v>
                </c:pt>
                <c:pt idx="22">
                  <c:v>2.2020806633709573</c:v>
                </c:pt>
                <c:pt idx="23">
                  <c:v>2.1824260446751071</c:v>
                </c:pt>
                <c:pt idx="24">
                  <c:v>2.1728175826029097</c:v>
                </c:pt>
              </c:numCache>
            </c:numRef>
          </c:val>
          <c:smooth val="0"/>
          <c:extLst>
            <c:ext xmlns:c16="http://schemas.microsoft.com/office/drawing/2014/chart" uri="{C3380CC4-5D6E-409C-BE32-E72D297353CC}">
              <c16:uniqueId val="{00000000-FC96-4FB7-8139-95125D599E4A}"/>
            </c:ext>
          </c:extLst>
        </c:ser>
        <c:ser>
          <c:idx val="1"/>
          <c:order val="1"/>
          <c:tx>
            <c:v>Remain CEO</c:v>
          </c:tx>
          <c:marker>
            <c:symbol val="none"/>
          </c:marker>
          <c:val>
            <c:numRef>
              <c:f>'Conditional Scaled'!$T$25:$T$50</c:f>
              <c:numCache>
                <c:formatCode>0.00</c:formatCode>
                <c:ptCount val="26"/>
                <c:pt idx="0">
                  <c:v>26</c:v>
                </c:pt>
                <c:pt idx="1">
                  <c:v>28.149499000267795</c:v>
                </c:pt>
                <c:pt idx="2">
                  <c:v>25.785579303744182</c:v>
                </c:pt>
                <c:pt idx="3">
                  <c:v>24.145297986874493</c:v>
                </c:pt>
                <c:pt idx="4">
                  <c:v>21.271585778757121</c:v>
                </c:pt>
                <c:pt idx="5">
                  <c:v>17.751657975246545</c:v>
                </c:pt>
                <c:pt idx="6">
                  <c:v>15.944140752593952</c:v>
                </c:pt>
                <c:pt idx="7">
                  <c:v>16.584171585637495</c:v>
                </c:pt>
                <c:pt idx="8">
                  <c:v>16.756044669072427</c:v>
                </c:pt>
                <c:pt idx="9">
                  <c:v>18.420508919743714</c:v>
                </c:pt>
                <c:pt idx="10">
                  <c:v>16.148501505084894</c:v>
                </c:pt>
                <c:pt idx="11">
                  <c:v>15.611249747044882</c:v>
                </c:pt>
                <c:pt idx="12">
                  <c:v>16.304220783470342</c:v>
                </c:pt>
                <c:pt idx="13">
                  <c:v>19.010211587603575</c:v>
                </c:pt>
                <c:pt idx="14">
                  <c:v>21.717254840395682</c:v>
                </c:pt>
                <c:pt idx="15">
                  <c:v>20.72028619035536</c:v>
                </c:pt>
                <c:pt idx="16">
                  <c:v>17.040853187696463</c:v>
                </c:pt>
                <c:pt idx="17">
                  <c:v>12.65963367978577</c:v>
                </c:pt>
                <c:pt idx="18">
                  <c:v>11.739760444676936</c:v>
                </c:pt>
                <c:pt idx="19">
                  <c:v>10.269827481703992</c:v>
                </c:pt>
                <c:pt idx="20">
                  <c:v>14.445832235240278</c:v>
                </c:pt>
                <c:pt idx="21">
                  <c:v>15.371701681214692</c:v>
                </c:pt>
                <c:pt idx="22">
                  <c:v>14.785348314306368</c:v>
                </c:pt>
                <c:pt idx="23">
                  <c:v>14.388619331149517</c:v>
                </c:pt>
                <c:pt idx="24">
                  <c:v>14.002083861982133</c:v>
                </c:pt>
              </c:numCache>
            </c:numRef>
          </c:val>
          <c:smooth val="0"/>
          <c:extLst>
            <c:ext xmlns:c16="http://schemas.microsoft.com/office/drawing/2014/chart" uri="{C3380CC4-5D6E-409C-BE32-E72D297353CC}">
              <c16:uniqueId val="{00000001-FC96-4FB7-8139-95125D599E4A}"/>
            </c:ext>
          </c:extLst>
        </c:ser>
        <c:dLbls>
          <c:showLegendKey val="0"/>
          <c:showVal val="0"/>
          <c:showCatName val="0"/>
          <c:showSerName val="0"/>
          <c:showPercent val="0"/>
          <c:showBubbleSize val="0"/>
        </c:dLbls>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50"/>
          <c:min val="2"/>
        </c:scaling>
        <c:delete val="0"/>
        <c:axPos val="l"/>
        <c:majorGridlines/>
        <c:numFmt formatCode="0.00" sourceLinked="1"/>
        <c:majorTickMark val="out"/>
        <c:minorTickMark val="none"/>
        <c:tickLblPos val="nextTo"/>
        <c:crossAx val="11521280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Both Dimensions at Once!</a:t>
            </a:r>
          </a:p>
        </c:rich>
      </c:tx>
      <c:layout>
        <c:manualLayout>
          <c:xMode val="edge"/>
          <c:yMode val="edge"/>
          <c:x val="0.33816875744875086"/>
          <c:y val="1.3188237338426785E-2"/>
        </c:manualLayout>
      </c:layout>
      <c:overlay val="0"/>
      <c:spPr>
        <a:solidFill>
          <a:schemeClr val="bg1">
            <a:lumMod val="9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165702882337014E-2"/>
          <c:y val="4.2262479091616283E-2"/>
          <c:w val="0.86506496135806454"/>
          <c:h val="0.85575602378464277"/>
        </c:manualLayout>
      </c:layout>
      <c:scatterChart>
        <c:scatterStyle val="lineMarker"/>
        <c:varyColors val="0"/>
        <c:ser>
          <c:idx val="4"/>
          <c:order val="0"/>
          <c:tx>
            <c:strRef>
              <c:f>'Conditional Scaled'!$AE$22</c:f>
              <c:strCache>
                <c:ptCount val="1"/>
                <c:pt idx="0">
                  <c:v>Leave &amp; Min</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Scaled'!$I$25:$I$49</c:f>
              <c:numCache>
                <c:formatCode>0.0%</c:formatCode>
                <c:ptCount val="25"/>
                <c:pt idx="0">
                  <c:v>0.25</c:v>
                </c:pt>
                <c:pt idx="1">
                  <c:v>0.24334894653594114</c:v>
                </c:pt>
                <c:pt idx="2">
                  <c:v>0.22793994792762146</c:v>
                </c:pt>
                <c:pt idx="3">
                  <c:v>0.17292487697672193</c:v>
                </c:pt>
                <c:pt idx="4">
                  <c:v>0.25207297977239274</c:v>
                </c:pt>
                <c:pt idx="5">
                  <c:v>1.8229417238400471E-2</c:v>
                </c:pt>
                <c:pt idx="6">
                  <c:v>1.035637477435211E-2</c:v>
                </c:pt>
                <c:pt idx="7">
                  <c:v>1.1116830833350546E-2</c:v>
                </c:pt>
                <c:pt idx="8">
                  <c:v>1.2522486591187227E-2</c:v>
                </c:pt>
                <c:pt idx="9">
                  <c:v>0.17706817876115152</c:v>
                </c:pt>
                <c:pt idx="10">
                  <c:v>0.5941774266214459</c:v>
                </c:pt>
                <c:pt idx="11">
                  <c:v>0.59397020231267139</c:v>
                </c:pt>
                <c:pt idx="12">
                  <c:v>0.56708950789553991</c:v>
                </c:pt>
                <c:pt idx="13">
                  <c:v>0.55870158837779915</c:v>
                </c:pt>
                <c:pt idx="14">
                  <c:v>0.54594078051628248</c:v>
                </c:pt>
                <c:pt idx="15">
                  <c:v>0.5475589142001337</c:v>
                </c:pt>
                <c:pt idx="16">
                  <c:v>0.4257361743896183</c:v>
                </c:pt>
                <c:pt idx="17">
                  <c:v>0.2158817845739576</c:v>
                </c:pt>
                <c:pt idx="18">
                  <c:v>0.18148879577867977</c:v>
                </c:pt>
                <c:pt idx="19">
                  <c:v>9.9591887646672345E-2</c:v>
                </c:pt>
                <c:pt idx="20">
                  <c:v>6.6295226877183297E-2</c:v>
                </c:pt>
                <c:pt idx="21">
                  <c:v>0.11659892447423695</c:v>
                </c:pt>
                <c:pt idx="22">
                  <c:v>9.980454318987296E-2</c:v>
                </c:pt>
                <c:pt idx="23">
                  <c:v>0.11126892865953956</c:v>
                </c:pt>
                <c:pt idx="24">
                  <c:v>0.10802417502524053</c:v>
                </c:pt>
              </c:numCache>
            </c:numRef>
          </c:yVal>
          <c:smooth val="0"/>
          <c:extLst>
            <c:ext xmlns:c16="http://schemas.microsoft.com/office/drawing/2014/chart" uri="{C3380CC4-5D6E-409C-BE32-E72D297353CC}">
              <c16:uniqueId val="{00000000-D76B-45E5-B0DA-968B5305131F}"/>
            </c:ext>
          </c:extLst>
        </c:ser>
        <c:ser>
          <c:idx val="5"/>
          <c:order val="1"/>
          <c:tx>
            <c:strRef>
              <c:f>'Conditional Scaled'!$AF$22</c:f>
              <c:strCache>
                <c:ptCount val="1"/>
                <c:pt idx="0">
                  <c:v>Stay &amp; Min</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Scaled'!$J$25:$J$49</c:f>
              <c:numCache>
                <c:formatCode>0.0%</c:formatCode>
                <c:ptCount val="25"/>
                <c:pt idx="0">
                  <c:v>0.25</c:v>
                </c:pt>
                <c:pt idx="1">
                  <c:v>0.2482282143876261</c:v>
                </c:pt>
                <c:pt idx="2">
                  <c:v>0.30772688422309236</c:v>
                </c:pt>
                <c:pt idx="3">
                  <c:v>0.38809685836350272</c:v>
                </c:pt>
                <c:pt idx="4">
                  <c:v>0.376155290152763</c:v>
                </c:pt>
                <c:pt idx="5">
                  <c:v>0.65555272008520193</c:v>
                </c:pt>
                <c:pt idx="6">
                  <c:v>0.70019069410392676</c:v>
                </c:pt>
                <c:pt idx="7">
                  <c:v>0.68619281011899036</c:v>
                </c:pt>
                <c:pt idx="8">
                  <c:v>0.68135770426913678</c:v>
                </c:pt>
                <c:pt idx="9">
                  <c:v>0.50003658681243601</c:v>
                </c:pt>
                <c:pt idx="10">
                  <c:v>0.1974877698900174</c:v>
                </c:pt>
                <c:pt idx="11">
                  <c:v>0.20778434581530103</c:v>
                </c:pt>
                <c:pt idx="12">
                  <c:v>0.21794834236672639</c:v>
                </c:pt>
                <c:pt idx="13">
                  <c:v>0.17459985041818382</c:v>
                </c:pt>
                <c:pt idx="14">
                  <c:v>0.13559878487358118</c:v>
                </c:pt>
                <c:pt idx="15">
                  <c:v>0.15243704928308308</c:v>
                </c:pt>
                <c:pt idx="16">
                  <c:v>0.35691454299261055</c:v>
                </c:pt>
                <c:pt idx="17">
                  <c:v>0.6050728419510264</c:v>
                </c:pt>
                <c:pt idx="18">
                  <c:v>0.64968188195586607</c:v>
                </c:pt>
                <c:pt idx="19">
                  <c:v>0.74425305272586184</c:v>
                </c:pt>
                <c:pt idx="20">
                  <c:v>0.69139109815077826</c:v>
                </c:pt>
                <c:pt idx="21">
                  <c:v>0.63689965876473331</c:v>
                </c:pt>
                <c:pt idx="22">
                  <c:v>0.66010855133943136</c:v>
                </c:pt>
                <c:pt idx="23">
                  <c:v>0.65903799205703983</c:v>
                </c:pt>
                <c:pt idx="24">
                  <c:v>0.6686504126712346</c:v>
                </c:pt>
              </c:numCache>
            </c:numRef>
          </c:yVal>
          <c:smooth val="0"/>
          <c:extLst>
            <c:ext xmlns:c16="http://schemas.microsoft.com/office/drawing/2014/chart" uri="{C3380CC4-5D6E-409C-BE32-E72D297353CC}">
              <c16:uniqueId val="{00000001-D76B-45E5-B0DA-968B5305131F}"/>
            </c:ext>
          </c:extLst>
        </c:ser>
        <c:ser>
          <c:idx val="6"/>
          <c:order val="2"/>
          <c:tx>
            <c:strRef>
              <c:f>'Conditional Scaled'!$AG$22</c:f>
              <c:strCache>
                <c:ptCount val="1"/>
                <c:pt idx="0">
                  <c:v>Leave &amp; Max</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Scaled'!$K$25:$K$49</c:f>
              <c:numCache>
                <c:formatCode>0.0%</c:formatCode>
                <c:ptCount val="25"/>
                <c:pt idx="0">
                  <c:v>0.25</c:v>
                </c:pt>
                <c:pt idx="1">
                  <c:v>0.21135672402273042</c:v>
                </c:pt>
                <c:pt idx="2">
                  <c:v>0.16205617760461571</c:v>
                </c:pt>
                <c:pt idx="3">
                  <c:v>0.10656211181196996</c:v>
                </c:pt>
                <c:pt idx="4">
                  <c:v>0.11943935681937996</c:v>
                </c:pt>
                <c:pt idx="5">
                  <c:v>6.0140449545909372E-3</c:v>
                </c:pt>
                <c:pt idx="6">
                  <c:v>2.760485005116936E-3</c:v>
                </c:pt>
                <c:pt idx="7">
                  <c:v>3.2049307796360575E-3</c:v>
                </c:pt>
                <c:pt idx="8">
                  <c:v>3.6845357274765921E-3</c:v>
                </c:pt>
                <c:pt idx="9">
                  <c:v>6.2889295347638402E-2</c:v>
                </c:pt>
                <c:pt idx="10">
                  <c:v>0.12579322826271661</c:v>
                </c:pt>
                <c:pt idx="11">
                  <c:v>0.11600330571624022</c:v>
                </c:pt>
                <c:pt idx="12">
                  <c:v>0.12244073367041533</c:v>
                </c:pt>
                <c:pt idx="13">
                  <c:v>0.17086117247279226</c:v>
                </c:pt>
                <c:pt idx="14">
                  <c:v>0.22392803394278199</c:v>
                </c:pt>
                <c:pt idx="15">
                  <c:v>0.20254184111606752</c:v>
                </c:pt>
                <c:pt idx="16">
                  <c:v>5.4471909842403549E-2</c:v>
                </c:pt>
                <c:pt idx="17">
                  <c:v>6.3139441828181141E-3</c:v>
                </c:pt>
                <c:pt idx="18">
                  <c:v>3.4423312523085836E-3</c:v>
                </c:pt>
                <c:pt idx="19">
                  <c:v>1.2389352149660962E-3</c:v>
                </c:pt>
                <c:pt idx="20">
                  <c:v>2.9035794612013632E-4</c:v>
                </c:pt>
                <c:pt idx="21">
                  <c:v>5.6290255892072405E-4</c:v>
                </c:pt>
                <c:pt idx="22">
                  <c:v>4.2195494228948764E-4</c:v>
                </c:pt>
                <c:pt idx="23">
                  <c:v>4.2449561681152752E-4</c:v>
                </c:pt>
                <c:pt idx="24">
                  <c:v>3.9033193775899795E-4</c:v>
                </c:pt>
              </c:numCache>
            </c:numRef>
          </c:yVal>
          <c:smooth val="0"/>
          <c:extLst>
            <c:ext xmlns:c16="http://schemas.microsoft.com/office/drawing/2014/chart" uri="{C3380CC4-5D6E-409C-BE32-E72D297353CC}">
              <c16:uniqueId val="{00000002-D76B-45E5-B0DA-968B5305131F}"/>
            </c:ext>
          </c:extLst>
        </c:ser>
        <c:ser>
          <c:idx val="7"/>
          <c:order val="3"/>
          <c:tx>
            <c:strRef>
              <c:f>'Conditional Scaled'!$AH$22</c:f>
              <c:strCache>
                <c:ptCount val="1"/>
                <c:pt idx="0">
                  <c:v>Stay &amp; Max</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Scaled'!$L$25:$L$49</c:f>
              <c:numCache>
                <c:formatCode>0.0%</c:formatCode>
                <c:ptCount val="25"/>
                <c:pt idx="0">
                  <c:v>0.25</c:v>
                </c:pt>
                <c:pt idx="1">
                  <c:v>0.2970661150537024</c:v>
                </c:pt>
                <c:pt idx="2">
                  <c:v>0.30227699024467053</c:v>
                </c:pt>
                <c:pt idx="3">
                  <c:v>0.3324161528478054</c:v>
                </c:pt>
                <c:pt idx="4">
                  <c:v>0.25233237325546426</c:v>
                </c:pt>
                <c:pt idx="5">
                  <c:v>0.32020381772180678</c:v>
                </c:pt>
                <c:pt idx="6">
                  <c:v>0.2866924461166041</c:v>
                </c:pt>
                <c:pt idx="7">
                  <c:v>0.29948542826802294</c:v>
                </c:pt>
                <c:pt idx="8">
                  <c:v>0.30243527341219939</c:v>
                </c:pt>
                <c:pt idx="9">
                  <c:v>0.26000593907877412</c:v>
                </c:pt>
                <c:pt idx="10">
                  <c:v>8.2541575225820091E-2</c:v>
                </c:pt>
                <c:pt idx="11">
                  <c:v>8.2242146155787302E-2</c:v>
                </c:pt>
                <c:pt idx="12">
                  <c:v>9.2521416067318299E-2</c:v>
                </c:pt>
                <c:pt idx="13">
                  <c:v>9.5837388731224771E-2</c:v>
                </c:pt>
                <c:pt idx="14">
                  <c:v>9.4532400667354327E-2</c:v>
                </c:pt>
                <c:pt idx="15">
                  <c:v>9.7462195400715684E-2</c:v>
                </c:pt>
                <c:pt idx="16">
                  <c:v>0.1628773727753676</c:v>
                </c:pt>
                <c:pt idx="17">
                  <c:v>0.17273142929219792</c:v>
                </c:pt>
                <c:pt idx="18">
                  <c:v>0.16538699101314563</c:v>
                </c:pt>
                <c:pt idx="19">
                  <c:v>0.15491612441249972</c:v>
                </c:pt>
                <c:pt idx="20">
                  <c:v>0.24202331702591839</c:v>
                </c:pt>
                <c:pt idx="21">
                  <c:v>0.24593851420210899</c:v>
                </c:pt>
                <c:pt idx="22">
                  <c:v>0.23966495052840611</c:v>
                </c:pt>
                <c:pt idx="23">
                  <c:v>0.22926858366660893</c:v>
                </c:pt>
                <c:pt idx="24">
                  <c:v>0.22293508036576601</c:v>
                </c:pt>
              </c:numCache>
            </c:numRef>
          </c:yVal>
          <c:smooth val="0"/>
          <c:extLst>
            <c:ext xmlns:c16="http://schemas.microsoft.com/office/drawing/2014/chart" uri="{C3380CC4-5D6E-409C-BE32-E72D297353CC}">
              <c16:uniqueId val="{00000003-D76B-45E5-B0DA-968B5305131F}"/>
            </c:ext>
          </c:extLst>
        </c:ser>
        <c:dLbls>
          <c:showLegendKey val="0"/>
          <c:showVal val="0"/>
          <c:showCatName val="0"/>
          <c:showSerName val="0"/>
          <c:showPercent val="0"/>
          <c:showBubbleSize val="0"/>
        </c:dLbls>
        <c:axId val="515733976"/>
        <c:axId val="515729056"/>
      </c:scatterChart>
      <c:valAx>
        <c:axId val="515733976"/>
        <c:scaling>
          <c:orientation val="minMax"/>
          <c:max val="26"/>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29056"/>
        <c:crosses val="autoZero"/>
        <c:crossBetween val="midCat"/>
        <c:majorUnit val="2"/>
      </c:valAx>
      <c:valAx>
        <c:axId val="515729056"/>
        <c:scaling>
          <c:orientation val="minMax"/>
          <c:max val="0.9"/>
        </c:scaling>
        <c:delete val="0"/>
        <c:axPos val="l"/>
        <c:majorGridlines>
          <c:spPr>
            <a:ln w="9525" cap="flat" cmpd="sng" algn="ctr">
              <a:solidFill>
                <a:schemeClr val="tx1">
                  <a:lumMod val="15000"/>
                  <a:lumOff val="85000"/>
                </a:schemeClr>
              </a:solidFill>
              <a:round/>
            </a:ln>
            <a:effectLst/>
          </c:spPr>
        </c:majorGridlines>
        <c:numFmt formatCode="0.0%"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3976"/>
        <c:crosses val="autoZero"/>
        <c:crossBetween val="midCat"/>
        <c:minorUnit val="5.000000000000001E-2"/>
      </c:valAx>
      <c:spPr>
        <a:noFill/>
        <a:ln>
          <a:noFill/>
        </a:ln>
        <a:effectLst/>
      </c:spPr>
    </c:plotArea>
    <c:legend>
      <c:legendPos val="r"/>
      <c:layout>
        <c:manualLayout>
          <c:xMode val="edge"/>
          <c:yMode val="edge"/>
          <c:x val="0.11786803160625764"/>
          <c:y val="6.5803264088423977E-2"/>
          <c:w val="0.18443865429638326"/>
          <c:h val="0.29494900144677971"/>
        </c:manualLayout>
      </c:layout>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Dimension 2 -- GE</a:t>
            </a:r>
            <a:r>
              <a:rPr lang="en-US" sz="1800" b="1" baseline="0"/>
              <a:t> Stock Price on 5/2/2019 </a:t>
            </a:r>
            <a:endParaRPr lang="en-US" sz="1800" b="1"/>
          </a:p>
        </c:rich>
      </c:tx>
      <c:layout>
        <c:manualLayout>
          <c:xMode val="edge"/>
          <c:yMode val="edge"/>
          <c:x val="0.12052766290735475"/>
          <c:y val="3.9941245316513364E-2"/>
        </c:manualLayout>
      </c:layout>
      <c:overlay val="0"/>
      <c:spPr>
        <a:solidFill>
          <a:schemeClr val="bg1">
            <a:lumMod val="95000"/>
          </a:schemeClr>
        </a:solidFill>
        <a:ln>
          <a:noFill/>
        </a:ln>
        <a:effectLst/>
      </c:spPr>
    </c:title>
    <c:autoTitleDeleted val="0"/>
    <c:plotArea>
      <c:layout>
        <c:manualLayout>
          <c:layoutTarget val="inner"/>
          <c:xMode val="edge"/>
          <c:yMode val="edge"/>
          <c:x val="9.5165702882337014E-2"/>
          <c:y val="5.1589028594338102E-2"/>
          <c:w val="0.86506496135806454"/>
          <c:h val="0.84642940039194892"/>
        </c:manualLayout>
      </c:layout>
      <c:scatterChart>
        <c:scatterStyle val="lineMarker"/>
        <c:varyColors val="0"/>
        <c:ser>
          <c:idx val="0"/>
          <c:order val="0"/>
          <c:tx>
            <c:strRef>
              <c:f>'Conditional Scaled'!$AG$24</c:f>
              <c:strCache>
                <c:ptCount val="1"/>
                <c:pt idx="0">
                  <c:v>Min ($2/share)</c:v>
                </c:pt>
              </c:strCache>
            </c:strRef>
          </c:tx>
          <c:spPr>
            <a:ln w="6350">
              <a:solidFill>
                <a:schemeClr val="accent6">
                  <a:lumMod val="75000"/>
                </a:schemeClr>
              </a:solidFill>
            </a:ln>
          </c:spPr>
          <c:marker>
            <c:spPr>
              <a:solidFill>
                <a:schemeClr val="accent6">
                  <a:lumMod val="40000"/>
                  <a:lumOff val="60000"/>
                </a:schemeClr>
              </a:solidFill>
              <a:ln w="6350">
                <a:solidFill>
                  <a:schemeClr val="accent6">
                    <a:lumMod val="75000"/>
                  </a:schemeClr>
                </a:solidFill>
              </a:ln>
            </c:spPr>
          </c:marker>
          <c:xVal>
            <c:strRef>
              <c:f>'Conditional Scaled'!$D$25:$D$50</c:f>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f>'Conditional Scaled'!$AG$25:$AG$49</c:f>
            </c:numRef>
          </c:yVal>
          <c:smooth val="0"/>
          <c:extLst>
            <c:ext xmlns:c16="http://schemas.microsoft.com/office/drawing/2014/chart" uri="{C3380CC4-5D6E-409C-BE32-E72D297353CC}">
              <c16:uniqueId val="{00000008-BCAE-4207-8C83-86F4B34B6428}"/>
            </c:ext>
          </c:extLst>
        </c:ser>
        <c:ser>
          <c:idx val="1"/>
          <c:order val="1"/>
          <c:tx>
            <c:strRef>
              <c:f>'Conditional Scaled'!$AH$24</c:f>
              <c:strCache>
                <c:ptCount val="1"/>
                <c:pt idx="0">
                  <c:v>Max ($50/share)</c:v>
                </c:pt>
              </c:strCache>
            </c:strRef>
          </c:tx>
          <c:spPr>
            <a:ln w="28575">
              <a:solidFill>
                <a:srgbClr val="0070C0"/>
              </a:solidFill>
            </a:ln>
          </c:spPr>
          <c:marker>
            <c:spPr>
              <a:solidFill>
                <a:srgbClr val="00B0F0"/>
              </a:solidFill>
              <a:ln w="28575">
                <a:solidFill>
                  <a:srgbClr val="0070C0"/>
                </a:solidFill>
              </a:ln>
            </c:spPr>
          </c:marker>
          <c:xVal>
            <c:strRef>
              <c:f>'Conditional Scaled'!$D$25:$D$50</c:f>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f>'Conditional Scaled'!$AH$25:$AH$49</c:f>
            </c:numRef>
          </c:yVal>
          <c:smooth val="0"/>
          <c:extLst>
            <c:ext xmlns:c16="http://schemas.microsoft.com/office/drawing/2014/chart" uri="{C3380CC4-5D6E-409C-BE32-E72D297353CC}">
              <c16:uniqueId val="{00000009-BCAE-4207-8C83-86F4B34B6428}"/>
            </c:ext>
          </c:extLst>
        </c:ser>
        <c:dLbls>
          <c:showLegendKey val="0"/>
          <c:showVal val="0"/>
          <c:showCatName val="0"/>
          <c:showSerName val="0"/>
          <c:showPercent val="0"/>
          <c:showBubbleSize val="0"/>
        </c:dLbls>
        <c:axId val="515733976"/>
        <c:axId val="515729056"/>
        <c:extLst>
          <c:ext xmlns:c15="http://schemas.microsoft.com/office/drawing/2012/chart" uri="{02D57815-91ED-43cb-92C2-25804820EDAC}">
            <c15:filteredScatterSeries>
              <c15:ser>
                <c:idx val="4"/>
                <c:order val="2"/>
                <c:tx>
                  <c:strRef>
                    <c:extLst>
                      <c:ext uri="{02D57815-91ED-43cb-92C2-25804820EDAC}">
                        <c15:formulaRef>
                          <c15:sqref>'Conditional Scaled'!$AH$24</c15:sqref>
                        </c15:formulaRef>
                      </c:ext>
                    </c:extLst>
                    <c:strCache>
                      <c:ptCount val="1"/>
                      <c:pt idx="0">
                        <c:v>Max ($50/share)</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strRef>
                    <c:extLst>
                      <c:ext uri="{02D57815-91ED-43cb-92C2-25804820EDAC}">
                        <c15:formulaRef>
                          <c15:sqref>'Conditional Scaled'!$D$25:$D$50</c15:sqref>
                        </c15:formulaRef>
                      </c:ext>
                    </c:extLst>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extLst>
                      <c:ext uri="{02D57815-91ED-43cb-92C2-25804820EDAC}">
                        <c15:formulaRef>
                          <c15:sqref>'Conditional Scaled'!$AG$25:$AG$50</c15:sqref>
                        </c15:formulaRef>
                      </c:ext>
                    </c:extLst>
                  </c:numRef>
                </c:yVal>
                <c:smooth val="0"/>
                <c:extLst>
                  <c:ext xmlns:c16="http://schemas.microsoft.com/office/drawing/2014/chart" uri="{C3380CC4-5D6E-409C-BE32-E72D297353CC}">
                    <c16:uniqueId val="{00000005-BCAE-4207-8C83-86F4B34B6428}"/>
                  </c:ext>
                </c:extLst>
              </c15:ser>
            </c15:filteredScatterSeries>
            <c15:filteredScatterSeries>
              <c15:ser>
                <c:idx val="5"/>
                <c:order val="3"/>
                <c:tx>
                  <c:strRef>
                    <c:extLst xmlns:c15="http://schemas.microsoft.com/office/drawing/2012/chart">
                      <c:ext xmlns:c15="http://schemas.microsoft.com/office/drawing/2012/chart" uri="{02D57815-91ED-43cb-92C2-25804820EDAC}">
                        <c15:formulaRef>
                          <c15:sqref>'Conditional Scaled'!$AH$23</c15:sqref>
                        </c15:formulaRef>
                      </c:ext>
                    </c:extLst>
                    <c:strCache>
                      <c:ptCount val="1"/>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strRef>
                    <c:extLst xmlns:c15="http://schemas.microsoft.com/office/drawing/2012/chart">
                      <c:ext xmlns:c15="http://schemas.microsoft.com/office/drawing/2012/chart" uri="{02D57815-91ED-43cb-92C2-25804820EDAC}">
                        <c15:formulaRef>
                          <c15:sqref>'Conditional Scaled'!$D$25:$D$50</c15:sqref>
                        </c15:formulaRef>
                      </c:ext>
                    </c:extLst>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extLst xmlns:c15="http://schemas.microsoft.com/office/drawing/2012/chart">
                      <c:ext xmlns:c15="http://schemas.microsoft.com/office/drawing/2012/chart" uri="{02D57815-91ED-43cb-92C2-25804820EDAC}">
                        <c15:formulaRef>
                          <c15:sqref>'Conditional Scaled'!$AH$25:$AH$50</c15:sqref>
                        </c15:formulaRef>
                      </c:ext>
                    </c:extLst>
                  </c:numRef>
                </c:yVal>
                <c:smooth val="0"/>
                <c:extLst xmlns:c15="http://schemas.microsoft.com/office/drawing/2012/chart">
                  <c:ext xmlns:c16="http://schemas.microsoft.com/office/drawing/2014/chart" uri="{C3380CC4-5D6E-409C-BE32-E72D297353CC}">
                    <c16:uniqueId val="{00000007-BCAE-4207-8C83-86F4B34B6428}"/>
                  </c:ext>
                </c:extLst>
              </c15:ser>
            </c15:filteredScatterSeries>
          </c:ext>
        </c:extLst>
      </c:scatterChart>
      <c:valAx>
        <c:axId val="515733976"/>
        <c:scaling>
          <c:orientation val="minMax"/>
          <c:max val="26"/>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29056"/>
        <c:crosses val="autoZero"/>
        <c:crossBetween val="midCat"/>
        <c:majorUnit val="2"/>
      </c:valAx>
      <c:valAx>
        <c:axId val="51572905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3976"/>
        <c:crosses val="autoZero"/>
        <c:crossBetween val="midCat"/>
        <c:minorUnit val="5.000000000000001E-2"/>
      </c:valAx>
      <c:spPr>
        <a:ln w="3175"/>
      </c:spPr>
    </c:plotArea>
    <c:legend>
      <c:legendPos val="r"/>
      <c:layout>
        <c:manualLayout>
          <c:xMode val="edge"/>
          <c:yMode val="edge"/>
          <c:x val="0.12332546564578618"/>
          <c:y val="0.7107393186551102"/>
          <c:w val="0.22800204824895487"/>
          <c:h val="0.14980084111110384"/>
        </c:manualLayout>
      </c:layout>
      <c:overlay val="0"/>
      <c:spPr>
        <a:solidFill>
          <a:schemeClr val="bg1">
            <a:lumMod val="95000"/>
          </a:schemeClr>
        </a:solidFill>
        <a:ln>
          <a:noFill/>
        </a:ln>
      </c:spPr>
    </c:legend>
    <c:plotVisOnly val="1"/>
    <c:dispBlanksAs val="gap"/>
    <c:showDLblsOverMax val="0"/>
    <c:extLst/>
  </c:chart>
  <c:spPr>
    <a:ln>
      <a:solidFill>
        <a:schemeClr val="tx1"/>
      </a:solidFill>
    </a:ln>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Dimension 1 --</a:t>
            </a:r>
            <a:r>
              <a:rPr lang="en-US" sz="1600" b="1" baseline="0"/>
              <a:t> Flannery remains as</a:t>
            </a:r>
            <a:br>
              <a:rPr lang="en-US" sz="1600" b="1" baseline="0"/>
            </a:br>
            <a:r>
              <a:rPr lang="en-US" sz="1600" b="1" baseline="0"/>
              <a:t>CEO of GE, Jan 1, 2020?</a:t>
            </a:r>
            <a:endParaRPr lang="en-US" sz="1600" b="1"/>
          </a:p>
        </c:rich>
      </c:tx>
      <c:layout>
        <c:manualLayout>
          <c:xMode val="edge"/>
          <c:yMode val="edge"/>
          <c:x val="0.13146606464356306"/>
          <c:y val="7.5722465788210555E-2"/>
        </c:manualLayout>
      </c:layout>
      <c:overlay val="0"/>
      <c:spPr>
        <a:solidFill>
          <a:schemeClr val="bg1">
            <a:lumMod val="9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165702882337014E-2"/>
          <c:y val="4.7854018324809171E-2"/>
          <c:w val="0.86705893213818852"/>
          <c:h val="0.8501646490041499"/>
        </c:manualLayout>
      </c:layout>
      <c:scatterChart>
        <c:scatterStyle val="lineMarker"/>
        <c:varyColors val="0"/>
        <c:ser>
          <c:idx val="4"/>
          <c:order val="0"/>
          <c:tx>
            <c:strRef>
              <c:f>'Conditional Scaled'!$AE$24</c:f>
              <c:strCache>
                <c:ptCount val="1"/>
                <c:pt idx="0">
                  <c:v>No</c:v>
                </c:pt>
              </c:strCache>
            </c:strRef>
          </c:tx>
          <c:spPr>
            <a:ln w="3175" cap="rnd">
              <a:solidFill>
                <a:srgbClr val="FF0000"/>
              </a:solidFill>
              <a:round/>
            </a:ln>
            <a:effectLst/>
          </c:spPr>
          <c:marker>
            <c:symbol val="circle"/>
            <c:size val="5"/>
            <c:spPr>
              <a:solidFill>
                <a:schemeClr val="accent2">
                  <a:lumMod val="40000"/>
                  <a:lumOff val="60000"/>
                </a:schemeClr>
              </a:solidFill>
              <a:ln w="3175">
                <a:solidFill>
                  <a:srgbClr val="FF0000"/>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Scaled'!$AE$25:$AE$49</c:f>
            </c:numRef>
          </c:yVal>
          <c:smooth val="0"/>
          <c:extLst>
            <c:ext xmlns:c16="http://schemas.microsoft.com/office/drawing/2014/chart" uri="{C3380CC4-5D6E-409C-BE32-E72D297353CC}">
              <c16:uniqueId val="{00000000-975F-4BA9-99E6-088D58050E28}"/>
            </c:ext>
          </c:extLst>
        </c:ser>
        <c:ser>
          <c:idx val="5"/>
          <c:order val="1"/>
          <c:tx>
            <c:strRef>
              <c:f>'Conditional Scaled'!$AF$24</c:f>
              <c:strCache>
                <c:ptCount val="1"/>
                <c:pt idx="0">
                  <c:v>Yes</c:v>
                </c:pt>
              </c:strCache>
            </c:strRef>
          </c:tx>
          <c:spPr>
            <a:ln w="28575" cap="rnd">
              <a:solidFill>
                <a:srgbClr val="00B050"/>
              </a:solidFill>
              <a:round/>
            </a:ln>
            <a:effectLst/>
          </c:spPr>
          <c:marker>
            <c:symbol val="circle"/>
            <c:size val="5"/>
            <c:spPr>
              <a:solidFill>
                <a:schemeClr val="accent3">
                  <a:lumMod val="40000"/>
                  <a:lumOff val="60000"/>
                </a:schemeClr>
              </a:solidFill>
              <a:ln w="28575">
                <a:solidFill>
                  <a:srgbClr val="00B050"/>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Scaled'!$AF$25:$AF$49</c:f>
            </c:numRef>
          </c:yVal>
          <c:smooth val="0"/>
          <c:extLst>
            <c:ext xmlns:c16="http://schemas.microsoft.com/office/drawing/2014/chart" uri="{C3380CC4-5D6E-409C-BE32-E72D297353CC}">
              <c16:uniqueId val="{00000001-975F-4BA9-99E6-088D58050E28}"/>
            </c:ext>
          </c:extLst>
        </c:ser>
        <c:dLbls>
          <c:showLegendKey val="0"/>
          <c:showVal val="0"/>
          <c:showCatName val="0"/>
          <c:showSerName val="0"/>
          <c:showPercent val="0"/>
          <c:showBubbleSize val="0"/>
        </c:dLbls>
        <c:axId val="515733976"/>
        <c:axId val="515729056"/>
      </c:scatterChart>
      <c:valAx>
        <c:axId val="515733976"/>
        <c:scaling>
          <c:orientation val="minMax"/>
          <c:max val="26"/>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29056"/>
        <c:crosses val="autoZero"/>
        <c:crossBetween val="midCat"/>
        <c:majorUnit val="2"/>
      </c:valAx>
      <c:valAx>
        <c:axId val="51572905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3976"/>
        <c:crosses val="autoZero"/>
        <c:crossBetween val="midCat"/>
        <c:minorUnit val="5.000000000000001E-2"/>
      </c:valAx>
      <c:spPr>
        <a:noFill/>
        <a:ln>
          <a:noFill/>
        </a:ln>
        <a:effectLst/>
      </c:spPr>
    </c:plotArea>
    <c:legend>
      <c:legendPos val="r"/>
      <c:layout>
        <c:manualLayout>
          <c:xMode val="edge"/>
          <c:yMode val="edge"/>
          <c:x val="0.13503949698976556"/>
          <c:y val="0.73832504915602903"/>
          <c:w val="0.10128672088169066"/>
          <c:h val="0.1428581903456036"/>
        </c:manualLayout>
      </c:layout>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Conditional -- NYSE:GE</a:t>
            </a:r>
            <a:r>
              <a:rPr lang="en-US" baseline="0"/>
              <a:t> on 5/02/2019</a:t>
            </a:r>
          </a:p>
        </c:rich>
      </c:tx>
      <c:layout>
        <c:manualLayout>
          <c:xMode val="edge"/>
          <c:yMode val="edge"/>
          <c:x val="0.20049540256477422"/>
          <c:y val="3.224985333676373E-2"/>
        </c:manualLayout>
      </c:layout>
      <c:overlay val="0"/>
      <c:spPr>
        <a:solidFill>
          <a:schemeClr val="bg1">
            <a:lumMod val="95000"/>
          </a:schemeClr>
        </a:solidFill>
      </c:spPr>
    </c:title>
    <c:autoTitleDeleted val="0"/>
    <c:plotArea>
      <c:layout>
        <c:manualLayout>
          <c:layoutTarget val="inner"/>
          <c:xMode val="edge"/>
          <c:yMode val="edge"/>
          <c:x val="7.9188867526644266E-2"/>
          <c:y val="2.7624569335166844E-2"/>
          <c:w val="0.89823316494942662"/>
          <c:h val="0.87229081255484675"/>
        </c:manualLayout>
      </c:layout>
      <c:lineChart>
        <c:grouping val="standard"/>
        <c:varyColors val="0"/>
        <c:ser>
          <c:idx val="0"/>
          <c:order val="0"/>
          <c:tx>
            <c:strRef>
              <c:f>'Conditional Scaled'!$AH$65</c:f>
              <c:strCache>
                <c:ptCount val="1"/>
                <c:pt idx="0">
                  <c:v>Max | CEO Leaves</c:v>
                </c:pt>
              </c:strCache>
            </c:strRef>
          </c:tx>
          <c:marker>
            <c:symbol val="none"/>
          </c:marker>
          <c:val>
            <c:numRef>
              <c:f>'Conditional Scaled'!$S$25:$S$49</c:f>
              <c:numCache>
                <c:formatCode>0.00</c:formatCode>
                <c:ptCount val="25"/>
                <c:pt idx="0">
                  <c:v>26</c:v>
                </c:pt>
                <c:pt idx="1">
                  <c:v>24.311405838916222</c:v>
                </c:pt>
                <c:pt idx="2">
                  <c:v>21.945573855139656</c:v>
                </c:pt>
                <c:pt idx="3">
                  <c:v>20.30132196544497</c:v>
                </c:pt>
                <c:pt idx="4">
                  <c:v>17.431759763148605</c:v>
                </c:pt>
                <c:pt idx="5">
                  <c:v>13.907299193587061</c:v>
                </c:pt>
                <c:pt idx="6">
                  <c:v>12.101753199573846</c:v>
                </c:pt>
                <c:pt idx="7">
                  <c:v>12.74146334645283</c:v>
                </c:pt>
                <c:pt idx="8">
                  <c:v>12.912412622225437</c:v>
                </c:pt>
                <c:pt idx="9">
                  <c:v>14.580088150611456</c:v>
                </c:pt>
                <c:pt idx="10">
                  <c:v>10.38655702930264</c:v>
                </c:pt>
                <c:pt idx="11">
                  <c:v>9.8427696405719747</c:v>
                </c:pt>
                <c:pt idx="12">
                  <c:v>10.523419078520245</c:v>
                </c:pt>
                <c:pt idx="13">
                  <c:v>13.241440378799151</c:v>
                </c:pt>
                <c:pt idx="14">
                  <c:v>15.961528805145619</c:v>
                </c:pt>
                <c:pt idx="15">
                  <c:v>14.960936653733906</c:v>
                </c:pt>
                <c:pt idx="16">
                  <c:v>7.4448306021688104</c:v>
                </c:pt>
                <c:pt idx="17">
                  <c:v>3.3639745573463351</c:v>
                </c:pt>
                <c:pt idx="18">
                  <c:v>2.8934780356533736</c:v>
                </c:pt>
                <c:pt idx="19">
                  <c:v>2.5897888029732408</c:v>
                </c:pt>
                <c:pt idx="20">
                  <c:v>2.2093122926043423</c:v>
                </c:pt>
                <c:pt idx="21">
                  <c:v>2.2306154104318301</c:v>
                </c:pt>
                <c:pt idx="22">
                  <c:v>2.2020806633709573</c:v>
                </c:pt>
                <c:pt idx="23">
                  <c:v>2.1824260446751071</c:v>
                </c:pt>
                <c:pt idx="24">
                  <c:v>2.1728175826029097</c:v>
                </c:pt>
              </c:numCache>
            </c:numRef>
          </c:val>
          <c:smooth val="0"/>
          <c:extLst>
            <c:ext xmlns:c16="http://schemas.microsoft.com/office/drawing/2014/chart" uri="{C3380CC4-5D6E-409C-BE32-E72D297353CC}">
              <c16:uniqueId val="{00000000-7511-4719-93C6-70588179DEBE}"/>
            </c:ext>
          </c:extLst>
        </c:ser>
        <c:ser>
          <c:idx val="1"/>
          <c:order val="1"/>
          <c:tx>
            <c:strRef>
              <c:f>'Conditional Scaled'!$AH$66</c:f>
              <c:strCache>
                <c:ptCount val="1"/>
                <c:pt idx="0">
                  <c:v>Max | CEO Stays</c:v>
                </c:pt>
              </c:strCache>
            </c:strRef>
          </c:tx>
          <c:marker>
            <c:symbol val="none"/>
          </c:marker>
          <c:val>
            <c:numRef>
              <c:f>'Conditional Scaled'!$T$25:$T$49</c:f>
              <c:numCache>
                <c:formatCode>0.00</c:formatCode>
                <c:ptCount val="25"/>
                <c:pt idx="0">
                  <c:v>26</c:v>
                </c:pt>
                <c:pt idx="1">
                  <c:v>28.149499000267795</c:v>
                </c:pt>
                <c:pt idx="2">
                  <c:v>25.785579303744182</c:v>
                </c:pt>
                <c:pt idx="3">
                  <c:v>24.145297986874493</c:v>
                </c:pt>
                <c:pt idx="4">
                  <c:v>21.271585778757121</c:v>
                </c:pt>
                <c:pt idx="5">
                  <c:v>17.751657975246545</c:v>
                </c:pt>
                <c:pt idx="6">
                  <c:v>15.944140752593952</c:v>
                </c:pt>
                <c:pt idx="7">
                  <c:v>16.584171585637495</c:v>
                </c:pt>
                <c:pt idx="8">
                  <c:v>16.756044669072427</c:v>
                </c:pt>
                <c:pt idx="9">
                  <c:v>18.420508919743714</c:v>
                </c:pt>
                <c:pt idx="10">
                  <c:v>16.148501505084894</c:v>
                </c:pt>
                <c:pt idx="11">
                  <c:v>15.611249747044882</c:v>
                </c:pt>
                <c:pt idx="12">
                  <c:v>16.304220783470342</c:v>
                </c:pt>
                <c:pt idx="13">
                  <c:v>19.010211587603575</c:v>
                </c:pt>
                <c:pt idx="14">
                  <c:v>21.717254840395682</c:v>
                </c:pt>
                <c:pt idx="15">
                  <c:v>20.72028619035536</c:v>
                </c:pt>
                <c:pt idx="16">
                  <c:v>17.040853187696463</c:v>
                </c:pt>
                <c:pt idx="17">
                  <c:v>12.65963367978577</c:v>
                </c:pt>
                <c:pt idx="18">
                  <c:v>11.739760444676936</c:v>
                </c:pt>
                <c:pt idx="19">
                  <c:v>10.269827481703992</c:v>
                </c:pt>
                <c:pt idx="20">
                  <c:v>14.445832235240278</c:v>
                </c:pt>
                <c:pt idx="21">
                  <c:v>15.371701681214692</c:v>
                </c:pt>
                <c:pt idx="22">
                  <c:v>14.785348314306368</c:v>
                </c:pt>
                <c:pt idx="23">
                  <c:v>14.388619331149517</c:v>
                </c:pt>
                <c:pt idx="24">
                  <c:v>14.002083861982133</c:v>
                </c:pt>
              </c:numCache>
            </c:numRef>
          </c:val>
          <c:smooth val="0"/>
          <c:extLst>
            <c:ext xmlns:c16="http://schemas.microsoft.com/office/drawing/2014/chart" uri="{C3380CC4-5D6E-409C-BE32-E72D297353CC}">
              <c16:uniqueId val="{00000001-7511-4719-93C6-70588179DEBE}"/>
            </c:ext>
          </c:extLst>
        </c:ser>
        <c:dLbls>
          <c:showLegendKey val="0"/>
          <c:showVal val="0"/>
          <c:showCatName val="0"/>
          <c:showSerName val="0"/>
          <c:showPercent val="0"/>
          <c:showBubbleSize val="0"/>
        </c:dLbls>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50"/>
          <c:min val="2"/>
        </c:scaling>
        <c:delete val="0"/>
        <c:axPos val="l"/>
        <c:majorGridlines/>
        <c:numFmt formatCode="0.00" sourceLinked="1"/>
        <c:majorTickMark val="out"/>
        <c:minorTickMark val="none"/>
        <c:tickLblPos val="nextTo"/>
        <c:crossAx val="115212800"/>
        <c:crosses val="autoZero"/>
        <c:crossBetween val="between"/>
      </c:valAx>
    </c:plotArea>
    <c:legend>
      <c:legendPos val="b"/>
      <c:layout>
        <c:manualLayout>
          <c:xMode val="edge"/>
          <c:yMode val="edge"/>
          <c:x val="9.4514897753604915E-2"/>
          <c:y val="0.74076978296574414"/>
          <c:w val="0.2541294236246322"/>
          <c:h val="0.14635641370205341"/>
        </c:manualLayout>
      </c:layout>
      <c:overlay val="0"/>
      <c:spPr>
        <a:solidFill>
          <a:schemeClr val="bg1">
            <a:lumMod val="95000"/>
          </a:schemeClr>
        </a:solidFill>
      </c:spPr>
    </c:legend>
    <c:plotVisOnly val="1"/>
    <c:dispBlanksAs val="gap"/>
    <c:showDLblsOverMax val="0"/>
  </c:chart>
  <c:spPr>
    <a:ln>
      <a:solidFill>
        <a:schemeClr val="tx1"/>
      </a:solid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Conditional -- NYSE:GE</a:t>
            </a:r>
            <a:r>
              <a:rPr lang="en-US" baseline="0"/>
              <a:t> on 5/02/2019</a:t>
            </a:r>
          </a:p>
        </c:rich>
      </c:tx>
      <c:layout>
        <c:manualLayout>
          <c:xMode val="edge"/>
          <c:yMode val="edge"/>
          <c:x val="0.20049540256477422"/>
          <c:y val="3.224985333676373E-2"/>
        </c:manualLayout>
      </c:layout>
      <c:overlay val="0"/>
      <c:spPr>
        <a:solidFill>
          <a:schemeClr val="bg1">
            <a:lumMod val="95000"/>
          </a:schemeClr>
        </a:solidFill>
      </c:spPr>
    </c:title>
    <c:autoTitleDeleted val="0"/>
    <c:plotArea>
      <c:layout>
        <c:manualLayout>
          <c:layoutTarget val="inner"/>
          <c:xMode val="edge"/>
          <c:yMode val="edge"/>
          <c:x val="7.9188867526644266E-2"/>
          <c:y val="2.7624569335166844E-2"/>
          <c:w val="0.89823316494942662"/>
          <c:h val="0.87229081255484675"/>
        </c:manualLayout>
      </c:layout>
      <c:lineChart>
        <c:grouping val="standard"/>
        <c:varyColors val="0"/>
        <c:ser>
          <c:idx val="0"/>
          <c:order val="0"/>
          <c:tx>
            <c:strRef>
              <c:f>'Conditional Scaled'!$V$58</c:f>
              <c:strCache>
                <c:ptCount val="1"/>
                <c:pt idx="0">
                  <c:v>leave | min</c:v>
                </c:pt>
              </c:strCache>
            </c:strRef>
          </c:tx>
          <c:marker>
            <c:symbol val="none"/>
          </c:marker>
          <c:val>
            <c:numRef>
              <c:f>'Conditional Scaled'!$V$59:$V$83</c:f>
            </c:numRef>
          </c:val>
          <c:smooth val="0"/>
          <c:extLst>
            <c:ext xmlns:c16="http://schemas.microsoft.com/office/drawing/2014/chart" uri="{C3380CC4-5D6E-409C-BE32-E72D297353CC}">
              <c16:uniqueId val="{00000000-AEE7-4FE5-AB47-FF1A17176B58}"/>
            </c:ext>
          </c:extLst>
        </c:ser>
        <c:ser>
          <c:idx val="1"/>
          <c:order val="1"/>
          <c:tx>
            <c:strRef>
              <c:f>'Conditional Scaled'!$W$58</c:f>
              <c:strCache>
                <c:ptCount val="1"/>
                <c:pt idx="0">
                  <c:v>leave | max</c:v>
                </c:pt>
              </c:strCache>
            </c:strRef>
          </c:tx>
          <c:marker>
            <c:symbol val="none"/>
          </c:marker>
          <c:val>
            <c:numRef>
              <c:f>'Conditional Scaled'!$W$59:$W$83</c:f>
            </c:numRef>
          </c:val>
          <c:smooth val="0"/>
          <c:extLst>
            <c:ext xmlns:c16="http://schemas.microsoft.com/office/drawing/2014/chart" uri="{C3380CC4-5D6E-409C-BE32-E72D297353CC}">
              <c16:uniqueId val="{00000001-AEE7-4FE5-AB47-FF1A17176B58}"/>
            </c:ext>
          </c:extLst>
        </c:ser>
        <c:dLbls>
          <c:showLegendKey val="0"/>
          <c:showVal val="0"/>
          <c:showCatName val="0"/>
          <c:showSerName val="0"/>
          <c:showPercent val="0"/>
          <c:showBubbleSize val="0"/>
        </c:dLbls>
        <c:marker val="1"/>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1"/>
        </c:scaling>
        <c:delete val="0"/>
        <c:axPos val="l"/>
        <c:majorGridlines/>
        <c:numFmt formatCode="General" sourceLinked="1"/>
        <c:majorTickMark val="out"/>
        <c:minorTickMark val="none"/>
        <c:tickLblPos val="nextTo"/>
        <c:crossAx val="115212800"/>
        <c:crosses val="autoZero"/>
        <c:crossBetween val="between"/>
      </c:valAx>
    </c:plotArea>
    <c:legend>
      <c:legendPos val="b"/>
      <c:layout>
        <c:manualLayout>
          <c:xMode val="edge"/>
          <c:yMode val="edge"/>
          <c:x val="0.1113612486867777"/>
          <c:y val="0.24175602275953764"/>
          <c:w val="0.21802995435368241"/>
          <c:h val="0.14635641370205341"/>
        </c:manualLayout>
      </c:layout>
      <c:overlay val="0"/>
      <c:spPr>
        <a:solidFill>
          <a:schemeClr val="bg1">
            <a:lumMod val="95000"/>
          </a:schemeClr>
        </a:solidFill>
      </c:spPr>
    </c:legend>
    <c:plotVisOnly val="1"/>
    <c:dispBlanksAs val="gap"/>
    <c:showDLblsOverMax val="0"/>
  </c:chart>
  <c:spPr>
    <a:ln>
      <a:solidFill>
        <a:schemeClr val="tx1"/>
      </a:solid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'Counterfactual Refund'!$M$22</c:f>
              <c:strCache>
                <c:ptCount val="1"/>
                <c:pt idx="0">
                  <c:v>i=0,0</c:v>
                </c:pt>
              </c:strCache>
            </c:strRef>
          </c:tx>
          <c:marker>
            <c:symbol val="none"/>
          </c:marker>
          <c:val>
            <c:numRef>
              <c:f>'Counterfactual Refund'!$M$23:$M$36</c:f>
              <c:numCache>
                <c:formatCode>0%</c:formatCode>
                <c:ptCount val="14"/>
                <c:pt idx="0">
                  <c:v>0.25</c:v>
                </c:pt>
                <c:pt idx="1">
                  <c:v>0.25</c:v>
                </c:pt>
                <c:pt idx="2">
                  <c:v>0.25</c:v>
                </c:pt>
                <c:pt idx="3">
                  <c:v>0.10000150634671325</c:v>
                </c:pt>
                <c:pt idx="4">
                  <c:v>5.0672702701916809E-2</c:v>
                </c:pt>
                <c:pt idx="5">
                  <c:v>0.25</c:v>
                </c:pt>
                <c:pt idx="6">
                  <c:v>0.10000150634671325</c:v>
                </c:pt>
                <c:pt idx="7">
                  <c:v>0.10000150127410369</c:v>
                </c:pt>
                <c:pt idx="8">
                  <c:v>5.0005852744513128E-2</c:v>
                </c:pt>
                <c:pt idx="9">
                  <c:v>1.3887943864385394E-11</c:v>
                </c:pt>
                <c:pt idx="10">
                  <c:v>1.3887943864385394E-11</c:v>
                </c:pt>
                <c:pt idx="11">
                  <c:v>1.3887943864385394E-11</c:v>
                </c:pt>
                <c:pt idx="12">
                  <c:v>1.3887943864385394E-11</c:v>
                </c:pt>
                <c:pt idx="13">
                  <c:v>0</c:v>
                </c:pt>
              </c:numCache>
            </c:numRef>
          </c:val>
          <c:smooth val="0"/>
          <c:extLst>
            <c:ext xmlns:c16="http://schemas.microsoft.com/office/drawing/2014/chart" uri="{C3380CC4-5D6E-409C-BE32-E72D297353CC}">
              <c16:uniqueId val="{00000000-167D-4EF8-8D1C-22C761E2B729}"/>
            </c:ext>
          </c:extLst>
        </c:ser>
        <c:ser>
          <c:idx val="2"/>
          <c:order val="1"/>
          <c:tx>
            <c:strRef>
              <c:f>'Counterfactual Refund'!$N$22</c:f>
              <c:strCache>
                <c:ptCount val="1"/>
                <c:pt idx="0">
                  <c:v>i=0,1</c:v>
                </c:pt>
              </c:strCache>
            </c:strRef>
          </c:tx>
          <c:marker>
            <c:symbol val="none"/>
          </c:marker>
          <c:val>
            <c:numRef>
              <c:f>'Counterfactual Refund'!$N$23:$N$36</c:f>
              <c:numCache>
                <c:formatCode>0%</c:formatCode>
                <c:ptCount val="14"/>
                <c:pt idx="0">
                  <c:v>0.25</c:v>
                </c:pt>
                <c:pt idx="1">
                  <c:v>0.25</c:v>
                </c:pt>
                <c:pt idx="2">
                  <c:v>0.25</c:v>
                </c:pt>
                <c:pt idx="3">
                  <c:v>0.19999972881778538</c:v>
                </c:pt>
                <c:pt idx="4">
                  <c:v>0.25023610390709966</c:v>
                </c:pt>
                <c:pt idx="5">
                  <c:v>0.25</c:v>
                </c:pt>
                <c:pt idx="6">
                  <c:v>0.19999972881778538</c:v>
                </c:pt>
                <c:pt idx="7">
                  <c:v>0.19999971867295302</c:v>
                </c:pt>
                <c:pt idx="8">
                  <c:v>0.24999816018494284</c:v>
                </c:pt>
                <c:pt idx="9">
                  <c:v>1.3887943864385394E-11</c:v>
                </c:pt>
                <c:pt idx="10">
                  <c:v>1.3887943864385394E-11</c:v>
                </c:pt>
                <c:pt idx="11">
                  <c:v>1.3887943864385394E-11</c:v>
                </c:pt>
                <c:pt idx="12">
                  <c:v>1.3887943864385394E-11</c:v>
                </c:pt>
                <c:pt idx="13">
                  <c:v>0</c:v>
                </c:pt>
              </c:numCache>
            </c:numRef>
          </c:val>
          <c:smooth val="0"/>
          <c:extLst>
            <c:ext xmlns:c16="http://schemas.microsoft.com/office/drawing/2014/chart" uri="{C3380CC4-5D6E-409C-BE32-E72D297353CC}">
              <c16:uniqueId val="{00000001-167D-4EF8-8D1C-22C761E2B729}"/>
            </c:ext>
          </c:extLst>
        </c:ser>
        <c:ser>
          <c:idx val="3"/>
          <c:order val="2"/>
          <c:tx>
            <c:strRef>
              <c:f>'Counterfactual Refund'!$O$22</c:f>
              <c:strCache>
                <c:ptCount val="1"/>
                <c:pt idx="0">
                  <c:v>i=1,0</c:v>
                </c:pt>
              </c:strCache>
            </c:strRef>
          </c:tx>
          <c:marker>
            <c:symbol val="none"/>
          </c:marker>
          <c:val>
            <c:numRef>
              <c:f>'Counterfactual Refund'!$O$23:$O$36</c:f>
              <c:numCache>
                <c:formatCode>0%</c:formatCode>
                <c:ptCount val="14"/>
                <c:pt idx="0">
                  <c:v>0.25</c:v>
                </c:pt>
                <c:pt idx="1">
                  <c:v>0.25</c:v>
                </c:pt>
                <c:pt idx="2">
                  <c:v>0.25</c:v>
                </c:pt>
                <c:pt idx="3">
                  <c:v>0.29999914623744173</c:v>
                </c:pt>
                <c:pt idx="4">
                  <c:v>0.34934715113776654</c:v>
                </c:pt>
                <c:pt idx="5">
                  <c:v>0.25</c:v>
                </c:pt>
                <c:pt idx="6">
                  <c:v>0.29999914623744173</c:v>
                </c:pt>
                <c:pt idx="7">
                  <c:v>0.34999877556824549</c:v>
                </c:pt>
                <c:pt idx="8">
                  <c:v>0.34999784230972109</c:v>
                </c:pt>
                <c:pt idx="9">
                  <c:v>0.99999999995833622</c:v>
                </c:pt>
                <c:pt idx="10">
                  <c:v>0.99999999995833622</c:v>
                </c:pt>
                <c:pt idx="11">
                  <c:v>0.99999999995833622</c:v>
                </c:pt>
                <c:pt idx="12">
                  <c:v>0.99999999995833622</c:v>
                </c:pt>
                <c:pt idx="13">
                  <c:v>1</c:v>
                </c:pt>
              </c:numCache>
            </c:numRef>
          </c:val>
          <c:smooth val="0"/>
          <c:extLst>
            <c:ext xmlns:c16="http://schemas.microsoft.com/office/drawing/2014/chart" uri="{C3380CC4-5D6E-409C-BE32-E72D297353CC}">
              <c16:uniqueId val="{00000002-167D-4EF8-8D1C-22C761E2B729}"/>
            </c:ext>
          </c:extLst>
        </c:ser>
        <c:ser>
          <c:idx val="4"/>
          <c:order val="3"/>
          <c:tx>
            <c:strRef>
              <c:f>'Counterfactual Refund'!$P$22</c:f>
              <c:strCache>
                <c:ptCount val="1"/>
                <c:pt idx="0">
                  <c:v>i=1,1</c:v>
                </c:pt>
              </c:strCache>
            </c:strRef>
          </c:tx>
          <c:marker>
            <c:symbol val="none"/>
          </c:marker>
          <c:val>
            <c:numRef>
              <c:f>'Counterfactual Refund'!$P$23:$P$36</c:f>
              <c:numCache>
                <c:formatCode>0%</c:formatCode>
                <c:ptCount val="14"/>
                <c:pt idx="0">
                  <c:v>0.25</c:v>
                </c:pt>
                <c:pt idx="1">
                  <c:v>0.25</c:v>
                </c:pt>
                <c:pt idx="2">
                  <c:v>0.25</c:v>
                </c:pt>
                <c:pt idx="3">
                  <c:v>0.39999961859805949</c:v>
                </c:pt>
                <c:pt idx="4">
                  <c:v>0.34974404225321715</c:v>
                </c:pt>
                <c:pt idx="5">
                  <c:v>0.25</c:v>
                </c:pt>
                <c:pt idx="6">
                  <c:v>0.39999961859805949</c:v>
                </c:pt>
                <c:pt idx="7">
                  <c:v>0.35000000448469776</c:v>
                </c:pt>
                <c:pt idx="8">
                  <c:v>0.34999814476082292</c:v>
                </c:pt>
                <c:pt idx="9">
                  <c:v>1.3887943864385394E-11</c:v>
                </c:pt>
                <c:pt idx="10">
                  <c:v>1.3887943864385394E-11</c:v>
                </c:pt>
                <c:pt idx="11">
                  <c:v>1.3887943864385394E-11</c:v>
                </c:pt>
                <c:pt idx="12">
                  <c:v>1.3887943864385394E-11</c:v>
                </c:pt>
                <c:pt idx="13">
                  <c:v>0</c:v>
                </c:pt>
              </c:numCache>
            </c:numRef>
          </c:val>
          <c:smooth val="0"/>
          <c:extLst>
            <c:ext xmlns:c16="http://schemas.microsoft.com/office/drawing/2014/chart" uri="{C3380CC4-5D6E-409C-BE32-E72D297353CC}">
              <c16:uniqueId val="{00000003-167D-4EF8-8D1C-22C761E2B729}"/>
            </c:ext>
          </c:extLst>
        </c:ser>
        <c:dLbls>
          <c:showLegendKey val="0"/>
          <c:showVal val="0"/>
          <c:showCatName val="0"/>
          <c:showSerName val="0"/>
          <c:showPercent val="0"/>
          <c:showBubbleSize val="0"/>
        </c:dLbls>
        <c:smooth val="0"/>
        <c:axId val="168986112"/>
        <c:axId val="163831808"/>
      </c:lineChart>
      <c:catAx>
        <c:axId val="168986112"/>
        <c:scaling>
          <c:orientation val="minMax"/>
        </c:scaling>
        <c:delete val="0"/>
        <c:axPos val="b"/>
        <c:majorTickMark val="out"/>
        <c:minorTickMark val="none"/>
        <c:tickLblPos val="nextTo"/>
        <c:crossAx val="163831808"/>
        <c:crosses val="autoZero"/>
        <c:auto val="1"/>
        <c:lblAlgn val="ctr"/>
        <c:lblOffset val="100"/>
        <c:noMultiLvlLbl val="0"/>
      </c:catAx>
      <c:valAx>
        <c:axId val="163831808"/>
        <c:scaling>
          <c:orientation val="minMax"/>
          <c:max val="1"/>
        </c:scaling>
        <c:delete val="0"/>
        <c:axPos val="l"/>
        <c:majorGridlines/>
        <c:numFmt formatCode="0%" sourceLinked="1"/>
        <c:majorTickMark val="out"/>
        <c:minorTickMark val="none"/>
        <c:tickLblPos val="nextTo"/>
        <c:crossAx val="1689861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(Explicit)'!$V$28</c:f>
              <c:strCache>
                <c:ptCount val="1"/>
              </c:strCache>
            </c:strRef>
          </c:tx>
          <c:val>
            <c:numRef>
              <c:f>'MV Scaled (Explicit)'!$V$29:$V$38</c:f>
              <c:numCache>
                <c:formatCode>0.00</c:formatCode>
                <c:ptCount val="10"/>
                <c:pt idx="0">
                  <c:v>26</c:v>
                </c:pt>
                <c:pt idx="1">
                  <c:v>37.090811774240237</c:v>
                </c:pt>
                <c:pt idx="2">
                  <c:v>26</c:v>
                </c:pt>
                <c:pt idx="3">
                  <c:v>14.909188225759765</c:v>
                </c:pt>
                <c:pt idx="4">
                  <c:v>14.909188225759765</c:v>
                </c:pt>
                <c:pt idx="5">
                  <c:v>14.909188225759765</c:v>
                </c:pt>
                <c:pt idx="6">
                  <c:v>2</c:v>
                </c:pt>
                <c:pt idx="7">
                  <c:v>14.909188225759765</c:v>
                </c:pt>
                <c:pt idx="8">
                  <c:v>26</c:v>
                </c:pt>
                <c:pt idx="9">
                  <c:v>50</c:v>
                </c:pt>
              </c:numCache>
            </c:numRef>
          </c:val>
          <c:smooth val="0"/>
          <c:extLst>
            <c:ext xmlns:c16="http://schemas.microsoft.com/office/drawing/2014/chart" uri="{C3380CC4-5D6E-409C-BE32-E72D297353CC}">
              <c16:uniqueId val="{00000000-D8C3-4A01-96B9-8D9AB92CAAAC}"/>
            </c:ext>
          </c:extLst>
        </c:ser>
        <c:dLbls>
          <c:showLegendKey val="0"/>
          <c:showVal val="0"/>
          <c:showCatName val="0"/>
          <c:showSerName val="0"/>
          <c:showPercent val="0"/>
          <c:showBubbleSize val="0"/>
        </c:dLbls>
        <c:marker val="1"/>
        <c:smooth val="0"/>
        <c:axId val="170254336"/>
        <c:axId val="163834688"/>
      </c:lineChart>
      <c:catAx>
        <c:axId val="170254336"/>
        <c:scaling>
          <c:orientation val="minMax"/>
        </c:scaling>
        <c:delete val="0"/>
        <c:axPos val="b"/>
        <c:majorTickMark val="out"/>
        <c:minorTickMark val="none"/>
        <c:tickLblPos val="nextTo"/>
        <c:crossAx val="163834688"/>
        <c:crosses val="autoZero"/>
        <c:auto val="1"/>
        <c:lblAlgn val="ctr"/>
        <c:lblOffset val="100"/>
        <c:noMultiLvlLbl val="0"/>
      </c:catAx>
      <c:valAx>
        <c:axId val="163834688"/>
        <c:scaling>
          <c:orientation val="minMax"/>
        </c:scaling>
        <c:delete val="0"/>
        <c:axPos val="l"/>
        <c:majorGridlines/>
        <c:numFmt formatCode="0.00" sourceLinked="1"/>
        <c:majorTickMark val="out"/>
        <c:minorTickMark val="none"/>
        <c:tickLblPos val="nextTo"/>
        <c:crossAx val="170254336"/>
        <c:crosses val="autoZero"/>
        <c:crossBetween val="between"/>
      </c:valAx>
    </c:plotArea>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(Explicit)'!$X$28</c:f>
              <c:strCache>
                <c:ptCount val="1"/>
              </c:strCache>
            </c:strRef>
          </c:tx>
          <c:val>
            <c:numRef>
              <c:f>'MV Scaled (Explicit)'!$X$29:$X$38</c:f>
              <c:numCache>
                <c:formatCode>0.00</c:formatCode>
                <c:ptCount val="10"/>
                <c:pt idx="0">
                  <c:v>130</c:v>
                </c:pt>
                <c:pt idx="1">
                  <c:v>130.00000000000003</c:v>
                </c:pt>
                <c:pt idx="2">
                  <c:v>225.1992694944706</c:v>
                </c:pt>
                <c:pt idx="3">
                  <c:v>225.1992694944706</c:v>
                </c:pt>
                <c:pt idx="4">
                  <c:v>225.1992694944706</c:v>
                </c:pt>
                <c:pt idx="5">
                  <c:v>225.1992694944706</c:v>
                </c:pt>
                <c:pt idx="6">
                  <c:v>255</c:v>
                </c:pt>
                <c:pt idx="7">
                  <c:v>225.1992694944706</c:v>
                </c:pt>
                <c:pt idx="8">
                  <c:v>72.235355342498778</c:v>
                </c:pt>
                <c:pt idx="9">
                  <c:v>255</c:v>
                </c:pt>
              </c:numCache>
            </c:numRef>
          </c:val>
          <c:smooth val="0"/>
          <c:extLst>
            <c:ext xmlns:c16="http://schemas.microsoft.com/office/drawing/2014/chart" uri="{C3380CC4-5D6E-409C-BE32-E72D297353CC}">
              <c16:uniqueId val="{00000000-94E8-4D17-8F9E-CC38895F2958}"/>
            </c:ext>
          </c:extLst>
        </c:ser>
        <c:dLbls>
          <c:showLegendKey val="0"/>
          <c:showVal val="0"/>
          <c:showCatName val="0"/>
          <c:showSerName val="0"/>
          <c:showPercent val="0"/>
          <c:showBubbleSize val="0"/>
        </c:dLbls>
        <c:marker val="1"/>
        <c:smooth val="0"/>
        <c:axId val="170255872"/>
        <c:axId val="163836416"/>
      </c:lineChart>
      <c:catAx>
        <c:axId val="170255872"/>
        <c:scaling>
          <c:orientation val="minMax"/>
        </c:scaling>
        <c:delete val="0"/>
        <c:axPos val="b"/>
        <c:majorTickMark val="out"/>
        <c:minorTickMark val="none"/>
        <c:tickLblPos val="nextTo"/>
        <c:crossAx val="163836416"/>
        <c:crosses val="autoZero"/>
        <c:auto val="1"/>
        <c:lblAlgn val="ctr"/>
        <c:lblOffset val="100"/>
        <c:noMultiLvlLbl val="0"/>
      </c:catAx>
      <c:valAx>
        <c:axId val="163836416"/>
        <c:scaling>
          <c:orientation val="minMax"/>
        </c:scaling>
        <c:delete val="0"/>
        <c:axPos val="l"/>
        <c:majorGridlines/>
        <c:numFmt formatCode="0.00" sourceLinked="1"/>
        <c:majorTickMark val="out"/>
        <c:minorTickMark val="none"/>
        <c:tickLblPos val="nextTo"/>
        <c:crossAx val="170255872"/>
        <c:crosses val="autoZero"/>
        <c:crossBetween val="between"/>
      </c:valAx>
    </c:plotArea>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(Standard)'!$W$28</c:f>
              <c:strCache>
                <c:ptCount val="1"/>
              </c:strCache>
            </c:strRef>
          </c:tx>
          <c:val>
            <c:numRef>
              <c:f>'MV Scaled (Standard)'!$W$29:$W$38</c:f>
              <c:numCache>
                <c:formatCode>0.00</c:formatCode>
                <c:ptCount val="10"/>
                <c:pt idx="0">
                  <c:v>26</c:v>
                </c:pt>
                <c:pt idx="1">
                  <c:v>27.199000998989121</c:v>
                </c:pt>
                <c:pt idx="2">
                  <c:v>26</c:v>
                </c:pt>
                <c:pt idx="3">
                  <c:v>24.800999001010883</c:v>
                </c:pt>
                <c:pt idx="4">
                  <c:v>24.800999001010879</c:v>
                </c:pt>
                <c:pt idx="5">
                  <c:v>24.800999001010879</c:v>
                </c:pt>
                <c:pt idx="6">
                  <c:v>2.0053224681273774</c:v>
                </c:pt>
                <c:pt idx="7">
                  <c:v>24.800999001010883</c:v>
                </c:pt>
                <c:pt idx="8">
                  <c:v>27.442109966934613</c:v>
                </c:pt>
                <c:pt idx="9">
                  <c:v>37</c:v>
                </c:pt>
              </c:numCache>
            </c:numRef>
          </c:val>
          <c:smooth val="0"/>
          <c:extLst>
            <c:ext xmlns:c16="http://schemas.microsoft.com/office/drawing/2014/chart" uri="{C3380CC4-5D6E-409C-BE32-E72D297353CC}">
              <c16:uniqueId val="{00000000-16AE-4D10-8604-BD9311BAE5CD}"/>
            </c:ext>
          </c:extLst>
        </c:ser>
        <c:dLbls>
          <c:showLegendKey val="0"/>
          <c:showVal val="0"/>
          <c:showCatName val="0"/>
          <c:showSerName val="0"/>
          <c:showPercent val="0"/>
          <c:showBubbleSize val="0"/>
        </c:dLbls>
        <c:marker val="1"/>
        <c:smooth val="0"/>
        <c:axId val="171718144"/>
        <c:axId val="163838144"/>
      </c:lineChart>
      <c:catAx>
        <c:axId val="171718144"/>
        <c:scaling>
          <c:orientation val="minMax"/>
        </c:scaling>
        <c:delete val="0"/>
        <c:axPos val="b"/>
        <c:majorTickMark val="out"/>
        <c:minorTickMark val="none"/>
        <c:tickLblPos val="nextTo"/>
        <c:crossAx val="163838144"/>
        <c:crosses val="autoZero"/>
        <c:auto val="1"/>
        <c:lblAlgn val="ctr"/>
        <c:lblOffset val="100"/>
        <c:noMultiLvlLbl val="0"/>
      </c:catAx>
      <c:valAx>
        <c:axId val="163838144"/>
        <c:scaling>
          <c:orientation val="minMax"/>
        </c:scaling>
        <c:delete val="0"/>
        <c:axPos val="l"/>
        <c:majorGridlines/>
        <c:numFmt formatCode="0.00" sourceLinked="1"/>
        <c:majorTickMark val="out"/>
        <c:minorTickMark val="none"/>
        <c:tickLblPos val="nextTo"/>
        <c:crossAx val="171718144"/>
        <c:crosses val="autoZero"/>
        <c:crossBetween val="between"/>
      </c:valAx>
    </c:plotArea>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(Standard)'!$Y$28</c:f>
              <c:strCache>
                <c:ptCount val="1"/>
              </c:strCache>
            </c:strRef>
          </c:tx>
          <c:val>
            <c:numRef>
              <c:f>'MV Scaled (Standard)'!$Y$29:$Y$38</c:f>
              <c:numCache>
                <c:formatCode>0.00</c:formatCode>
                <c:ptCount val="10"/>
                <c:pt idx="0">
                  <c:v>130</c:v>
                </c:pt>
                <c:pt idx="1">
                  <c:v>130</c:v>
                </c:pt>
                <c:pt idx="2">
                  <c:v>142.4584993281195</c:v>
                </c:pt>
                <c:pt idx="3">
                  <c:v>142.4584993281195</c:v>
                </c:pt>
                <c:pt idx="4">
                  <c:v>136.24479686973501</c:v>
                </c:pt>
                <c:pt idx="5">
                  <c:v>142.4584993281195</c:v>
                </c:pt>
                <c:pt idx="6">
                  <c:v>254.97227881183656</c:v>
                </c:pt>
                <c:pt idx="7">
                  <c:v>142.4584993281195</c:v>
                </c:pt>
                <c:pt idx="8">
                  <c:v>122.48901058888221</c:v>
                </c:pt>
                <c:pt idx="9">
                  <c:v>117</c:v>
                </c:pt>
              </c:numCache>
            </c:numRef>
          </c:val>
          <c:smooth val="0"/>
          <c:extLst>
            <c:ext xmlns:c16="http://schemas.microsoft.com/office/drawing/2014/chart" uri="{C3380CC4-5D6E-409C-BE32-E72D297353CC}">
              <c16:uniqueId val="{00000000-5C66-4E5F-8FB4-94709FF58FAB}"/>
            </c:ext>
          </c:extLst>
        </c:ser>
        <c:dLbls>
          <c:showLegendKey val="0"/>
          <c:showVal val="0"/>
          <c:showCatName val="0"/>
          <c:showSerName val="0"/>
          <c:showPercent val="0"/>
          <c:showBubbleSize val="0"/>
        </c:dLbls>
        <c:marker val="1"/>
        <c:smooth val="0"/>
        <c:axId val="171719168"/>
        <c:axId val="170418176"/>
      </c:lineChart>
      <c:catAx>
        <c:axId val="171719168"/>
        <c:scaling>
          <c:orientation val="minMax"/>
        </c:scaling>
        <c:delete val="0"/>
        <c:axPos val="b"/>
        <c:majorTickMark val="out"/>
        <c:minorTickMark val="none"/>
        <c:tickLblPos val="nextTo"/>
        <c:crossAx val="170418176"/>
        <c:crosses val="autoZero"/>
        <c:auto val="1"/>
        <c:lblAlgn val="ctr"/>
        <c:lblOffset val="100"/>
        <c:noMultiLvlLbl val="0"/>
      </c:catAx>
      <c:valAx>
        <c:axId val="170418176"/>
        <c:scaling>
          <c:orientation val="minMax"/>
        </c:scaling>
        <c:delete val="0"/>
        <c:axPos val="l"/>
        <c:majorGridlines/>
        <c:numFmt formatCode="0.00" sourceLinked="1"/>
        <c:majorTickMark val="out"/>
        <c:minorTickMark val="none"/>
        <c:tickLblPos val="nextTo"/>
        <c:crossAx val="171719168"/>
        <c:crosses val="autoZero"/>
        <c:crossBetween val="between"/>
      </c:valAx>
    </c:plotArea>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Call Option Payoff - Synthetic</a:t>
            </a:r>
          </a:p>
        </c:rich>
      </c:tx>
      <c:overlay val="0"/>
    </c:title>
    <c:autoTitleDeleted val="0"/>
    <c:plotArea>
      <c:layout/>
      <c:scatterChart>
        <c:scatterStyle val="lineMarker"/>
        <c:varyColors val="0"/>
        <c:ser>
          <c:idx val="1"/>
          <c:order val="0"/>
          <c:tx>
            <c:strRef>
              <c:f>'Derivatives and Leverage'!$F$67</c:f>
              <c:strCache>
                <c:ptCount val="1"/>
                <c:pt idx="0">
                  <c:v>Value</c:v>
                </c:pt>
              </c:strCache>
            </c:strRef>
          </c:tx>
          <c:xVal>
            <c:numRef>
              <c:f>'Derivatives and Leverage'!$E$68:$E$92</c:f>
              <c:numCache>
                <c:formatCode>0.00</c:formatCode>
                <c:ptCount val="25"/>
                <c:pt idx="0">
                  <c:v>0</c:v>
                </c:pt>
                <c:pt idx="1">
                  <c:v>4.1666666666666664E-2</c:v>
                </c:pt>
                <c:pt idx="2">
                  <c:v>8.3333333333333329E-2</c:v>
                </c:pt>
                <c:pt idx="3">
                  <c:v>0.125</c:v>
                </c:pt>
                <c:pt idx="4">
                  <c:v>0.16666666666666666</c:v>
                </c:pt>
                <c:pt idx="5">
                  <c:v>0.20833333333333334</c:v>
                </c:pt>
                <c:pt idx="6">
                  <c:v>0.25</c:v>
                </c:pt>
                <c:pt idx="7">
                  <c:v>0.29166666666666669</c:v>
                </c:pt>
                <c:pt idx="8">
                  <c:v>0.33333333333333331</c:v>
                </c:pt>
                <c:pt idx="9">
                  <c:v>0.375</c:v>
                </c:pt>
                <c:pt idx="10">
                  <c:v>0.41666666666666669</c:v>
                </c:pt>
                <c:pt idx="11">
                  <c:v>0.45833333333333331</c:v>
                </c:pt>
                <c:pt idx="12">
                  <c:v>0.5</c:v>
                </c:pt>
                <c:pt idx="13">
                  <c:v>0.54166666666666663</c:v>
                </c:pt>
                <c:pt idx="14">
                  <c:v>0.58333333333333337</c:v>
                </c:pt>
                <c:pt idx="15">
                  <c:v>0.625</c:v>
                </c:pt>
                <c:pt idx="16">
                  <c:v>0.66666666666666663</c:v>
                </c:pt>
                <c:pt idx="17">
                  <c:v>0.70833333333333337</c:v>
                </c:pt>
                <c:pt idx="18">
                  <c:v>0.75</c:v>
                </c:pt>
                <c:pt idx="19">
                  <c:v>0.79166666666666663</c:v>
                </c:pt>
                <c:pt idx="20">
                  <c:v>0.83333333333333337</c:v>
                </c:pt>
                <c:pt idx="21">
                  <c:v>0.875</c:v>
                </c:pt>
                <c:pt idx="22">
                  <c:v>0.91666666666666663</c:v>
                </c:pt>
                <c:pt idx="23">
                  <c:v>0.95833333333333337</c:v>
                </c:pt>
                <c:pt idx="24">
                  <c:v>1</c:v>
                </c:pt>
              </c:numCache>
            </c:numRef>
          </c:xVal>
          <c:yVal>
            <c:numRef>
              <c:f>'Derivatives and Leverage'!$F$68:$F$92</c:f>
              <c:numCache>
                <c:formatCode>0.00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4.1666666666666741E-2</c:v>
                </c:pt>
                <c:pt idx="15">
                  <c:v>8.333333333333337E-2</c:v>
                </c:pt>
                <c:pt idx="16">
                  <c:v>0.125</c:v>
                </c:pt>
                <c:pt idx="17">
                  <c:v>0.16666666666666674</c:v>
                </c:pt>
                <c:pt idx="18">
                  <c:v>0.20833333333333337</c:v>
                </c:pt>
                <c:pt idx="19">
                  <c:v>0.25</c:v>
                </c:pt>
                <c:pt idx="20">
                  <c:v>0.29166666666666674</c:v>
                </c:pt>
                <c:pt idx="21">
                  <c:v>0.33333333333333337</c:v>
                </c:pt>
                <c:pt idx="22">
                  <c:v>0.375</c:v>
                </c:pt>
                <c:pt idx="23">
                  <c:v>0.41666666666666674</c:v>
                </c:pt>
                <c:pt idx="24">
                  <c:v>0.45833333333333337</c:v>
                </c:pt>
              </c:numCache>
            </c:numRef>
          </c:yVal>
          <c:smooth val="0"/>
          <c:extLst>
            <c:ext xmlns:c16="http://schemas.microsoft.com/office/drawing/2014/chart" uri="{C3380CC4-5D6E-409C-BE32-E72D297353CC}">
              <c16:uniqueId val="{00000000-1F8E-4460-AE68-4A17E690297E}"/>
            </c:ext>
          </c:extLst>
        </c:ser>
        <c:dLbls>
          <c:showLegendKey val="0"/>
          <c:showVal val="0"/>
          <c:showCatName val="0"/>
          <c:showSerName val="0"/>
          <c:showPercent val="0"/>
          <c:showBubbleSize val="0"/>
        </c:dLbls>
        <c:axId val="170420480"/>
        <c:axId val="170421056"/>
      </c:scatterChart>
      <c:valAx>
        <c:axId val="170420480"/>
        <c:scaling>
          <c:orientation val="minMax"/>
        </c:scaling>
        <c:delete val="0"/>
        <c:axPos val="b"/>
        <c:numFmt formatCode="0.00" sourceLinked="1"/>
        <c:majorTickMark val="out"/>
        <c:minorTickMark val="none"/>
        <c:tickLblPos val="nextTo"/>
        <c:crossAx val="170421056"/>
        <c:crosses val="autoZero"/>
        <c:crossBetween val="midCat"/>
      </c:valAx>
      <c:valAx>
        <c:axId val="170421056"/>
        <c:scaling>
          <c:orientation val="minMax"/>
        </c:scaling>
        <c:delete val="0"/>
        <c:axPos val="l"/>
        <c:majorGridlines/>
        <c:numFmt formatCode="0.00" sourceLinked="1"/>
        <c:majorTickMark val="out"/>
        <c:minorTickMark val="none"/>
        <c:tickLblPos val="nextTo"/>
        <c:crossAx val="170420480"/>
        <c:crosses val="autoZero"/>
        <c:crossBetween val="midCat"/>
      </c:valAx>
    </c:plotArea>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Call</a:t>
            </a:r>
            <a:r>
              <a:rPr lang="en-US" baseline="0"/>
              <a:t> Option Payoff - </a:t>
            </a:r>
            <a:r>
              <a:rPr lang="en-US"/>
              <a:t>Real World</a:t>
            </a:r>
          </a:p>
        </c:rich>
      </c:tx>
      <c:overlay val="0"/>
    </c:title>
    <c:autoTitleDeleted val="0"/>
    <c:plotArea>
      <c:layout/>
      <c:scatterChart>
        <c:scatterStyle val="lineMarker"/>
        <c:varyColors val="0"/>
        <c:ser>
          <c:idx val="1"/>
          <c:order val="1"/>
          <c:tx>
            <c:strRef>
              <c:f>'Derivatives and Leverage'!$D$67</c:f>
              <c:strCache>
                <c:ptCount val="1"/>
                <c:pt idx="0">
                  <c:v>Value</c:v>
                </c:pt>
              </c:strCache>
            </c:strRef>
          </c:tx>
          <c:xVal>
            <c:numRef>
              <c:f>'Derivatives and Leverage'!$C$68:$C$92</c:f>
              <c:numCache>
                <c:formatCode>General</c:formatCode>
                <c:ptCount val="25"/>
                <c:pt idx="0">
                  <c:v>8</c:v>
                </c:pt>
                <c:pt idx="1">
                  <c:v>8.5</c:v>
                </c:pt>
                <c:pt idx="2">
                  <c:v>9</c:v>
                </c:pt>
                <c:pt idx="3">
                  <c:v>9.5</c:v>
                </c:pt>
                <c:pt idx="4">
                  <c:v>10</c:v>
                </c:pt>
                <c:pt idx="5">
                  <c:v>10.5</c:v>
                </c:pt>
                <c:pt idx="6">
                  <c:v>11</c:v>
                </c:pt>
                <c:pt idx="7">
                  <c:v>11.5</c:v>
                </c:pt>
                <c:pt idx="8">
                  <c:v>12</c:v>
                </c:pt>
                <c:pt idx="9">
                  <c:v>12.5</c:v>
                </c:pt>
                <c:pt idx="10">
                  <c:v>13</c:v>
                </c:pt>
                <c:pt idx="11">
                  <c:v>13.5</c:v>
                </c:pt>
                <c:pt idx="12">
                  <c:v>14</c:v>
                </c:pt>
                <c:pt idx="13">
                  <c:v>14.5</c:v>
                </c:pt>
                <c:pt idx="14">
                  <c:v>15</c:v>
                </c:pt>
                <c:pt idx="15">
                  <c:v>15.5</c:v>
                </c:pt>
                <c:pt idx="16">
                  <c:v>16</c:v>
                </c:pt>
                <c:pt idx="17">
                  <c:v>16.5</c:v>
                </c:pt>
                <c:pt idx="18">
                  <c:v>17</c:v>
                </c:pt>
                <c:pt idx="19">
                  <c:v>17.5</c:v>
                </c:pt>
                <c:pt idx="20">
                  <c:v>18</c:v>
                </c:pt>
                <c:pt idx="21">
                  <c:v>18.5</c:v>
                </c:pt>
                <c:pt idx="22">
                  <c:v>19</c:v>
                </c:pt>
                <c:pt idx="23">
                  <c:v>19.5</c:v>
                </c:pt>
                <c:pt idx="24">
                  <c:v>20</c:v>
                </c:pt>
              </c:numCache>
            </c:numRef>
          </c:xVal>
          <c:yVal>
            <c:numRef>
              <c:f>'Derivatives and Leverage'!$D$68:$D$92</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0.5</c:v>
                </c:pt>
                <c:pt idx="15">
                  <c:v>1</c:v>
                </c:pt>
                <c:pt idx="16">
                  <c:v>1.5</c:v>
                </c:pt>
                <c:pt idx="17">
                  <c:v>2</c:v>
                </c:pt>
                <c:pt idx="18">
                  <c:v>2.5</c:v>
                </c:pt>
                <c:pt idx="19">
                  <c:v>3</c:v>
                </c:pt>
                <c:pt idx="20">
                  <c:v>3.5</c:v>
                </c:pt>
                <c:pt idx="21">
                  <c:v>4</c:v>
                </c:pt>
                <c:pt idx="22">
                  <c:v>4.5</c:v>
                </c:pt>
                <c:pt idx="23">
                  <c:v>5</c:v>
                </c:pt>
                <c:pt idx="24">
                  <c:v>5.5</c:v>
                </c:pt>
              </c:numCache>
            </c:numRef>
          </c:yVal>
          <c:smooth val="0"/>
          <c:extLst>
            <c:ext xmlns:c16="http://schemas.microsoft.com/office/drawing/2014/chart" uri="{C3380CC4-5D6E-409C-BE32-E72D297353CC}">
              <c16:uniqueId val="{00000000-7CEE-42F1-AF1A-91548BE54079}"/>
            </c:ext>
          </c:extLst>
        </c:ser>
        <c:ser>
          <c:idx val="0"/>
          <c:order val="0"/>
          <c:tx>
            <c:strRef>
              <c:f>'Derivatives and Leverage'!$F$67</c:f>
              <c:strCache>
                <c:ptCount val="1"/>
                <c:pt idx="0">
                  <c:v>Value</c:v>
                </c:pt>
              </c:strCache>
            </c:strRef>
          </c:tx>
          <c:xVal>
            <c:numRef>
              <c:f>'Derivatives and Leverage'!$E$68:$E$92</c:f>
              <c:numCache>
                <c:formatCode>0.00</c:formatCode>
                <c:ptCount val="25"/>
                <c:pt idx="0">
                  <c:v>0</c:v>
                </c:pt>
                <c:pt idx="1">
                  <c:v>4.1666666666666664E-2</c:v>
                </c:pt>
                <c:pt idx="2">
                  <c:v>8.3333333333333329E-2</c:v>
                </c:pt>
                <c:pt idx="3">
                  <c:v>0.125</c:v>
                </c:pt>
                <c:pt idx="4">
                  <c:v>0.16666666666666666</c:v>
                </c:pt>
                <c:pt idx="5">
                  <c:v>0.20833333333333334</c:v>
                </c:pt>
                <c:pt idx="6">
                  <c:v>0.25</c:v>
                </c:pt>
                <c:pt idx="7">
                  <c:v>0.29166666666666669</c:v>
                </c:pt>
                <c:pt idx="8">
                  <c:v>0.33333333333333331</c:v>
                </c:pt>
                <c:pt idx="9">
                  <c:v>0.375</c:v>
                </c:pt>
                <c:pt idx="10">
                  <c:v>0.41666666666666669</c:v>
                </c:pt>
                <c:pt idx="11">
                  <c:v>0.45833333333333331</c:v>
                </c:pt>
                <c:pt idx="12">
                  <c:v>0.5</c:v>
                </c:pt>
                <c:pt idx="13">
                  <c:v>0.54166666666666663</c:v>
                </c:pt>
                <c:pt idx="14">
                  <c:v>0.58333333333333337</c:v>
                </c:pt>
                <c:pt idx="15">
                  <c:v>0.625</c:v>
                </c:pt>
                <c:pt idx="16">
                  <c:v>0.66666666666666663</c:v>
                </c:pt>
                <c:pt idx="17">
                  <c:v>0.70833333333333337</c:v>
                </c:pt>
                <c:pt idx="18">
                  <c:v>0.75</c:v>
                </c:pt>
                <c:pt idx="19">
                  <c:v>0.79166666666666663</c:v>
                </c:pt>
                <c:pt idx="20">
                  <c:v>0.83333333333333337</c:v>
                </c:pt>
                <c:pt idx="21">
                  <c:v>0.875</c:v>
                </c:pt>
                <c:pt idx="22">
                  <c:v>0.91666666666666663</c:v>
                </c:pt>
                <c:pt idx="23">
                  <c:v>0.95833333333333337</c:v>
                </c:pt>
                <c:pt idx="24">
                  <c:v>1</c:v>
                </c:pt>
              </c:numCache>
            </c:numRef>
          </c:xVal>
          <c:yVal>
            <c:numRef>
              <c:f>'Derivatives and Leverage'!$F$68:$F$92</c:f>
              <c:numCache>
                <c:formatCode>0.00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4.1666666666666741E-2</c:v>
                </c:pt>
                <c:pt idx="15">
                  <c:v>8.333333333333337E-2</c:v>
                </c:pt>
                <c:pt idx="16">
                  <c:v>0.125</c:v>
                </c:pt>
                <c:pt idx="17">
                  <c:v>0.16666666666666674</c:v>
                </c:pt>
                <c:pt idx="18">
                  <c:v>0.20833333333333337</c:v>
                </c:pt>
                <c:pt idx="19">
                  <c:v>0.25</c:v>
                </c:pt>
                <c:pt idx="20">
                  <c:v>0.29166666666666674</c:v>
                </c:pt>
                <c:pt idx="21">
                  <c:v>0.33333333333333337</c:v>
                </c:pt>
                <c:pt idx="22">
                  <c:v>0.375</c:v>
                </c:pt>
                <c:pt idx="23">
                  <c:v>0.41666666666666674</c:v>
                </c:pt>
                <c:pt idx="24">
                  <c:v>0.45833333333333337</c:v>
                </c:pt>
              </c:numCache>
            </c:numRef>
          </c:yVal>
          <c:smooth val="0"/>
          <c:extLst>
            <c:ext xmlns:c16="http://schemas.microsoft.com/office/drawing/2014/chart" uri="{C3380CC4-5D6E-409C-BE32-E72D297353CC}">
              <c16:uniqueId val="{00000001-7CEE-42F1-AF1A-91548BE54079}"/>
            </c:ext>
          </c:extLst>
        </c:ser>
        <c:dLbls>
          <c:showLegendKey val="0"/>
          <c:showVal val="0"/>
          <c:showCatName val="0"/>
          <c:showSerName val="0"/>
          <c:showPercent val="0"/>
          <c:showBubbleSize val="0"/>
        </c:dLbls>
        <c:axId val="170422784"/>
        <c:axId val="170423360"/>
      </c:scatterChart>
      <c:valAx>
        <c:axId val="170422784"/>
        <c:scaling>
          <c:orientation val="minMax"/>
          <c:min val="7"/>
        </c:scaling>
        <c:delete val="0"/>
        <c:axPos val="b"/>
        <c:numFmt formatCode="General" sourceLinked="1"/>
        <c:majorTickMark val="out"/>
        <c:minorTickMark val="none"/>
        <c:tickLblPos val="nextTo"/>
        <c:crossAx val="170423360"/>
        <c:crosses val="autoZero"/>
        <c:crossBetween val="midCat"/>
      </c:valAx>
      <c:valAx>
        <c:axId val="170423360"/>
        <c:scaling>
          <c:orientation val="minMax"/>
        </c:scaling>
        <c:delete val="0"/>
        <c:axPos val="l"/>
        <c:majorGridlines/>
        <c:numFmt formatCode="General" sourceLinked="1"/>
        <c:majorTickMark val="out"/>
        <c:minorTickMark val="none"/>
        <c:tickLblPos val="nextTo"/>
        <c:crossAx val="170422784"/>
        <c:crosses val="autoZero"/>
        <c:crossBetween val="midCat"/>
      </c:valAx>
    </c:plotArea>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Future Exchange Rate Under</a:t>
            </a:r>
            <a:r>
              <a:rPr lang="en-US" baseline="0"/>
              <a:t> Different Blocksizes</a:t>
            </a:r>
            <a:endParaRPr lang="en-US"/>
          </a:p>
        </c:rich>
      </c:tx>
      <c:overlay val="0"/>
    </c:title>
    <c:autoTitleDeleted val="0"/>
    <c:plotArea>
      <c:layout>
        <c:manualLayout>
          <c:layoutTarget val="inner"/>
          <c:xMode val="edge"/>
          <c:yMode val="edge"/>
          <c:x val="0.11805840737468645"/>
          <c:y val="0.13973736017658095"/>
          <c:w val="0.85897542965794715"/>
          <c:h val="0.76553585301855964"/>
        </c:manualLayout>
      </c:layout>
      <c:lineChart>
        <c:grouping val="standard"/>
        <c:varyColors val="0"/>
        <c:ser>
          <c:idx val="0"/>
          <c:order val="0"/>
          <c:tx>
            <c:v>Keep 1MB</c:v>
          </c:tx>
          <c:marker>
            <c:symbol val="none"/>
          </c:marker>
          <c:val>
            <c:numRef>
              <c:f>'Blocksize Controversy'!$M$22:$M$47</c:f>
              <c:numCache>
                <c:formatCode>"$"#,##0.0_);[Red]\("$"#,##0.0\)</c:formatCode>
                <c:ptCount val="26"/>
                <c:pt idx="0">
                  <c:v>25000</c:v>
                </c:pt>
                <c:pt idx="1">
                  <c:v>27800.694527231</c:v>
                </c:pt>
                <c:pt idx="2">
                  <c:v>27800.694527230997</c:v>
                </c:pt>
                <c:pt idx="3">
                  <c:v>170.94698629242166</c:v>
                </c:pt>
                <c:pt idx="4">
                  <c:v>117.32279543461961</c:v>
                </c:pt>
                <c:pt idx="5">
                  <c:v>110.22836813288531</c:v>
                </c:pt>
                <c:pt idx="6">
                  <c:v>102.85168290655039</c:v>
                </c:pt>
                <c:pt idx="7">
                  <c:v>91.161441085075651</c:v>
                </c:pt>
                <c:pt idx="8">
                  <c:v>78.210182307137842</c:v>
                </c:pt>
                <c:pt idx="9">
                  <c:v>70.387760786931281</c:v>
                </c:pt>
                <c:pt idx="10">
                  <c:v>73.310772026183969</c:v>
                </c:pt>
                <c:pt idx="11">
                  <c:v>78.522367650147274</c:v>
                </c:pt>
                <c:pt idx="12">
                  <c:v>83.078295935222243</c:v>
                </c:pt>
                <c:pt idx="13">
                  <c:v>79.593750433825321</c:v>
                </c:pt>
                <c:pt idx="14">
                  <c:v>96.621475916325778</c:v>
                </c:pt>
                <c:pt idx="15">
                  <c:v>108.34590136321452</c:v>
                </c:pt>
                <c:pt idx="16">
                  <c:v>121.44909937197023</c:v>
                </c:pt>
                <c:pt idx="17">
                  <c:v>125.0529434336954</c:v>
                </c:pt>
                <c:pt idx="18">
                  <c:v>124.14808060676926</c:v>
                </c:pt>
                <c:pt idx="19">
                  <c:v>121.50346340429685</c:v>
                </c:pt>
                <c:pt idx="20">
                  <c:v>122.3483661878863</c:v>
                </c:pt>
                <c:pt idx="21">
                  <c:v>0</c:v>
                </c:pt>
                <c:pt idx="22">
                  <c:v>0</c:v>
                </c:pt>
                <c:pt idx="23">
                  <c:v>0</c:v>
                </c:pt>
                <c:pt idx="24">
                  <c:v>0</c:v>
                </c:pt>
                <c:pt idx="25">
                  <c:v>0</c:v>
                </c:pt>
              </c:numCache>
            </c:numRef>
          </c:val>
          <c:smooth val="0"/>
          <c:extLst>
            <c:ext xmlns:c16="http://schemas.microsoft.com/office/drawing/2014/chart" uri="{C3380CC4-5D6E-409C-BE32-E72D297353CC}">
              <c16:uniqueId val="{00000000-4D87-4D10-BF93-E60433E64074}"/>
            </c:ext>
          </c:extLst>
        </c:ser>
        <c:ser>
          <c:idx val="1"/>
          <c:order val="1"/>
          <c:tx>
            <c:v>Increase</c:v>
          </c:tx>
          <c:marker>
            <c:symbol val="none"/>
          </c:marker>
          <c:val>
            <c:numRef>
              <c:f>'Blocksize Controversy'!$N$22:$N$47</c:f>
              <c:numCache>
                <c:formatCode>"$"#,##0.0_);[Red]\("$"#,##0.0\)</c:formatCode>
                <c:ptCount val="26"/>
                <c:pt idx="0">
                  <c:v>25000</c:v>
                </c:pt>
                <c:pt idx="1">
                  <c:v>27800.694527230997</c:v>
                </c:pt>
                <c:pt idx="2">
                  <c:v>33126.945290460644</c:v>
                </c:pt>
                <c:pt idx="3">
                  <c:v>5830.1484580569668</c:v>
                </c:pt>
                <c:pt idx="4">
                  <c:v>8469.194846700937</c:v>
                </c:pt>
                <c:pt idx="5">
                  <c:v>8337.2170380473544</c:v>
                </c:pt>
                <c:pt idx="6">
                  <c:v>7407.4630566997066</c:v>
                </c:pt>
                <c:pt idx="7">
                  <c:v>7942.0509880128438</c:v>
                </c:pt>
                <c:pt idx="8">
                  <c:v>9530.4380758554544</c:v>
                </c:pt>
                <c:pt idx="9">
                  <c:v>9505.8986104037376</c:v>
                </c:pt>
                <c:pt idx="10">
                  <c:v>9718.538122916334</c:v>
                </c:pt>
                <c:pt idx="11">
                  <c:v>10635.426841456028</c:v>
                </c:pt>
                <c:pt idx="12">
                  <c:v>11072.043943276414</c:v>
                </c:pt>
                <c:pt idx="13">
                  <c:v>10845.485845487758</c:v>
                </c:pt>
                <c:pt idx="14">
                  <c:v>10265.682870765915</c:v>
                </c:pt>
                <c:pt idx="15">
                  <c:v>9846.3626513489126</c:v>
                </c:pt>
                <c:pt idx="16">
                  <c:v>11120.498785768852</c:v>
                </c:pt>
                <c:pt idx="17">
                  <c:v>10446.30544905744</c:v>
                </c:pt>
                <c:pt idx="18">
                  <c:v>9896.483652173376</c:v>
                </c:pt>
                <c:pt idx="19">
                  <c:v>10511.182212085436</c:v>
                </c:pt>
                <c:pt idx="20">
                  <c:v>11016.19636787821</c:v>
                </c:pt>
                <c:pt idx="21">
                  <c:v>10697.486372341664</c:v>
                </c:pt>
                <c:pt idx="22">
                  <c:v>10385.54055664724</c:v>
                </c:pt>
                <c:pt idx="23">
                  <c:v>11232.423563473092</c:v>
                </c:pt>
                <c:pt idx="24">
                  <c:v>10909.208476367981</c:v>
                </c:pt>
                <c:pt idx="25">
                  <c:v>9000</c:v>
                </c:pt>
              </c:numCache>
            </c:numRef>
          </c:val>
          <c:smooth val="0"/>
          <c:extLst>
            <c:ext xmlns:c16="http://schemas.microsoft.com/office/drawing/2014/chart" uri="{C3380CC4-5D6E-409C-BE32-E72D297353CC}">
              <c16:uniqueId val="{00000001-4D87-4D10-BF93-E60433E64074}"/>
            </c:ext>
          </c:extLst>
        </c:ser>
        <c:dLbls>
          <c:showLegendKey val="0"/>
          <c:showVal val="0"/>
          <c:showCatName val="0"/>
          <c:showSerName val="0"/>
          <c:showPercent val="0"/>
          <c:showBubbleSize val="0"/>
        </c:dLbls>
        <c:smooth val="0"/>
        <c:axId val="170654208"/>
        <c:axId val="170425664"/>
      </c:lineChart>
      <c:catAx>
        <c:axId val="170654208"/>
        <c:scaling>
          <c:orientation val="minMax"/>
        </c:scaling>
        <c:delete val="0"/>
        <c:axPos val="b"/>
        <c:majorTickMark val="out"/>
        <c:minorTickMark val="none"/>
        <c:tickLblPos val="nextTo"/>
        <c:crossAx val="170425664"/>
        <c:crosses val="autoZero"/>
        <c:auto val="1"/>
        <c:lblAlgn val="ctr"/>
        <c:lblOffset val="100"/>
        <c:noMultiLvlLbl val="0"/>
      </c:catAx>
      <c:valAx>
        <c:axId val="170425664"/>
        <c:scaling>
          <c:logBase val="10"/>
          <c:orientation val="minMax"/>
          <c:max val="50000"/>
          <c:min val="2"/>
        </c:scaling>
        <c:delete val="0"/>
        <c:axPos val="l"/>
        <c:majorGridlines/>
        <c:numFmt formatCode="&quot;$&quot;#,##0.0_);[Red]\(&quot;$&quot;#,##0.0\)" sourceLinked="1"/>
        <c:majorTickMark val="out"/>
        <c:minorTickMark val="none"/>
        <c:tickLblPos val="nextTo"/>
        <c:crossAx val="170654208"/>
        <c:crosses val="autoZero"/>
        <c:crossBetween val="between"/>
      </c:valAx>
    </c:plotArea>
    <c:legend>
      <c:legendPos val="b"/>
      <c:layout>
        <c:manualLayout>
          <c:xMode val="edge"/>
          <c:yMode val="edge"/>
          <c:x val="0.14440817496763858"/>
          <c:y val="0.75471647160976985"/>
          <c:w val="0.16417124044569811"/>
          <c:h val="0.11714482759439324"/>
        </c:manualLayout>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'Long Variability'!$N$79</c:f>
              <c:strCache>
                <c:ptCount val="1"/>
                <c:pt idx="0">
                  <c:v>Short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Variability'!$N$80:$N$84</c:f>
              <c:numCache>
                <c:formatCode>0%</c:formatCode>
                <c:ptCount val="5"/>
                <c:pt idx="3">
                  <c:v>6.0859600727975929</c:v>
                </c:pt>
                <c:pt idx="4">
                  <c:v>-0.61213325578235889</c:v>
                </c:pt>
              </c:numCache>
            </c:numRef>
          </c:yVal>
          <c:smooth val="0"/>
          <c:extLst>
            <c:ext xmlns:c16="http://schemas.microsoft.com/office/drawing/2014/chart" uri="{C3380CC4-5D6E-409C-BE32-E72D297353CC}">
              <c16:uniqueId val="{00000000-8689-44E9-AAFC-70F63FE6C9C1}"/>
            </c:ext>
          </c:extLst>
        </c:ser>
        <c:ser>
          <c:idx val="1"/>
          <c:order val="1"/>
          <c:tx>
            <c:strRef>
              <c:f>'Long Variability'!$O$79</c:f>
              <c:strCache>
                <c:ptCount val="1"/>
                <c:pt idx="0">
                  <c:v>Long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Variability'!$O$80:$O$84</c:f>
              <c:numCache>
                <c:formatCode>0%</c:formatCode>
                <c:ptCount val="5"/>
                <c:pt idx="0">
                  <c:v>-0.84244720133307038</c:v>
                </c:pt>
                <c:pt idx="1">
                  <c:v>-0.45959258390562502</c:v>
                </c:pt>
                <c:pt idx="2">
                  <c:v>-0.28057420203114469</c:v>
                </c:pt>
                <c:pt idx="3">
                  <c:v>4.1207673678905689E-2</c:v>
                </c:pt>
                <c:pt idx="4">
                  <c:v>0.73180503265079544</c:v>
                </c:pt>
              </c:numCache>
            </c:numRef>
          </c:yVal>
          <c:smooth val="0"/>
          <c:extLst>
            <c:ext xmlns:c16="http://schemas.microsoft.com/office/drawing/2014/chart" uri="{C3380CC4-5D6E-409C-BE32-E72D297353CC}">
              <c16:uniqueId val="{00000001-8689-44E9-AAFC-70F63FE6C9C1}"/>
            </c:ext>
          </c:extLst>
        </c:ser>
        <c:ser>
          <c:idx val="2"/>
          <c:order val="2"/>
          <c:tx>
            <c:strRef>
              <c:f>'Long Variability'!$P$79</c:f>
              <c:strCache>
                <c:ptCount val="1"/>
                <c:pt idx="0">
                  <c:v>Short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Variability'!$P$80:$P$84</c:f>
              <c:numCache>
                <c:formatCode>0%</c:formatCode>
                <c:ptCount val="5"/>
                <c:pt idx="0">
                  <c:v>0.93386243386243384</c:v>
                </c:pt>
                <c:pt idx="1">
                  <c:v>0.42592592592592621</c:v>
                </c:pt>
                <c:pt idx="2">
                  <c:v>0.21428571428571441</c:v>
                </c:pt>
                <c:pt idx="3">
                  <c:v>-0.14285714285714293</c:v>
                </c:pt>
                <c:pt idx="4">
                  <c:v>-0.84391534391534384</c:v>
                </c:pt>
              </c:numCache>
            </c:numRef>
          </c:yVal>
          <c:smooth val="0"/>
          <c:extLst>
            <c:ext xmlns:c16="http://schemas.microsoft.com/office/drawing/2014/chart" uri="{C3380CC4-5D6E-409C-BE32-E72D297353CC}">
              <c16:uniqueId val="{00000002-8689-44E9-AAFC-70F63FE6C9C1}"/>
            </c:ext>
          </c:extLst>
        </c:ser>
        <c:ser>
          <c:idx val="3"/>
          <c:order val="3"/>
          <c:tx>
            <c:strRef>
              <c:f>'Long Variability'!$Q$79</c:f>
              <c:strCache>
                <c:ptCount val="1"/>
                <c:pt idx="0">
                  <c:v>Long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Variability'!$Q$80:$Q$84</c:f>
              <c:numCache>
                <c:formatCode>0%</c:formatCode>
                <c:ptCount val="5"/>
                <c:pt idx="0">
                  <c:v>-0.93386243386243384</c:v>
                </c:pt>
                <c:pt idx="1">
                  <c:v>-0.42592592592592587</c:v>
                </c:pt>
                <c:pt idx="2">
                  <c:v>-0.21428571428571427</c:v>
                </c:pt>
                <c:pt idx="3">
                  <c:v>0.14285714285714293</c:v>
                </c:pt>
                <c:pt idx="4">
                  <c:v>0.84391534391534384</c:v>
                </c:pt>
              </c:numCache>
            </c:numRef>
          </c:yVal>
          <c:smooth val="0"/>
          <c:extLst>
            <c:ext xmlns:c16="http://schemas.microsoft.com/office/drawing/2014/chart" uri="{C3380CC4-5D6E-409C-BE32-E72D297353CC}">
              <c16:uniqueId val="{00000003-8689-44E9-AAFC-70F63FE6C9C1}"/>
            </c:ext>
          </c:extLst>
        </c:ser>
        <c:dLbls>
          <c:showLegendKey val="0"/>
          <c:showVal val="0"/>
          <c:showCatName val="0"/>
          <c:showSerName val="0"/>
          <c:showPercent val="0"/>
          <c:showBubbleSize val="0"/>
        </c:dLbls>
        <c:axId val="173246144"/>
        <c:axId val="173246720"/>
      </c:scatterChart>
      <c:valAx>
        <c:axId val="173246144"/>
        <c:scaling>
          <c:orientation val="minMax"/>
          <c:max val="150"/>
          <c:min val="60"/>
        </c:scaling>
        <c:delete val="0"/>
        <c:axPos val="b"/>
        <c:numFmt formatCode="0.00" sourceLinked="1"/>
        <c:majorTickMark val="out"/>
        <c:minorTickMark val="none"/>
        <c:tickLblPos val="nextTo"/>
        <c:crossAx val="173246720"/>
        <c:crosses val="autoZero"/>
        <c:crossBetween val="midCat"/>
      </c:valAx>
      <c:valAx>
        <c:axId val="173246720"/>
        <c:scaling>
          <c:orientation val="minMax"/>
        </c:scaling>
        <c:delete val="0"/>
        <c:axPos val="l"/>
        <c:majorGridlines/>
        <c:numFmt formatCode="0%" sourceLinked="1"/>
        <c:majorTickMark val="out"/>
        <c:minorTickMark val="none"/>
        <c:tickLblPos val="nextTo"/>
        <c:crossAx val="17324614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 will Donate, but only if you vote...</a:t>
            </a:r>
          </a:p>
        </c:rich>
      </c:tx>
      <c:overlay val="0"/>
    </c:title>
    <c:autoTitleDeleted val="0"/>
    <c:plotArea>
      <c:layout/>
      <c:lineChart>
        <c:grouping val="standard"/>
        <c:varyColors val="0"/>
        <c:ser>
          <c:idx val="0"/>
          <c:order val="0"/>
          <c:tx>
            <c:strRef>
              <c:f>'Conditional Charity'!$Y$24</c:f>
              <c:strCache>
                <c:ptCount val="1"/>
                <c:pt idx="0">
                  <c:v>1000|0 (Donations if No)</c:v>
                </c:pt>
              </c:strCache>
            </c:strRef>
          </c:tx>
          <c:marker>
            <c:symbol val="none"/>
          </c:marker>
          <c:val>
            <c:numRef>
              <c:f>'Conditional Charity'!$Y$25:$Y$50</c:f>
              <c:numCache>
                <c:formatCode>0.00</c:formatCode>
                <c:ptCount val="26"/>
                <c:pt idx="0">
                  <c:v>500</c:v>
                </c:pt>
                <c:pt idx="1">
                  <c:v>500</c:v>
                </c:pt>
                <c:pt idx="2">
                  <c:v>500</c:v>
                </c:pt>
                <c:pt idx="3">
                  <c:v>731.05857863000494</c:v>
                </c:pt>
                <c:pt idx="4">
                  <c:v>622.45933120185464</c:v>
                </c:pt>
                <c:pt idx="5">
                  <c:v>952.5741268224333</c:v>
                </c:pt>
                <c:pt idx="6">
                  <c:v>989.01305736940685</c:v>
                </c:pt>
                <c:pt idx="7">
                  <c:v>982.01379003790851</c:v>
                </c:pt>
                <c:pt idx="8">
                  <c:v>993.30714907571519</c:v>
                </c:pt>
                <c:pt idx="9">
                  <c:v>982.01379003790851</c:v>
                </c:pt>
                <c:pt idx="10">
                  <c:v>952.5741268224333</c:v>
                </c:pt>
                <c:pt idx="11">
                  <c:v>958.90872179953499</c:v>
                </c:pt>
                <c:pt idx="12">
                  <c:v>908.87703898514383</c:v>
                </c:pt>
                <c:pt idx="13">
                  <c:v>924.14181997875642</c:v>
                </c:pt>
                <c:pt idx="14">
                  <c:v>970.6877692486438</c:v>
                </c:pt>
                <c:pt idx="15">
                  <c:v>982.01379003790851</c:v>
                </c:pt>
                <c:pt idx="16">
                  <c:v>952.5741268224333</c:v>
                </c:pt>
                <c:pt idx="17">
                  <c:v>924.14181997875642</c:v>
                </c:pt>
                <c:pt idx="18">
                  <c:v>924.14181997875642</c:v>
                </c:pt>
                <c:pt idx="19">
                  <c:v>954.78252651671244</c:v>
                </c:pt>
                <c:pt idx="20">
                  <c:v>970.68776924864369</c:v>
                </c:pt>
                <c:pt idx="21">
                  <c:v>731.05857863000483</c:v>
                </c:pt>
                <c:pt idx="22">
                  <c:v>817.5744761936437</c:v>
                </c:pt>
                <c:pt idx="23">
                  <c:v>924.14181997875642</c:v>
                </c:pt>
                <c:pt idx="24">
                  <c:v>731.05857863000494</c:v>
                </c:pt>
                <c:pt idx="25">
                  <c:v>750</c:v>
                </c:pt>
              </c:numCache>
            </c:numRef>
          </c:val>
          <c:smooth val="0"/>
          <c:extLst>
            <c:ext xmlns:c16="http://schemas.microsoft.com/office/drawing/2014/chart" uri="{C3380CC4-5D6E-409C-BE32-E72D297353CC}">
              <c16:uniqueId val="{00000000-410D-4F9F-BB4C-4C4C559E3727}"/>
            </c:ext>
          </c:extLst>
        </c:ser>
        <c:ser>
          <c:idx val="1"/>
          <c:order val="1"/>
          <c:tx>
            <c:strRef>
              <c:f>'Conditional Charity'!$Z$24</c:f>
              <c:strCache>
                <c:ptCount val="1"/>
                <c:pt idx="0">
                  <c:v>1000|1 (Donations if Yes)</c:v>
                </c:pt>
              </c:strCache>
            </c:strRef>
          </c:tx>
          <c:marker>
            <c:symbol val="none"/>
          </c:marker>
          <c:val>
            <c:numRef>
              <c:f>'Conditional Charity'!$Z$25:$Z$50</c:f>
              <c:numCache>
                <c:formatCode>0.00</c:formatCode>
                <c:ptCount val="26"/>
                <c:pt idx="0">
                  <c:v>500</c:v>
                </c:pt>
                <c:pt idx="1">
                  <c:v>500</c:v>
                </c:pt>
                <c:pt idx="2">
                  <c:v>500</c:v>
                </c:pt>
                <c:pt idx="3">
                  <c:v>817.5744761936437</c:v>
                </c:pt>
                <c:pt idx="4">
                  <c:v>377.54066879814553</c:v>
                </c:pt>
                <c:pt idx="5">
                  <c:v>268.94142136999517</c:v>
                </c:pt>
                <c:pt idx="6">
                  <c:v>500</c:v>
                </c:pt>
                <c:pt idx="7">
                  <c:v>268.94142136999511</c:v>
                </c:pt>
                <c:pt idx="8">
                  <c:v>377.54066879814548</c:v>
                </c:pt>
                <c:pt idx="9">
                  <c:v>377.54066879814542</c:v>
                </c:pt>
                <c:pt idx="10">
                  <c:v>500</c:v>
                </c:pt>
                <c:pt idx="11">
                  <c:v>119.20292202211756</c:v>
                </c:pt>
                <c:pt idx="12">
                  <c:v>500</c:v>
                </c:pt>
                <c:pt idx="13">
                  <c:v>377.54066879814548</c:v>
                </c:pt>
                <c:pt idx="14">
                  <c:v>268.94142136999511</c:v>
                </c:pt>
                <c:pt idx="15">
                  <c:v>377.54066879814548</c:v>
                </c:pt>
                <c:pt idx="16">
                  <c:v>377.54066879814542</c:v>
                </c:pt>
                <c:pt idx="17">
                  <c:v>377.54066879814548</c:v>
                </c:pt>
                <c:pt idx="18">
                  <c:v>377.54066879814548</c:v>
                </c:pt>
                <c:pt idx="19">
                  <c:v>182.42552380635632</c:v>
                </c:pt>
                <c:pt idx="20">
                  <c:v>377.54066879814542</c:v>
                </c:pt>
                <c:pt idx="21">
                  <c:v>500</c:v>
                </c:pt>
                <c:pt idx="22">
                  <c:v>268.94142136999511</c:v>
                </c:pt>
                <c:pt idx="23">
                  <c:v>182.42552380635635</c:v>
                </c:pt>
                <c:pt idx="24">
                  <c:v>500</c:v>
                </c:pt>
                <c:pt idx="25">
                  <c:v>0</c:v>
                </c:pt>
              </c:numCache>
            </c:numRef>
          </c:val>
          <c:smooth val="0"/>
          <c:extLst>
            <c:ext xmlns:c16="http://schemas.microsoft.com/office/drawing/2014/chart" uri="{C3380CC4-5D6E-409C-BE32-E72D297353CC}">
              <c16:uniqueId val="{00000001-410D-4F9F-BB4C-4C4C559E3727}"/>
            </c:ext>
          </c:extLst>
        </c:ser>
        <c:dLbls>
          <c:showLegendKey val="0"/>
          <c:showVal val="0"/>
          <c:showCatName val="0"/>
          <c:showSerName val="0"/>
          <c:showPercent val="0"/>
          <c:showBubbleSize val="0"/>
        </c:dLbls>
        <c:smooth val="0"/>
        <c:axId val="174673920"/>
        <c:axId val="173249024"/>
      </c:lineChart>
      <c:catAx>
        <c:axId val="174673920"/>
        <c:scaling>
          <c:orientation val="minMax"/>
        </c:scaling>
        <c:delete val="0"/>
        <c:axPos val="b"/>
        <c:majorTickMark val="out"/>
        <c:minorTickMark val="none"/>
        <c:tickLblPos val="nextTo"/>
        <c:crossAx val="173249024"/>
        <c:crosses val="autoZero"/>
        <c:auto val="1"/>
        <c:lblAlgn val="ctr"/>
        <c:lblOffset val="100"/>
        <c:noMultiLvlLbl val="0"/>
      </c:catAx>
      <c:valAx>
        <c:axId val="173249024"/>
        <c:scaling>
          <c:orientation val="minMax"/>
          <c:max val="1000"/>
          <c:min val="0"/>
        </c:scaling>
        <c:delete val="0"/>
        <c:axPos val="l"/>
        <c:majorGridlines/>
        <c:numFmt formatCode="0.00" sourceLinked="1"/>
        <c:majorTickMark val="out"/>
        <c:minorTickMark val="none"/>
        <c:tickLblPos val="nextTo"/>
        <c:crossAx val="17467392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Pick Your Poison (Can't</a:t>
            </a:r>
            <a:r>
              <a:rPr lang="en-US" baseline="0"/>
              <a:t> have Both</a:t>
            </a:r>
            <a:r>
              <a:rPr lang="en-US"/>
              <a:t>)</a:t>
            </a:r>
          </a:p>
        </c:rich>
      </c:tx>
      <c:overlay val="0"/>
    </c:title>
    <c:autoTitleDeleted val="0"/>
    <c:plotArea>
      <c:layout/>
      <c:lineChart>
        <c:grouping val="standard"/>
        <c:varyColors val="0"/>
        <c:ser>
          <c:idx val="0"/>
          <c:order val="0"/>
          <c:tx>
            <c:v>Getting Both</c:v>
          </c:tx>
          <c:marker>
            <c:symbol val="none"/>
          </c:marker>
          <c:val>
            <c:numRef>
              <c:f>'Conditional Charity'!$L$25:$L$50</c:f>
              <c:numCache>
                <c:formatCode>0.0%</c:formatCode>
                <c:ptCount val="26"/>
                <c:pt idx="0">
                  <c:v>0.25</c:v>
                </c:pt>
                <c:pt idx="1">
                  <c:v>0.25</c:v>
                </c:pt>
                <c:pt idx="2">
                  <c:v>0.1887703343990727</c:v>
                </c:pt>
                <c:pt idx="3">
                  <c:v>0.57925852994137372</c:v>
                </c:pt>
                <c:pt idx="4">
                  <c:v>0.23500371220159449</c:v>
                </c:pt>
                <c:pt idx="5">
                  <c:v>4.031637265264288E-2</c:v>
                </c:pt>
                <c:pt idx="6">
                  <c:v>0.27269973677797449</c:v>
                </c:pt>
                <c:pt idx="7">
                  <c:v>0.18528124038143898</c:v>
                </c:pt>
                <c:pt idx="8">
                  <c:v>0.23209656219604313</c:v>
                </c:pt>
                <c:pt idx="9">
                  <c:v>0.23107282892557152</c:v>
                </c:pt>
                <c:pt idx="10">
                  <c:v>0.20603190919001854</c:v>
                </c:pt>
                <c:pt idx="11">
                  <c:v>1.3415374928937527E-2</c:v>
                </c:pt>
                <c:pt idx="12">
                  <c:v>3.1415993520317584E-2</c:v>
                </c:pt>
                <c:pt idx="13">
                  <c:v>2.5985868066283169E-2</c:v>
                </c:pt>
                <c:pt idx="14">
                  <c:v>2.6431438293293905E-2</c:v>
                </c:pt>
                <c:pt idx="15">
                  <c:v>2.7494656222464591E-2</c:v>
                </c:pt>
                <c:pt idx="16">
                  <c:v>0.13598891579350553</c:v>
                </c:pt>
                <c:pt idx="17">
                  <c:v>0.13336374413970897</c:v>
                </c:pt>
                <c:pt idx="18">
                  <c:v>6.3166344805694344E-2</c:v>
                </c:pt>
                <c:pt idx="19">
                  <c:v>9.600347689500062E-2</c:v>
                </c:pt>
                <c:pt idx="20">
                  <c:v>6.5793392405429307E-2</c:v>
                </c:pt>
                <c:pt idx="21">
                  <c:v>0.23500371220159449</c:v>
                </c:pt>
                <c:pt idx="22">
                  <c:v>1.418461328787491E-2</c:v>
                </c:pt>
                <c:pt idx="23">
                  <c:v>9.7193180995781923E-3</c:v>
                </c:pt>
                <c:pt idx="24">
                  <c:v>7.9915236619744669E-3</c:v>
                </c:pt>
                <c:pt idx="25">
                  <c:v>0</c:v>
                </c:pt>
              </c:numCache>
            </c:numRef>
          </c:val>
          <c:smooth val="0"/>
          <c:extLst>
            <c:ext xmlns:c16="http://schemas.microsoft.com/office/drawing/2014/chart" uri="{C3380CC4-5D6E-409C-BE32-E72D297353CC}">
              <c16:uniqueId val="{00000000-9CE0-4F5D-A495-4A532FDC3FF5}"/>
            </c:ext>
          </c:extLst>
        </c:ser>
        <c:ser>
          <c:idx val="1"/>
          <c:order val="1"/>
          <c:tx>
            <c:strRef>
              <c:f>'Conditional Charity'!$N$24</c:f>
              <c:strCache>
                <c:ptCount val="1"/>
                <c:pt idx="0">
                  <c:v>Passing Law (Reguardless of Donations)</c:v>
                </c:pt>
              </c:strCache>
            </c:strRef>
          </c:tx>
          <c:marker>
            <c:symbol val="none"/>
          </c:marker>
          <c:val>
            <c:numRef>
              <c:f>'Conditional Charity'!$N$25:$N$50</c:f>
              <c:numCache>
                <c:formatCode>0.00</c:formatCode>
                <c:ptCount val="26"/>
                <c:pt idx="0">
                  <c:v>0.5</c:v>
                </c:pt>
                <c:pt idx="1">
                  <c:v>0.5</c:v>
                </c:pt>
                <c:pt idx="2">
                  <c:v>0.37754066879814541</c:v>
                </c:pt>
                <c:pt idx="3">
                  <c:v>0.70850857849453652</c:v>
                </c:pt>
                <c:pt idx="4">
                  <c:v>0.62245933120185448</c:v>
                </c:pt>
                <c:pt idx="5">
                  <c:v>0.1499076358237052</c:v>
                </c:pt>
                <c:pt idx="6">
                  <c:v>0.54539947355594898</c:v>
                </c:pt>
                <c:pt idx="7">
                  <c:v>0.68892786926465688</c:v>
                </c:pt>
                <c:pt idx="8">
                  <c:v>0.61475910114503463</c:v>
                </c:pt>
                <c:pt idx="9">
                  <c:v>0.61204751705601312</c:v>
                </c:pt>
                <c:pt idx="10">
                  <c:v>0.41206381838003708</c:v>
                </c:pt>
                <c:pt idx="11">
                  <c:v>0.11254233286704469</c:v>
                </c:pt>
                <c:pt idx="12">
                  <c:v>6.2831987040635168E-2</c:v>
                </c:pt>
                <c:pt idx="13">
                  <c:v>6.882932148477143E-2</c:v>
                </c:pt>
                <c:pt idx="14">
                  <c:v>9.8279536705991294E-2</c:v>
                </c:pt>
                <c:pt idx="15">
                  <c:v>7.2825680767029596E-2</c:v>
                </c:pt>
                <c:pt idx="16">
                  <c:v>0.3601967338417067</c:v>
                </c:pt>
                <c:pt idx="17">
                  <c:v>0.3532433858430567</c:v>
                </c:pt>
                <c:pt idx="18">
                  <c:v>0.16731004107922115</c:v>
                </c:pt>
                <c:pt idx="19">
                  <c:v>0.52626121000977788</c:v>
                </c:pt>
                <c:pt idx="20">
                  <c:v>0.17426835793578088</c:v>
                </c:pt>
                <c:pt idx="21">
                  <c:v>0.47000742440318899</c:v>
                </c:pt>
                <c:pt idx="22">
                  <c:v>5.2742389832023992E-2</c:v>
                </c:pt>
                <c:pt idx="23">
                  <c:v>5.3278279797596702E-2</c:v>
                </c:pt>
                <c:pt idx="24">
                  <c:v>1.5983047323948934E-2</c:v>
                </c:pt>
                <c:pt idx="25">
                  <c:v>0</c:v>
                </c:pt>
              </c:numCache>
            </c:numRef>
          </c:val>
          <c:smooth val="0"/>
          <c:extLst>
            <c:ext xmlns:c16="http://schemas.microsoft.com/office/drawing/2014/chart" uri="{C3380CC4-5D6E-409C-BE32-E72D297353CC}">
              <c16:uniqueId val="{00000001-9CE0-4F5D-A495-4A532FDC3FF5}"/>
            </c:ext>
          </c:extLst>
        </c:ser>
        <c:ser>
          <c:idx val="2"/>
          <c:order val="2"/>
          <c:tx>
            <c:strRef>
              <c:f>'Conditional Charity'!$P$24</c:f>
              <c:strCache>
                <c:ptCount val="1"/>
                <c:pt idx="0">
                  <c:v>Getting Donations (Reguardless of Law)</c:v>
                </c:pt>
              </c:strCache>
            </c:strRef>
          </c:tx>
          <c:marker>
            <c:symbol val="none"/>
          </c:marker>
          <c:val>
            <c:numRef>
              <c:f>'Conditional Charity'!$P$25:$P$50</c:f>
              <c:numCache>
                <c:formatCode>0.00</c:formatCode>
                <c:ptCount val="26"/>
                <c:pt idx="0">
                  <c:v>0.5</c:v>
                </c:pt>
                <c:pt idx="1">
                  <c:v>0.5</c:v>
                </c:pt>
                <c:pt idx="2">
                  <c:v>0.49999999999999994</c:v>
                </c:pt>
                <c:pt idx="3">
                  <c:v>0.79235583422999745</c:v>
                </c:pt>
                <c:pt idx="4">
                  <c:v>0.47000742440318899</c:v>
                </c:pt>
                <c:pt idx="5">
                  <c:v>0.85009236417629486</c:v>
                </c:pt>
                <c:pt idx="6">
                  <c:v>0.72230559331814703</c:v>
                </c:pt>
                <c:pt idx="7">
                  <c:v>0.49075836246002091</c:v>
                </c:pt>
                <c:pt idx="8">
                  <c:v>0.61475910114503463</c:v>
                </c:pt>
                <c:pt idx="9">
                  <c:v>0.61204751705601312</c:v>
                </c:pt>
                <c:pt idx="10">
                  <c:v>0.76608470402397011</c:v>
                </c:pt>
                <c:pt idx="11">
                  <c:v>0.86440627217059707</c:v>
                </c:pt>
                <c:pt idx="12">
                  <c:v>0.88318648217041595</c:v>
                </c:pt>
                <c:pt idx="13">
                  <c:v>0.88651963362020014</c:v>
                </c:pt>
                <c:pt idx="14">
                  <c:v>0.90172046329400857</c:v>
                </c:pt>
                <c:pt idx="15">
                  <c:v>0.93799262347825152</c:v>
                </c:pt>
                <c:pt idx="16">
                  <c:v>0.74544895339238271</c:v>
                </c:pt>
                <c:pt idx="17">
                  <c:v>0.73105857863000479</c:v>
                </c:pt>
                <c:pt idx="18">
                  <c:v>0.83268995892077891</c:v>
                </c:pt>
                <c:pt idx="19">
                  <c:v>0.54832099571083515</c:v>
                </c:pt>
                <c:pt idx="20">
                  <c:v>0.86732099803876572</c:v>
                </c:pt>
                <c:pt idx="21">
                  <c:v>0.62245933120185448</c:v>
                </c:pt>
                <c:pt idx="22">
                  <c:v>0.78863825774140062</c:v>
                </c:pt>
                <c:pt idx="23">
                  <c:v>0.88462445162084635</c:v>
                </c:pt>
                <c:pt idx="24">
                  <c:v>0.72736555843315698</c:v>
                </c:pt>
                <c:pt idx="25">
                  <c:v>0.75</c:v>
                </c:pt>
              </c:numCache>
            </c:numRef>
          </c:val>
          <c:smooth val="0"/>
          <c:extLst>
            <c:ext xmlns:c16="http://schemas.microsoft.com/office/drawing/2014/chart" uri="{C3380CC4-5D6E-409C-BE32-E72D297353CC}">
              <c16:uniqueId val="{00000002-9CE0-4F5D-A495-4A532FDC3FF5}"/>
            </c:ext>
          </c:extLst>
        </c:ser>
        <c:dLbls>
          <c:showLegendKey val="0"/>
          <c:showVal val="0"/>
          <c:showCatName val="0"/>
          <c:showSerName val="0"/>
          <c:showPercent val="0"/>
          <c:showBubbleSize val="0"/>
        </c:dLbls>
        <c:smooth val="0"/>
        <c:axId val="174675456"/>
        <c:axId val="173250752"/>
      </c:lineChart>
      <c:catAx>
        <c:axId val="174675456"/>
        <c:scaling>
          <c:orientation val="minMax"/>
        </c:scaling>
        <c:delete val="0"/>
        <c:axPos val="b"/>
        <c:majorTickMark val="out"/>
        <c:minorTickMark val="none"/>
        <c:tickLblPos val="nextTo"/>
        <c:crossAx val="173250752"/>
        <c:crosses val="autoZero"/>
        <c:auto val="1"/>
        <c:lblAlgn val="ctr"/>
        <c:lblOffset val="100"/>
        <c:noMultiLvlLbl val="0"/>
      </c:catAx>
      <c:valAx>
        <c:axId val="173250752"/>
        <c:scaling>
          <c:orientation val="minMax"/>
          <c:max val="1"/>
          <c:min val="0"/>
        </c:scaling>
        <c:delete val="0"/>
        <c:axPos val="l"/>
        <c:majorGridlines/>
        <c:numFmt formatCode="0.0%" sourceLinked="1"/>
        <c:majorTickMark val="out"/>
        <c:minorTickMark val="none"/>
        <c:tickLblPos val="nextTo"/>
        <c:crossAx val="17467545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'Liquidity Sensitivity'!$Y$39</c:f>
              <c:strCache>
                <c:ptCount val="1"/>
                <c:pt idx="0">
                  <c:v>Total Pain</c:v>
                </c:pt>
              </c:strCache>
            </c:strRef>
          </c:tx>
          <c:spPr>
            <a:ln w="28575">
              <a:noFill/>
            </a:ln>
          </c:spPr>
          <c:trendline>
            <c:trendlineType val="poly"/>
            <c:order val="2"/>
            <c:dispRSqr val="0"/>
            <c:dispEq val="0"/>
          </c:trendline>
          <c:xVal>
            <c:numRef>
              <c:f>'Liquidity Sensitivity'!$X$40:$X$55</c:f>
              <c:numCache>
                <c:formatCode>0.000000000</c:formatCode>
                <c:ptCount val="16"/>
                <c:pt idx="0">
                  <c:v>0.513862943611199</c:v>
                </c:pt>
                <c:pt idx="1">
                  <c:v>0.99471429846963599</c:v>
                </c:pt>
                <c:pt idx="2">
                  <c:v>0.99988001530026538</c:v>
                </c:pt>
                <c:pt idx="3">
                  <c:v>0.99999518779967045</c:v>
                </c:pt>
                <c:pt idx="4">
                  <c:v>0.513862943611199</c:v>
                </c:pt>
                <c:pt idx="5">
                  <c:v>0.85546223752464423</c:v>
                </c:pt>
                <c:pt idx="6">
                  <c:v>0.95438180930828986</c:v>
                </c:pt>
                <c:pt idx="7">
                  <c:v>0.98483741427957416</c:v>
                </c:pt>
                <c:pt idx="8">
                  <c:v>0.98483741427957416</c:v>
                </c:pt>
                <c:pt idx="9">
                  <c:v>0.99999727955346152</c:v>
                </c:pt>
                <c:pt idx="10">
                  <c:v>0.31814778362083362</c:v>
                </c:pt>
                <c:pt idx="11">
                  <c:v>0.17518166209987412</c:v>
                </c:pt>
                <c:pt idx="12">
                  <c:v>9.0435759925068193E-2</c:v>
                </c:pt>
                <c:pt idx="13">
                  <c:v>0.513862943611199</c:v>
                </c:pt>
                <c:pt idx="14">
                  <c:v>0.513862943611199</c:v>
                </c:pt>
                <c:pt idx="15">
                  <c:v>0.513862943611199</c:v>
                </c:pt>
              </c:numCache>
            </c:numRef>
          </c:xVal>
          <c:yVal>
            <c:numRef>
              <c:f>'Liquidity Sensitivity'!$Y$40:$Y$55</c:f>
              <c:numCache>
                <c:formatCode>0.00000</c:formatCode>
                <c:ptCount val="16"/>
                <c:pt idx="0">
                  <c:v>2.7725887222397994E-2</c:v>
                </c:pt>
                <c:pt idx="1">
                  <c:v>1.4715007599979124E-3</c:v>
                </c:pt>
                <c:pt idx="2">
                  <c:v>5.8571853095656934E-5</c:v>
                </c:pt>
                <c:pt idx="3">
                  <c:v>3.3621506523306977E-6</c:v>
                </c:pt>
                <c:pt idx="4">
                  <c:v>2.7725887222397994E-2</c:v>
                </c:pt>
                <c:pt idx="5">
                  <c:v>1.7121865791070334E-2</c:v>
                </c:pt>
                <c:pt idx="6">
                  <c:v>7.8890252577261677E-3</c:v>
                </c:pt>
                <c:pt idx="7">
                  <c:v>3.4245468547497993E-3</c:v>
                </c:pt>
                <c:pt idx="8">
                  <c:v>3.4245468547497993E-3</c:v>
                </c:pt>
                <c:pt idx="9">
                  <c:v>2.0123854915787831E-6</c:v>
                </c:pt>
                <c:pt idx="10">
                  <c:v>2.4629043679698537E-2</c:v>
                </c:pt>
                <c:pt idx="11">
                  <c:v>1.799146634752824E-2</c:v>
                </c:pt>
                <c:pt idx="12">
                  <c:v>1.1598015104890003E-2</c:v>
                </c:pt>
                <c:pt idx="13">
                  <c:v>2.7725887222397994E-2</c:v>
                </c:pt>
                <c:pt idx="14">
                  <c:v>2.7725887222397994E-2</c:v>
                </c:pt>
                <c:pt idx="15">
                  <c:v>2.7725887222397994E-2</c:v>
                </c:pt>
              </c:numCache>
            </c:numRef>
          </c:yVal>
          <c:smooth val="0"/>
          <c:extLst>
            <c:ext xmlns:c16="http://schemas.microsoft.com/office/drawing/2014/chart" uri="{C3380CC4-5D6E-409C-BE32-E72D297353CC}">
              <c16:uniqueId val="{00000001-4C6F-4C77-99BF-30E363280E4D}"/>
            </c:ext>
          </c:extLst>
        </c:ser>
        <c:dLbls>
          <c:showLegendKey val="0"/>
          <c:showVal val="0"/>
          <c:showCatName val="0"/>
          <c:showSerName val="0"/>
          <c:showPercent val="0"/>
          <c:showBubbleSize val="0"/>
        </c:dLbls>
        <c:axId val="170107456"/>
        <c:axId val="170108032"/>
      </c:scatterChart>
      <c:valAx>
        <c:axId val="170107456"/>
        <c:scaling>
          <c:orientation val="minMax"/>
        </c:scaling>
        <c:delete val="0"/>
        <c:axPos val="b"/>
        <c:numFmt formatCode="0.000000000" sourceLinked="1"/>
        <c:majorTickMark val="out"/>
        <c:minorTickMark val="none"/>
        <c:tickLblPos val="nextTo"/>
        <c:crossAx val="170108032"/>
        <c:crosses val="autoZero"/>
        <c:crossBetween val="midCat"/>
      </c:valAx>
      <c:valAx>
        <c:axId val="170108032"/>
        <c:scaling>
          <c:orientation val="minMax"/>
        </c:scaling>
        <c:delete val="0"/>
        <c:axPos val="l"/>
        <c:majorGridlines/>
        <c:numFmt formatCode="0.00000" sourceLinked="1"/>
        <c:majorTickMark val="out"/>
        <c:minorTickMark val="none"/>
        <c:tickLblPos val="nextTo"/>
        <c:crossAx val="17010745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299079117049744E-2"/>
          <c:y val="2.8963422357300921E-2"/>
          <c:w val="0.63935197558098766"/>
          <c:h val="0.92062544014257941"/>
        </c:manualLayout>
      </c:layout>
      <c:scatterChart>
        <c:scatterStyle val="smoothMarker"/>
        <c:varyColors val="0"/>
        <c:ser>
          <c:idx val="2"/>
          <c:order val="0"/>
          <c:tx>
            <c:strRef>
              <c:f>'Liquidity Sensitivity'!$K$74</c:f>
              <c:strCache>
                <c:ptCount val="1"/>
                <c:pt idx="0">
                  <c:v>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Sensitivity'!$K$75:$K$90</c:f>
              <c:numCache>
                <c:formatCode>0%</c:formatCode>
                <c:ptCount val="16"/>
                <c:pt idx="0">
                  <c:v>1.3862943611198997E-2</c:v>
                </c:pt>
                <c:pt idx="1">
                  <c:v>-1.9081098808398922E-3</c:v>
                </c:pt>
                <c:pt idx="2">
                  <c:v>-9.7299028645969621E-5</c:v>
                </c:pt>
                <c:pt idx="3">
                  <c:v>-4.6593697313745963E-6</c:v>
                </c:pt>
                <c:pt idx="4">
                  <c:v>1.3862943611198997E-2</c:v>
                </c:pt>
                <c:pt idx="5">
                  <c:v>-0.143700354769703</c:v>
                </c:pt>
                <c:pt idx="6">
                  <c:v>-4.561466874258957E-2</c:v>
                </c:pt>
                <c:pt idx="7">
                  <c:v>-1.5162565131306982E-2</c:v>
                </c:pt>
                <c:pt idx="8">
                  <c:v>-1.5162585720425392E-2</c:v>
                </c:pt>
                <c:pt idx="9">
                  <c:v>-2.7204465384844667E-6</c:v>
                </c:pt>
                <c:pt idx="10">
                  <c:v>0.31145493269654878</c:v>
                </c:pt>
                <c:pt idx="11">
                  <c:v>0.17513626423117168</c:v>
                </c:pt>
                <c:pt idx="12">
                  <c:v>9.0435454022841269E-2</c:v>
                </c:pt>
                <c:pt idx="13">
                  <c:v>1.3862943611198997E-2</c:v>
                </c:pt>
                <c:pt idx="14">
                  <c:v>1.3862943611198997E-2</c:v>
                </c:pt>
                <c:pt idx="15">
                  <c:v>1.3862943611198997E-2</c:v>
                </c:pt>
              </c:numCache>
            </c:numRef>
          </c:yVal>
          <c:smooth val="1"/>
          <c:extLst>
            <c:ext xmlns:c16="http://schemas.microsoft.com/office/drawing/2014/chart" uri="{C3380CC4-5D6E-409C-BE32-E72D297353CC}">
              <c16:uniqueId val="{00000000-B6FF-410B-A1E9-328B66566DD3}"/>
            </c:ext>
          </c:extLst>
        </c:ser>
        <c:ser>
          <c:idx val="3"/>
          <c:order val="1"/>
          <c:tx>
            <c:strRef>
              <c:f>'Liquidity Sensitivity'!$L$74</c:f>
              <c:strCache>
                <c:ptCount val="1"/>
                <c:pt idx="0">
                  <c:v>Painfree 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Sensitivity'!$L$75:$L$90</c:f>
              <c:numCache>
                <c:formatCode>0%</c:formatCode>
                <c:ptCount val="16"/>
                <c:pt idx="0">
                  <c:v>0</c:v>
                </c:pt>
                <c:pt idx="1">
                  <c:v>-2.6438602608388484E-3</c:v>
                </c:pt>
                <c:pt idx="2">
                  <c:v>-1.2658495519379809E-4</c:v>
                </c:pt>
                <c:pt idx="3">
                  <c:v>-6.3404450575399451E-6</c:v>
                </c:pt>
                <c:pt idx="4">
                  <c:v>0</c:v>
                </c:pt>
                <c:pt idx="5">
                  <c:v>-0.15226128766523817</c:v>
                </c:pt>
                <c:pt idx="6">
                  <c:v>-4.9559181371452654E-2</c:v>
                </c:pt>
                <c:pt idx="7">
                  <c:v>-1.6874838558681882E-2</c:v>
                </c:pt>
                <c:pt idx="8">
                  <c:v>-1.6874859147800292E-2</c:v>
                </c:pt>
                <c:pt idx="9">
                  <c:v>-3.7266392842738583E-6</c:v>
                </c:pt>
                <c:pt idx="10">
                  <c:v>0.29914041085669951</c:v>
                </c:pt>
                <c:pt idx="11">
                  <c:v>0.16614053105740756</c:v>
                </c:pt>
                <c:pt idx="12">
                  <c:v>8.4636446470396268E-2</c:v>
                </c:pt>
                <c:pt idx="13">
                  <c:v>0</c:v>
                </c:pt>
                <c:pt idx="14">
                  <c:v>0</c:v>
                </c:pt>
                <c:pt idx="15">
                  <c:v>0</c:v>
                </c:pt>
              </c:numCache>
            </c:numRef>
          </c:yVal>
          <c:smooth val="1"/>
          <c:extLst>
            <c:ext xmlns:c16="http://schemas.microsoft.com/office/drawing/2014/chart" uri="{C3380CC4-5D6E-409C-BE32-E72D297353CC}">
              <c16:uniqueId val="{00000001-B6FF-410B-A1E9-328B66566DD3}"/>
            </c:ext>
          </c:extLst>
        </c:ser>
        <c:dLbls>
          <c:showLegendKey val="0"/>
          <c:showVal val="0"/>
          <c:showCatName val="0"/>
          <c:showSerName val="0"/>
          <c:showPercent val="0"/>
          <c:showBubbleSize val="0"/>
        </c:dLbls>
        <c:axId val="170109760"/>
        <c:axId val="170110336"/>
      </c:scatterChart>
      <c:valAx>
        <c:axId val="170109760"/>
        <c:scaling>
          <c:orientation val="minMax"/>
        </c:scaling>
        <c:delete val="0"/>
        <c:axPos val="b"/>
        <c:numFmt formatCode="0%" sourceLinked="1"/>
        <c:majorTickMark val="out"/>
        <c:minorTickMark val="none"/>
        <c:tickLblPos val="nextTo"/>
        <c:crossAx val="170110336"/>
        <c:crosses val="autoZero"/>
        <c:crossBetween val="midCat"/>
      </c:valAx>
      <c:valAx>
        <c:axId val="170110336"/>
        <c:scaling>
          <c:orientation val="minMax"/>
        </c:scaling>
        <c:delete val="0"/>
        <c:axPos val="l"/>
        <c:majorGridlines/>
        <c:numFmt formatCode="0%" sourceLinked="1"/>
        <c:majorTickMark val="out"/>
        <c:minorTickMark val="none"/>
        <c:tickLblPos val="nextTo"/>
        <c:crossAx val="17010976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'Liquidity Sensitivity'!$G$74</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Sensitivity'!$G$74:$G$90</c:f>
              <c:numCache>
                <c:formatCode>0%</c:formatCode>
                <c:ptCount val="17"/>
                <c:pt idx="0">
                  <c:v>0</c:v>
                </c:pt>
                <c:pt idx="1">
                  <c:v>0.5</c:v>
                </c:pt>
                <c:pt idx="2">
                  <c:v>0.99662240835047589</c:v>
                </c:pt>
                <c:pt idx="3">
                  <c:v>0.99997731432891135</c:v>
                </c:pt>
                <c:pt idx="4">
                  <c:v>0.99999984716940182</c:v>
                </c:pt>
                <c:pt idx="5">
                  <c:v>0.5</c:v>
                </c:pt>
                <c:pt idx="6">
                  <c:v>0.99916259229434723</c:v>
                </c:pt>
                <c:pt idx="7">
                  <c:v>0.99999647805087943</c:v>
                </c:pt>
                <c:pt idx="8">
                  <c:v>0.99999997941088115</c:v>
                </c:pt>
                <c:pt idx="9">
                  <c:v>0.99999999999999956</c:v>
                </c:pt>
                <c:pt idx="10">
                  <c:v>1</c:v>
                </c:pt>
                <c:pt idx="11">
                  <c:v>6.6928509242848554E-3</c:v>
                </c:pt>
                <c:pt idx="12">
                  <c:v>4.5397868702434395E-5</c:v>
                </c:pt>
                <c:pt idx="13">
                  <c:v>3.0590222692562477E-7</c:v>
                </c:pt>
                <c:pt idx="14">
                  <c:v>0.5</c:v>
                </c:pt>
                <c:pt idx="15">
                  <c:v>0.5</c:v>
                </c:pt>
                <c:pt idx="16">
                  <c:v>0.5</c:v>
                </c:pt>
              </c:numCache>
            </c:numRef>
          </c:yVal>
          <c:bubbleSize>
            <c:numRef>
              <c:f>'Liquidity Sensitivity'!$F$74:$F$90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extLst>
            <c:ext xmlns:c16="http://schemas.microsoft.com/office/drawing/2014/chart" uri="{C3380CC4-5D6E-409C-BE32-E72D297353CC}">
              <c16:uniqueId val="{00000001-B3CC-4203-9158-263A433DB108}"/>
            </c:ext>
          </c:extLst>
        </c:ser>
        <c:ser>
          <c:idx val="1"/>
          <c:order val="1"/>
          <c:tx>
            <c:strRef>
              <c:f>'Liquidity Sensitivity'!$I$74</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Sensitivity'!$I$74:$I$90</c:f>
              <c:numCache>
                <c:formatCode>0%</c:formatCode>
                <c:ptCount val="17"/>
                <c:pt idx="0">
                  <c:v>0</c:v>
                </c:pt>
                <c:pt idx="1">
                  <c:v>0.513862943611199</c:v>
                </c:pt>
                <c:pt idx="2">
                  <c:v>0.99471429846963599</c:v>
                </c:pt>
                <c:pt idx="3">
                  <c:v>0.99988001530026538</c:v>
                </c:pt>
                <c:pt idx="4">
                  <c:v>0.99999518779967045</c:v>
                </c:pt>
                <c:pt idx="5">
                  <c:v>0.513862943611199</c:v>
                </c:pt>
                <c:pt idx="6">
                  <c:v>0.85546223752464423</c:v>
                </c:pt>
                <c:pt idx="7">
                  <c:v>0.95438180930828986</c:v>
                </c:pt>
                <c:pt idx="8">
                  <c:v>0.98483741427957416</c:v>
                </c:pt>
                <c:pt idx="9">
                  <c:v>0.98483741427957416</c:v>
                </c:pt>
                <c:pt idx="10">
                  <c:v>0.99999727955346152</c:v>
                </c:pt>
                <c:pt idx="11">
                  <c:v>0.31814778362083362</c:v>
                </c:pt>
                <c:pt idx="12">
                  <c:v>0.17518166209987412</c:v>
                </c:pt>
                <c:pt idx="13">
                  <c:v>9.0435759925068193E-2</c:v>
                </c:pt>
                <c:pt idx="14">
                  <c:v>0.513862943611199</c:v>
                </c:pt>
                <c:pt idx="15">
                  <c:v>0.513862943611199</c:v>
                </c:pt>
                <c:pt idx="16">
                  <c:v>0.513862943611199</c:v>
                </c:pt>
              </c:numCache>
            </c:numRef>
          </c:yVal>
          <c:bubbleSize>
            <c:numRef>
              <c:f>'Liquidity Sensitivity'!$H$74:$H$90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extLst>
            <c:ext xmlns:c16="http://schemas.microsoft.com/office/drawing/2014/chart" uri="{C3380CC4-5D6E-409C-BE32-E72D297353CC}">
              <c16:uniqueId val="{00000003-B3CC-4203-9158-263A433DB108}"/>
            </c:ext>
          </c:extLst>
        </c:ser>
        <c:dLbls>
          <c:showLegendKey val="0"/>
          <c:showVal val="0"/>
          <c:showCatName val="0"/>
          <c:showSerName val="0"/>
          <c:showPercent val="0"/>
          <c:showBubbleSize val="0"/>
        </c:dLbls>
        <c:bubbleScale val="20"/>
        <c:showNegBubbles val="0"/>
        <c:sizeRepresents val="w"/>
        <c:axId val="170112640"/>
        <c:axId val="170113216"/>
      </c:bubbleChart>
      <c:valAx>
        <c:axId val="170112640"/>
        <c:scaling>
          <c:orientation val="minMax"/>
        </c:scaling>
        <c:delete val="0"/>
        <c:axPos val="b"/>
        <c:majorTickMark val="out"/>
        <c:minorTickMark val="none"/>
        <c:tickLblPos val="nextTo"/>
        <c:crossAx val="170113216"/>
        <c:crosses val="autoZero"/>
        <c:crossBetween val="midCat"/>
      </c:valAx>
      <c:valAx>
        <c:axId val="170113216"/>
        <c:scaling>
          <c:orientation val="minMax"/>
        </c:scaling>
        <c:delete val="0"/>
        <c:axPos val="l"/>
        <c:majorGridlines/>
        <c:numFmt formatCode="0%" sourceLinked="1"/>
        <c:majorTickMark val="out"/>
        <c:minorTickMark val="none"/>
        <c:tickLblPos val="nextTo"/>
        <c:crossAx val="17011264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'Liquidity Sensitivity'!$Y$14</c:f>
              <c:strCache>
                <c:ptCount val="1"/>
                <c:pt idx="0">
                  <c:v>Pain</c:v>
                </c:pt>
              </c:strCache>
            </c:strRef>
          </c:tx>
          <c:trendline>
            <c:trendlineType val="poly"/>
            <c:order val="2"/>
            <c:dispRSqr val="0"/>
            <c:dispEq val="0"/>
          </c:trendline>
          <c:xVal>
            <c:numRef>
              <c:f>'Liquidity Sensitivity'!$X$15:$X$30</c:f>
              <c:numCache>
                <c:formatCode>0.00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Sensitivity'!$Y$15:$Y$30</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yVal>
          <c:smooth val="1"/>
          <c:extLst>
            <c:ext xmlns:c16="http://schemas.microsoft.com/office/drawing/2014/chart" uri="{C3380CC4-5D6E-409C-BE32-E72D297353CC}">
              <c16:uniqueId val="{00000001-C078-4CFE-814E-810E767FB06E}"/>
            </c:ext>
          </c:extLst>
        </c:ser>
        <c:dLbls>
          <c:showLegendKey val="0"/>
          <c:showVal val="0"/>
          <c:showCatName val="0"/>
          <c:showSerName val="0"/>
          <c:showPercent val="0"/>
          <c:showBubbleSize val="0"/>
        </c:dLbls>
        <c:axId val="175276608"/>
        <c:axId val="175277184"/>
      </c:scatterChart>
      <c:valAx>
        <c:axId val="175276608"/>
        <c:scaling>
          <c:orientation val="minMax"/>
          <c:min val="0"/>
        </c:scaling>
        <c:delete val="0"/>
        <c:axPos val="b"/>
        <c:numFmt formatCode="0.00" sourceLinked="1"/>
        <c:majorTickMark val="out"/>
        <c:minorTickMark val="none"/>
        <c:tickLblPos val="nextTo"/>
        <c:crossAx val="175277184"/>
        <c:crosses val="autoZero"/>
        <c:crossBetween val="midCat"/>
      </c:valAx>
      <c:valAx>
        <c:axId val="175277184"/>
        <c:scaling>
          <c:orientation val="minMax"/>
          <c:max val="0.30000000000000004"/>
        </c:scaling>
        <c:delete val="0"/>
        <c:axPos val="l"/>
        <c:majorGridlines/>
        <c:numFmt formatCode="General" sourceLinked="1"/>
        <c:majorTickMark val="out"/>
        <c:minorTickMark val="none"/>
        <c:tickLblPos val="nextTo"/>
        <c:crossAx val="17527660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'Changing b mid-trading'!$AM$8</c:f>
              <c:strCache>
                <c:ptCount val="1"/>
              </c:strCache>
            </c:strRef>
          </c:tx>
          <c:val>
            <c:numRef>
              <c:f>'Changing b mid-trading'!$AM$9:$AM$15</c:f>
              <c:numCache>
                <c:formatCode>0.0%</c:formatCode>
                <c:ptCount val="7"/>
              </c:numCache>
            </c:numRef>
          </c:val>
          <c:smooth val="0"/>
          <c:extLst>
            <c:ext xmlns:c16="http://schemas.microsoft.com/office/drawing/2014/chart" uri="{C3380CC4-5D6E-409C-BE32-E72D297353CC}">
              <c16:uniqueId val="{00000000-408B-46DA-879F-0DAD763417C4}"/>
            </c:ext>
          </c:extLst>
        </c:ser>
        <c:ser>
          <c:idx val="1"/>
          <c:order val="1"/>
          <c:tx>
            <c:strRef>
              <c:f>'Changing b mid-trading'!$AN$8</c:f>
              <c:strCache>
                <c:ptCount val="1"/>
              </c:strCache>
            </c:strRef>
          </c:tx>
          <c:val>
            <c:numRef>
              <c:f>'Changing b mid-trading'!$AN$9:$AN$15</c:f>
              <c:numCache>
                <c:formatCode>0.0%</c:formatCode>
                <c:ptCount val="7"/>
              </c:numCache>
            </c:numRef>
          </c:val>
          <c:smooth val="0"/>
          <c:extLst>
            <c:ext xmlns:c16="http://schemas.microsoft.com/office/drawing/2014/chart" uri="{C3380CC4-5D6E-409C-BE32-E72D297353CC}">
              <c16:uniqueId val="{00000001-408B-46DA-879F-0DAD763417C4}"/>
            </c:ext>
          </c:extLst>
        </c:ser>
        <c:ser>
          <c:idx val="2"/>
          <c:order val="2"/>
          <c:tx>
            <c:strRef>
              <c:f>'Changing b mid-trading'!$AO$8</c:f>
              <c:strCache>
                <c:ptCount val="1"/>
              </c:strCache>
            </c:strRef>
          </c:tx>
          <c:val>
            <c:numRef>
              <c:f>'Changing b mid-trading'!$AO$9:$AO$15</c:f>
              <c:numCache>
                <c:formatCode>0.0%</c:formatCode>
                <c:ptCount val="7"/>
              </c:numCache>
            </c:numRef>
          </c:val>
          <c:smooth val="0"/>
          <c:extLst>
            <c:ext xmlns:c16="http://schemas.microsoft.com/office/drawing/2014/chart" uri="{C3380CC4-5D6E-409C-BE32-E72D297353CC}">
              <c16:uniqueId val="{00000002-408B-46DA-879F-0DAD763417C4}"/>
            </c:ext>
          </c:extLst>
        </c:ser>
        <c:ser>
          <c:idx val="3"/>
          <c:order val="3"/>
          <c:tx>
            <c:strRef>
              <c:f>'Changing b mid-trading'!$AP$8</c:f>
              <c:strCache>
                <c:ptCount val="1"/>
              </c:strCache>
            </c:strRef>
          </c:tx>
          <c:val>
            <c:numRef>
              <c:f>'Changing b mid-trading'!$AP$9:$AP$15</c:f>
              <c:numCache>
                <c:formatCode>0.0%</c:formatCode>
                <c:ptCount val="7"/>
              </c:numCache>
            </c:numRef>
          </c:val>
          <c:smooth val="0"/>
          <c:extLst>
            <c:ext xmlns:c16="http://schemas.microsoft.com/office/drawing/2014/chart" uri="{C3380CC4-5D6E-409C-BE32-E72D297353CC}">
              <c16:uniqueId val="{00000003-408B-46DA-879F-0DAD763417C4}"/>
            </c:ext>
          </c:extLst>
        </c:ser>
        <c:dLbls>
          <c:showLegendKey val="0"/>
          <c:showVal val="0"/>
          <c:showCatName val="0"/>
          <c:showSerName val="0"/>
          <c:showPercent val="0"/>
          <c:showBubbleSize val="0"/>
        </c:dLbls>
        <c:marker val="1"/>
        <c:smooth val="0"/>
        <c:axId val="175421952"/>
        <c:axId val="175279488"/>
      </c:lineChart>
      <c:catAx>
        <c:axId val="175421952"/>
        <c:scaling>
          <c:orientation val="minMax"/>
        </c:scaling>
        <c:delete val="0"/>
        <c:axPos val="b"/>
        <c:majorTickMark val="out"/>
        <c:minorTickMark val="none"/>
        <c:tickLblPos val="nextTo"/>
        <c:crossAx val="175279488"/>
        <c:crosses val="autoZero"/>
        <c:auto val="1"/>
        <c:lblAlgn val="ctr"/>
        <c:lblOffset val="100"/>
        <c:noMultiLvlLbl val="0"/>
      </c:catAx>
      <c:valAx>
        <c:axId val="175279488"/>
        <c:scaling>
          <c:orientation val="minMax"/>
        </c:scaling>
        <c:delete val="0"/>
        <c:axPos val="l"/>
        <c:majorGridlines/>
        <c:numFmt formatCode="0.0%" sourceLinked="1"/>
        <c:majorTickMark val="out"/>
        <c:minorTickMark val="none"/>
        <c:tickLblPos val="nextTo"/>
        <c:crossAx val="175421952"/>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2"/>
          <c:order val="0"/>
          <c:tx>
            <c:strRef>
              <c:f>'Max Shares Outstanding'!$M$71</c:f>
              <c:strCache>
                <c:ptCount val="1"/>
                <c:pt idx="0">
                  <c:v>Error</c:v>
                </c:pt>
              </c:strCache>
            </c:strRef>
          </c:tx>
          <c:xVal>
            <c:numRef>
              <c:f>'Max Shares Outstanding'!$I$72:$I$87</c:f>
            </c:numRef>
          </c:xVal>
          <c:yVal>
            <c:numRef>
              <c:f>'Max Shares Outstanding'!$M$72:$M$87</c:f>
            </c:numRef>
          </c:yVal>
          <c:smooth val="1"/>
          <c:extLst>
            <c:ext xmlns:c16="http://schemas.microsoft.com/office/drawing/2014/chart" uri="{C3380CC4-5D6E-409C-BE32-E72D297353CC}">
              <c16:uniqueId val="{00000000-19EC-48F7-8629-B41F4CCD5853}"/>
            </c:ext>
          </c:extLst>
        </c:ser>
        <c:ser>
          <c:idx val="3"/>
          <c:order val="1"/>
          <c:tx>
            <c:strRef>
              <c:f>'Max Shares Outstanding'!$P$71</c:f>
              <c:strCache>
                <c:ptCount val="1"/>
                <c:pt idx="0">
                  <c:v>Painfree Error</c:v>
                </c:pt>
              </c:strCache>
            </c:strRef>
          </c:tx>
          <c:xVal>
            <c:numRef>
              <c:f>'Max Shares Outstanding'!$I$72:$I$87</c:f>
            </c:numRef>
          </c:xVal>
          <c:yVal>
            <c:numRef>
              <c:f>'Max Shares Outstanding'!$P$72:$P$87</c:f>
              <c:numCache>
                <c:formatCode>0%</c:formatCode>
                <c:ptCount val="16"/>
                <c:pt idx="0">
                  <c:v>0</c:v>
                </c:pt>
                <c:pt idx="1">
                  <c:v>0.16618592891222195</c:v>
                </c:pt>
                <c:pt idx="2">
                  <c:v>1.999225416298589E-2</c:v>
                </c:pt>
                <c:pt idx="3">
                  <c:v>0</c:v>
                </c:pt>
                <c:pt idx="4">
                  <c:v>0</c:v>
                </c:pt>
                <c:pt idx="5">
                  <c:v>0</c:v>
                </c:pt>
                <c:pt idx="6">
                  <c:v>0</c:v>
                </c:pt>
                <c:pt idx="7">
                  <c:v>0</c:v>
                </c:pt>
                <c:pt idx="8">
                  <c:v>0</c:v>
                </c:pt>
                <c:pt idx="9">
                  <c:v>0</c:v>
                </c:pt>
                <c:pt idx="10">
                  <c:v>0</c:v>
                </c:pt>
                <c:pt idx="11">
                  <c:v>0</c:v>
                </c:pt>
                <c:pt idx="12">
                  <c:v>8.4636446470396268E-2</c:v>
                </c:pt>
                <c:pt idx="13">
                  <c:v>4.2087725854465262E-2</c:v>
                </c:pt>
                <c:pt idx="14">
                  <c:v>6.2281340692153301E-7</c:v>
                </c:pt>
                <c:pt idx="15">
                  <c:v>9.4418748964444252E-6</c:v>
                </c:pt>
              </c:numCache>
            </c:numRef>
          </c:yVal>
          <c:smooth val="1"/>
          <c:extLst>
            <c:ext xmlns:c16="http://schemas.microsoft.com/office/drawing/2014/chart" uri="{C3380CC4-5D6E-409C-BE32-E72D297353CC}">
              <c16:uniqueId val="{00000001-19EC-48F7-8629-B41F4CCD5853}"/>
            </c:ext>
          </c:extLst>
        </c:ser>
        <c:dLbls>
          <c:showLegendKey val="0"/>
          <c:showVal val="0"/>
          <c:showCatName val="0"/>
          <c:showSerName val="0"/>
          <c:showPercent val="0"/>
          <c:showBubbleSize val="0"/>
        </c:dLbls>
        <c:axId val="175281792"/>
        <c:axId val="175282368"/>
      </c:scatterChart>
      <c:valAx>
        <c:axId val="175281792"/>
        <c:scaling>
          <c:orientation val="minMax"/>
        </c:scaling>
        <c:delete val="0"/>
        <c:axPos val="b"/>
        <c:numFmt formatCode="0%" sourceLinked="1"/>
        <c:majorTickMark val="out"/>
        <c:minorTickMark val="none"/>
        <c:tickLblPos val="nextTo"/>
        <c:crossAx val="175282368"/>
        <c:crosses val="autoZero"/>
        <c:crossBetween val="midCat"/>
      </c:valAx>
      <c:valAx>
        <c:axId val="175282368"/>
        <c:scaling>
          <c:orientation val="minMax"/>
        </c:scaling>
        <c:delete val="0"/>
        <c:axPos val="l"/>
        <c:majorGridlines/>
        <c:numFmt formatCode="0%" sourceLinked="1"/>
        <c:majorTickMark val="out"/>
        <c:minorTickMark val="none"/>
        <c:tickLblPos val="nextTo"/>
        <c:crossAx val="17528179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'Max Shares Outstanding'!$I$71</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Outstanding'!$I$71:$I$87</c:f>
            </c:numRef>
          </c:yVal>
          <c:bubbleSize>
            <c:numRef>
              <c:f>'Max Shares Outstanding'!$H$71:$H$87</c:f>
            </c:numRef>
          </c:bubbleSize>
          <c:bubble3D val="0"/>
          <c:extLst>
            <c:ext xmlns:c16="http://schemas.microsoft.com/office/drawing/2014/chart" uri="{C3380CC4-5D6E-409C-BE32-E72D297353CC}">
              <c16:uniqueId val="{00000001-8423-419E-85B0-22381261AAA7}"/>
            </c:ext>
          </c:extLst>
        </c:ser>
        <c:ser>
          <c:idx val="1"/>
          <c:order val="1"/>
          <c:tx>
            <c:strRef>
              <c:f>'Max Shares Outstanding'!$K$71</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Outstanding'!$K$71:$K$87</c:f>
            </c:numRef>
          </c:yVal>
          <c:bubbleSize>
            <c:numRef>
              <c:f>'Max Shares Outstanding'!$J$71:$J$87</c:f>
            </c:numRef>
          </c:bubbleSize>
          <c:bubble3D val="0"/>
          <c:extLst>
            <c:ext xmlns:c16="http://schemas.microsoft.com/office/drawing/2014/chart" uri="{C3380CC4-5D6E-409C-BE32-E72D297353CC}">
              <c16:uniqueId val="{00000003-8423-419E-85B0-22381261AAA7}"/>
            </c:ext>
          </c:extLst>
        </c:ser>
        <c:dLbls>
          <c:showLegendKey val="0"/>
          <c:showVal val="0"/>
          <c:showCatName val="0"/>
          <c:showSerName val="0"/>
          <c:showPercent val="0"/>
          <c:showBubbleSize val="0"/>
        </c:dLbls>
        <c:bubbleScale val="20"/>
        <c:showNegBubbles val="0"/>
        <c:sizeRepresents val="w"/>
        <c:axId val="175080000"/>
        <c:axId val="175080576"/>
      </c:bubbleChart>
      <c:valAx>
        <c:axId val="175080000"/>
        <c:scaling>
          <c:orientation val="minMax"/>
        </c:scaling>
        <c:delete val="0"/>
        <c:axPos val="b"/>
        <c:majorTickMark val="out"/>
        <c:minorTickMark val="none"/>
        <c:tickLblPos val="nextTo"/>
        <c:crossAx val="175080576"/>
        <c:crosses val="autoZero"/>
        <c:crossBetween val="midCat"/>
      </c:valAx>
      <c:valAx>
        <c:axId val="175080576"/>
        <c:scaling>
          <c:orientation val="minMax"/>
        </c:scaling>
        <c:delete val="0"/>
        <c:axPos val="l"/>
        <c:majorGridlines/>
        <c:numFmt formatCode="0%" sourceLinked="1"/>
        <c:majorTickMark val="out"/>
        <c:minorTickMark val="none"/>
        <c:tickLblPos val="nextTo"/>
        <c:crossAx val="17508000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DistCalculator!$D$26</c:f>
              <c:strCache>
                <c:ptCount val="1"/>
                <c:pt idx="0">
                  <c:v>Normal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DistCalculator!$D$27:$D$51</c:f>
              <c:numCache>
                <c:formatCode>0.0%</c:formatCode>
                <c:ptCount val="25"/>
                <c:pt idx="0">
                  <c:v>8.6915698206758052E-4</c:v>
                </c:pt>
                <c:pt idx="1">
                  <c:v>1.7833943324495538E-3</c:v>
                </c:pt>
                <c:pt idx="2">
                  <c:v>3.4375825483393858E-3</c:v>
                </c:pt>
                <c:pt idx="3">
                  <c:v>6.2246578486426628E-3</c:v>
                </c:pt>
                <c:pt idx="4">
                  <c:v>1.058849968494156E-2</c:v>
                </c:pt>
                <c:pt idx="5">
                  <c:v>1.6920374318340325E-2</c:v>
                </c:pt>
                <c:pt idx="6">
                  <c:v>2.5400490294384705E-2</c:v>
                </c:pt>
                <c:pt idx="7">
                  <c:v>3.5820432713019143E-2</c:v>
                </c:pt>
                <c:pt idx="8">
                  <c:v>4.7454363309280621E-2</c:v>
                </c:pt>
                <c:pt idx="9">
                  <c:v>5.9057909339637359E-2</c:v>
                </c:pt>
                <c:pt idx="10">
                  <c:v>6.904569120117629E-2</c:v>
                </c:pt>
                <c:pt idx="11">
                  <c:v>7.5831856648534715E-2</c:v>
                </c:pt>
                <c:pt idx="12">
                  <c:v>7.8239018175542685E-2</c:v>
                </c:pt>
                <c:pt idx="13">
                  <c:v>7.5831856648534715E-2</c:v>
                </c:pt>
                <c:pt idx="14">
                  <c:v>6.9045691201176276E-2</c:v>
                </c:pt>
                <c:pt idx="15">
                  <c:v>5.9057909339637359E-2</c:v>
                </c:pt>
                <c:pt idx="16">
                  <c:v>4.7454363309280621E-2</c:v>
                </c:pt>
                <c:pt idx="17">
                  <c:v>3.5820432713019143E-2</c:v>
                </c:pt>
                <c:pt idx="18">
                  <c:v>2.5400490294384712E-2</c:v>
                </c:pt>
                <c:pt idx="19">
                  <c:v>1.6920374318340318E-2</c:v>
                </c:pt>
                <c:pt idx="20">
                  <c:v>1.058849968494156E-2</c:v>
                </c:pt>
                <c:pt idx="21">
                  <c:v>6.2246578486426681E-3</c:v>
                </c:pt>
                <c:pt idx="22">
                  <c:v>3.4375825483393858E-3</c:v>
                </c:pt>
                <c:pt idx="23">
                  <c:v>1.7833943324495538E-3</c:v>
                </c:pt>
                <c:pt idx="24">
                  <c:v>8.6915698206758226E-4</c:v>
                </c:pt>
              </c:numCache>
            </c:numRef>
          </c:yVal>
          <c:smooth val="1"/>
          <c:extLst>
            <c:ext xmlns:c16="http://schemas.microsoft.com/office/drawing/2014/chart" uri="{C3380CC4-5D6E-409C-BE32-E72D297353CC}">
              <c16:uniqueId val="{00000000-9B48-4590-8BD7-561D0ED4E678}"/>
            </c:ext>
          </c:extLst>
        </c:ser>
        <c:ser>
          <c:idx val="1"/>
          <c:order val="1"/>
          <c:tx>
            <c:strRef>
              <c:f>DistCalculator!$E$26</c:f>
              <c:strCache>
                <c:ptCount val="1"/>
                <c:pt idx="0">
                  <c:v>Beta</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DistCalculator!$E$27:$E$51</c:f>
              <c:numCache>
                <c:formatCode>0.0%</c:formatCode>
                <c:ptCount val="25"/>
                <c:pt idx="0">
                  <c:v>0</c:v>
                </c:pt>
                <c:pt idx="1">
                  <c:v>0</c:v>
                </c:pt>
                <c:pt idx="2">
                  <c:v>0</c:v>
                </c:pt>
                <c:pt idx="3">
                  <c:v>0</c:v>
                </c:pt>
                <c:pt idx="4">
                  <c:v>0</c:v>
                </c:pt>
                <c:pt idx="5">
                  <c:v>0</c:v>
                </c:pt>
                <c:pt idx="6">
                  <c:v>4.9061143884288699E-2</c:v>
                </c:pt>
                <c:pt idx="7">
                  <c:v>6.8657170213610924E-2</c:v>
                </c:pt>
                <c:pt idx="8">
                  <c:v>7.3709610614823118E-2</c:v>
                </c:pt>
                <c:pt idx="9">
                  <c:v>7.4216320197830199E-2</c:v>
                </c:pt>
                <c:pt idx="10">
                  <c:v>7.229486852368415E-2</c:v>
                </c:pt>
                <c:pt idx="11">
                  <c:v>6.8843627702764296E-2</c:v>
                </c:pt>
                <c:pt idx="12">
                  <c:v>6.4355848844021221E-2</c:v>
                </c:pt>
                <c:pt idx="13">
                  <c:v>5.9145915020795303E-2</c:v>
                </c:pt>
                <c:pt idx="14">
                  <c:v>5.3435928402381032E-2</c:v>
                </c:pt>
                <c:pt idx="15">
                  <c:v>4.7395825553637964E-2</c:v>
                </c:pt>
                <c:pt idx="16">
                  <c:v>4.116474020631463E-2</c:v>
                </c:pt>
                <c:pt idx="17">
                  <c:v>3.4863890619943209E-2</c:v>
                </c:pt>
                <c:pt idx="18">
                  <c:v>2.8605536487675005E-2</c:v>
                </c:pt>
                <c:pt idx="19">
                  <c:v>2.2500501010848325E-2</c:v>
                </c:pt>
                <c:pt idx="20">
                  <c:v>1.666627324349855E-2</c:v>
                </c:pt>
                <c:pt idx="21">
                  <c:v>1.1238573832862787E-2</c:v>
                </c:pt>
                <c:pt idx="22">
                  <c:v>6.3933258999749228E-3</c:v>
                </c:pt>
                <c:pt idx="23">
                  <c:v>2.405156665219062E-3</c:v>
                </c:pt>
                <c:pt idx="24">
                  <c:v>0</c:v>
                </c:pt>
              </c:numCache>
            </c:numRef>
          </c:yVal>
          <c:smooth val="1"/>
          <c:extLst>
            <c:ext xmlns:c16="http://schemas.microsoft.com/office/drawing/2014/chart" uri="{C3380CC4-5D6E-409C-BE32-E72D297353CC}">
              <c16:uniqueId val="{00000001-9B48-4590-8BD7-561D0ED4E678}"/>
            </c:ext>
          </c:extLst>
        </c:ser>
        <c:ser>
          <c:idx val="2"/>
          <c:order val="2"/>
          <c:tx>
            <c:strRef>
              <c:f>DistCalculator!$F$26</c:f>
              <c:strCache>
                <c:ptCount val="1"/>
                <c:pt idx="0">
                  <c:v>Exponential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DistCalculator!$F$27:$F$51</c:f>
              <c:numCache>
                <c:formatCode>0.0%</c:formatCode>
                <c:ptCount val="25"/>
                <c:pt idx="0">
                  <c:v>0</c:v>
                </c:pt>
                <c:pt idx="1">
                  <c:v>0</c:v>
                </c:pt>
                <c:pt idx="2">
                  <c:v>0</c:v>
                </c:pt>
                <c:pt idx="3">
                  <c:v>0</c:v>
                </c:pt>
                <c:pt idx="4">
                  <c:v>0</c:v>
                </c:pt>
                <c:pt idx="5">
                  <c:v>0</c:v>
                </c:pt>
                <c:pt idx="6">
                  <c:v>0.15174844878209037</c:v>
                </c:pt>
                <c:pt idx="7">
                  <c:v>0.12366199881475126</c:v>
                </c:pt>
                <c:pt idx="8">
                  <c:v>0.10077394578720968</c:v>
                </c:pt>
                <c:pt idx="9">
                  <c:v>8.2122141376159516E-2</c:v>
                </c:pt>
                <c:pt idx="10">
                  <c:v>6.6922517040727922E-2</c:v>
                </c:pt>
                <c:pt idx="11">
                  <c:v>5.4536124022293062E-2</c:v>
                </c:pt>
                <c:pt idx="12">
                  <c:v>4.4442273765119868E-2</c:v>
                </c:pt>
                <c:pt idx="13">
                  <c:v>3.6216649657875966E-2</c:v>
                </c:pt>
                <c:pt idx="14">
                  <c:v>2.9513469976209038E-2</c:v>
                </c:pt>
                <c:pt idx="15">
                  <c:v>2.4050952207479187E-2</c:v>
                </c:pt>
                <c:pt idx="16">
                  <c:v>1.9599467719408729E-2</c:v>
                </c:pt>
                <c:pt idx="17">
                  <c:v>1.5971888828779434E-2</c:v>
                </c:pt>
                <c:pt idx="18">
                  <c:v>1.3015722488538337E-2</c:v>
                </c:pt>
                <c:pt idx="19">
                  <c:v>1.0606699916004153E-2</c:v>
                </c:pt>
                <c:pt idx="20">
                  <c:v>8.6435526884682777E-3</c:v>
                </c:pt>
                <c:pt idx="21">
                  <c:v>7.0437557081819407E-3</c:v>
                </c:pt>
                <c:pt idx="22">
                  <c:v>5.7400580831465774E-3</c:v>
                </c:pt>
                <c:pt idx="23">
                  <c:v>4.677656091852259E-3</c:v>
                </c:pt>
                <c:pt idx="24">
                  <c:v>3.8118893914829751E-3</c:v>
                </c:pt>
              </c:numCache>
            </c:numRef>
          </c:yVal>
          <c:smooth val="1"/>
          <c:extLst>
            <c:ext xmlns:c16="http://schemas.microsoft.com/office/drawing/2014/chart" uri="{C3380CC4-5D6E-409C-BE32-E72D297353CC}">
              <c16:uniqueId val="{00000002-9B48-4590-8BD7-561D0ED4E678}"/>
            </c:ext>
          </c:extLst>
        </c:ser>
        <c:dLbls>
          <c:showLegendKey val="0"/>
          <c:showVal val="0"/>
          <c:showCatName val="0"/>
          <c:showSerName val="0"/>
          <c:showPercent val="0"/>
          <c:showBubbleSize val="0"/>
        </c:dLbls>
        <c:axId val="175082880"/>
        <c:axId val="175083456"/>
      </c:scatterChart>
      <c:valAx>
        <c:axId val="175082880"/>
        <c:scaling>
          <c:orientation val="minMax"/>
        </c:scaling>
        <c:delete val="0"/>
        <c:axPos val="b"/>
        <c:numFmt formatCode="0.0000" sourceLinked="1"/>
        <c:majorTickMark val="out"/>
        <c:minorTickMark val="none"/>
        <c:tickLblPos val="nextTo"/>
        <c:crossAx val="175083456"/>
        <c:crosses val="autoZero"/>
        <c:crossBetween val="midCat"/>
      </c:valAx>
      <c:valAx>
        <c:axId val="175083456"/>
        <c:scaling>
          <c:orientation val="minMax"/>
        </c:scaling>
        <c:delete val="0"/>
        <c:axPos val="l"/>
        <c:majorGridlines/>
        <c:numFmt formatCode="0.0%" sourceLinked="1"/>
        <c:majorTickMark val="out"/>
        <c:minorTickMark val="none"/>
        <c:tickLblPos val="nextTo"/>
        <c:crossAx val="17508288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chart" Target="../charts/chart2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9.xml"/><Relationship Id="rId1"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22</xdr:col>
      <xdr:colOff>557893</xdr:colOff>
      <xdr:row>14</xdr:row>
      <xdr:rowOff>220434</xdr:rowOff>
    </xdr:from>
    <xdr:to>
      <xdr:col>32</xdr:col>
      <xdr:colOff>285751</xdr:colOff>
      <xdr:row>29</xdr:row>
      <xdr:rowOff>99331</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56033</xdr:colOff>
      <xdr:row>16</xdr:row>
      <xdr:rowOff>190500</xdr:rowOff>
    </xdr:from>
    <xdr:to>
      <xdr:col>3</xdr:col>
      <xdr:colOff>112059</xdr:colOff>
      <xdr:row>25</xdr:row>
      <xdr:rowOff>145676</xdr:rowOff>
    </xdr:to>
    <xdr:sp macro="" textlink="">
      <xdr:nvSpPr>
        <xdr:cNvPr id="4" name="Left Arrow 3">
          <a:extLst>
            <a:ext uri="{FF2B5EF4-FFF2-40B4-BE49-F238E27FC236}">
              <a16:creationId xmlns:a16="http://schemas.microsoft.com/office/drawing/2014/main" id="{00000000-0008-0000-0100-000004000000}"/>
            </a:ext>
          </a:extLst>
        </xdr:cNvPr>
        <xdr:cNvSpPr/>
      </xdr:nvSpPr>
      <xdr:spPr>
        <a:xfrm rot="16200000">
          <a:off x="616326" y="4415118"/>
          <a:ext cx="2073088" cy="773203"/>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en-US" sz="2400"/>
            <a:t>Flow of Time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324974</xdr:colOff>
      <xdr:row>51</xdr:row>
      <xdr:rowOff>22412</xdr:rowOff>
    </xdr:from>
    <xdr:to>
      <xdr:col>23</xdr:col>
      <xdr:colOff>403413</xdr:colOff>
      <xdr:row>67</xdr:row>
      <xdr:rowOff>56029</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285750</xdr:colOff>
      <xdr:row>65</xdr:row>
      <xdr:rowOff>190500</xdr:rowOff>
    </xdr:from>
    <xdr:to>
      <xdr:col>52</xdr:col>
      <xdr:colOff>590550</xdr:colOff>
      <xdr:row>91</xdr:row>
      <xdr:rowOff>28575</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70</xdr:row>
      <xdr:rowOff>134470</xdr:rowOff>
    </xdr:from>
    <xdr:to>
      <xdr:col>5</xdr:col>
      <xdr:colOff>0</xdr:colOff>
      <xdr:row>92</xdr:row>
      <xdr:rowOff>44823</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a:off x="1781735" y="8628529"/>
          <a:ext cx="1557618" cy="2095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71</xdr:row>
      <xdr:rowOff>145676</xdr:rowOff>
    </xdr:from>
    <xdr:to>
      <xdr:col>4</xdr:col>
      <xdr:colOff>739588</xdr:colOff>
      <xdr:row>98</xdr:row>
      <xdr:rowOff>33617</xdr:rowOff>
    </xdr:to>
    <xdr:cxnSp macro="">
      <xdr:nvCxnSpPr>
        <xdr:cNvPr id="5" name="Straight Arrow Connector 4">
          <a:extLst>
            <a:ext uri="{FF2B5EF4-FFF2-40B4-BE49-F238E27FC236}">
              <a16:creationId xmlns:a16="http://schemas.microsoft.com/office/drawing/2014/main" id="{00000000-0008-0000-0200-000005000000}"/>
            </a:ext>
          </a:extLst>
        </xdr:cNvPr>
        <xdr:cNvCxnSpPr/>
      </xdr:nvCxnSpPr>
      <xdr:spPr>
        <a:xfrm>
          <a:off x="1781735" y="8841441"/>
          <a:ext cx="1535206" cy="3048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72</xdr:row>
      <xdr:rowOff>134470</xdr:rowOff>
    </xdr:from>
    <xdr:to>
      <xdr:col>4</xdr:col>
      <xdr:colOff>750794</xdr:colOff>
      <xdr:row>106</xdr:row>
      <xdr:rowOff>44824</xdr:rowOff>
    </xdr:to>
    <xdr:cxnSp macro="">
      <xdr:nvCxnSpPr>
        <xdr:cNvPr id="12" name="Straight Arrow Connector 11">
          <a:extLst>
            <a:ext uri="{FF2B5EF4-FFF2-40B4-BE49-F238E27FC236}">
              <a16:creationId xmlns:a16="http://schemas.microsoft.com/office/drawing/2014/main" id="{00000000-0008-0000-0200-00000C000000}"/>
            </a:ext>
          </a:extLst>
        </xdr:cNvPr>
        <xdr:cNvCxnSpPr/>
      </xdr:nvCxnSpPr>
      <xdr:spPr>
        <a:xfrm>
          <a:off x="1781735" y="9031941"/>
          <a:ext cx="1546412" cy="4616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493061</xdr:colOff>
      <xdr:row>10</xdr:row>
      <xdr:rowOff>224117</xdr:rowOff>
    </xdr:from>
    <xdr:to>
      <xdr:col>16</xdr:col>
      <xdr:colOff>437031</xdr:colOff>
      <xdr:row>25</xdr:row>
      <xdr:rowOff>89648</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168087</xdr:colOff>
      <xdr:row>11</xdr:row>
      <xdr:rowOff>221891</xdr:rowOff>
    </xdr:from>
    <xdr:to>
      <xdr:col>35</xdr:col>
      <xdr:colOff>302559</xdr:colOff>
      <xdr:row>28</xdr:row>
      <xdr:rowOff>224117</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488710</xdr:colOff>
      <xdr:row>1</xdr:row>
      <xdr:rowOff>109833</xdr:rowOff>
    </xdr:from>
    <xdr:to>
      <xdr:col>25</xdr:col>
      <xdr:colOff>1047749</xdr:colOff>
      <xdr:row>18</xdr:row>
      <xdr:rowOff>11205</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204106</xdr:colOff>
      <xdr:row>43</xdr:row>
      <xdr:rowOff>25883</xdr:rowOff>
    </xdr:from>
    <xdr:to>
      <xdr:col>43</xdr:col>
      <xdr:colOff>450272</xdr:colOff>
      <xdr:row>56</xdr:row>
      <xdr:rowOff>146275</xdr:rowOff>
    </xdr:to>
    <xdr:graphicFrame macro="">
      <xdr:nvGraphicFramePr>
        <xdr:cNvPr id="5" name="Chart 4">
          <a:extLst>
            <a:ext uri="{FF2B5EF4-FFF2-40B4-BE49-F238E27FC236}">
              <a16:creationId xmlns:a16="http://schemas.microsoft.com/office/drawing/2014/main" id="{3256EA95-145D-4AD6-ACE1-A88680F36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173182</xdr:colOff>
      <xdr:row>29</xdr:row>
      <xdr:rowOff>52371</xdr:rowOff>
    </xdr:from>
    <xdr:to>
      <xdr:col>43</xdr:col>
      <xdr:colOff>432954</xdr:colOff>
      <xdr:row>42</xdr:row>
      <xdr:rowOff>51025</xdr:rowOff>
    </xdr:to>
    <xdr:graphicFrame macro="">
      <xdr:nvGraphicFramePr>
        <xdr:cNvPr id="6" name="Chart 5">
          <a:extLst>
            <a:ext uri="{FF2B5EF4-FFF2-40B4-BE49-F238E27FC236}">
              <a16:creationId xmlns:a16="http://schemas.microsoft.com/office/drawing/2014/main" id="{67368229-D982-4429-B0F3-9D45F3689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190500</xdr:colOff>
      <xdr:row>14</xdr:row>
      <xdr:rowOff>145041</xdr:rowOff>
    </xdr:from>
    <xdr:to>
      <xdr:col>43</xdr:col>
      <xdr:colOff>432954</xdr:colOff>
      <xdr:row>28</xdr:row>
      <xdr:rowOff>145040</xdr:rowOff>
    </xdr:to>
    <xdr:graphicFrame macro="">
      <xdr:nvGraphicFramePr>
        <xdr:cNvPr id="7" name="Chart 6">
          <a:extLst>
            <a:ext uri="{FF2B5EF4-FFF2-40B4-BE49-F238E27FC236}">
              <a16:creationId xmlns:a16="http://schemas.microsoft.com/office/drawing/2014/main" id="{1A82FCB0-9469-422F-8427-B8B8EBCA9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35</xdr:col>
      <xdr:colOff>240949</xdr:colOff>
      <xdr:row>57</xdr:row>
      <xdr:rowOff>60236</xdr:rowOff>
    </xdr:from>
    <xdr:to>
      <xdr:col>43</xdr:col>
      <xdr:colOff>483402</xdr:colOff>
      <xdr:row>72</xdr:row>
      <xdr:rowOff>129509</xdr:rowOff>
    </xdr:to>
    <xdr:graphicFrame macro="">
      <xdr:nvGraphicFramePr>
        <xdr:cNvPr id="9" name="Chart 8">
          <a:extLst>
            <a:ext uri="{FF2B5EF4-FFF2-40B4-BE49-F238E27FC236}">
              <a16:creationId xmlns:a16="http://schemas.microsoft.com/office/drawing/2014/main" id="{EC8E8C40-40B4-48C5-88DD-6EA825EFA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435429</xdr:colOff>
      <xdr:row>69</xdr:row>
      <xdr:rowOff>136071</xdr:rowOff>
    </xdr:from>
    <xdr:to>
      <xdr:col>26</xdr:col>
      <xdr:colOff>1167739</xdr:colOff>
      <xdr:row>85</xdr:row>
      <xdr:rowOff>14844</xdr:rowOff>
    </xdr:to>
    <xdr:graphicFrame macro="">
      <xdr:nvGraphicFramePr>
        <xdr:cNvPr id="10" name="Chart 9">
          <a:extLst>
            <a:ext uri="{FF2B5EF4-FFF2-40B4-BE49-F238E27FC236}">
              <a16:creationId xmlns:a16="http://schemas.microsoft.com/office/drawing/2014/main" id="{196D57AD-9423-44F3-A392-809623104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477934</xdr:colOff>
      <xdr:row>1</xdr:row>
      <xdr:rowOff>60513</xdr:rowOff>
    </xdr:from>
    <xdr:to>
      <xdr:col>19</xdr:col>
      <xdr:colOff>285750</xdr:colOff>
      <xdr:row>15</xdr:row>
      <xdr:rowOff>174812</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484909</xdr:colOff>
      <xdr:row>1</xdr:row>
      <xdr:rowOff>13854</xdr:rowOff>
    </xdr:from>
    <xdr:to>
      <xdr:col>21</xdr:col>
      <xdr:colOff>502228</xdr:colOff>
      <xdr:row>10</xdr:row>
      <xdr:rowOff>0</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469097</xdr:colOff>
      <xdr:row>10</xdr:row>
      <xdr:rowOff>187036</xdr:rowOff>
    </xdr:from>
    <xdr:to>
      <xdr:col>21</xdr:col>
      <xdr:colOff>521805</xdr:colOff>
      <xdr:row>24</xdr:row>
      <xdr:rowOff>17318</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15</xdr:col>
      <xdr:colOff>484909</xdr:colOff>
      <xdr:row>1</xdr:row>
      <xdr:rowOff>13854</xdr:rowOff>
    </xdr:from>
    <xdr:to>
      <xdr:col>22</xdr:col>
      <xdr:colOff>502228</xdr:colOff>
      <xdr:row>10</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469097</xdr:colOff>
      <xdr:row>10</xdr:row>
      <xdr:rowOff>187036</xdr:rowOff>
    </xdr:from>
    <xdr:to>
      <xdr:col>22</xdr:col>
      <xdr:colOff>521805</xdr:colOff>
      <xdr:row>24</xdr:row>
      <xdr:rowOff>17318</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16</xdr:col>
      <xdr:colOff>640840</xdr:colOff>
      <xdr:row>60</xdr:row>
      <xdr:rowOff>190222</xdr:rowOff>
    </xdr:from>
    <xdr:to>
      <xdr:col>24</xdr:col>
      <xdr:colOff>486057</xdr:colOff>
      <xdr:row>76</xdr:row>
      <xdr:rowOff>23814</xdr:rowOff>
    </xdr:to>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642240</xdr:colOff>
      <xdr:row>76</xdr:row>
      <xdr:rowOff>173691</xdr:rowOff>
    </xdr:from>
    <xdr:to>
      <xdr:col>24</xdr:col>
      <xdr:colOff>484655</xdr:colOff>
      <xdr:row>94</xdr:row>
      <xdr:rowOff>0</xdr:rowOff>
    </xdr:to>
    <xdr:graphicFrame macro="">
      <xdr:nvGraphicFramePr>
        <xdr:cNvPr id="5" name="Chart 4">
          <a:extLst>
            <a:ext uri="{FF2B5EF4-FFF2-40B4-BE49-F238E27FC236}">
              <a16:creationId xmlns:a16="http://schemas.microsoft.com/office/drawing/2014/main" id="{00000000-0008-0000-08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663465</xdr:colOff>
      <xdr:row>1</xdr:row>
      <xdr:rowOff>116402</xdr:rowOff>
    </xdr:from>
    <xdr:to>
      <xdr:col>26</xdr:col>
      <xdr:colOff>610914</xdr:colOff>
      <xdr:row>15</xdr:row>
      <xdr:rowOff>17774</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133644</xdr:colOff>
      <xdr:row>38</xdr:row>
      <xdr:rowOff>130935</xdr:rowOff>
    </xdr:from>
    <xdr:to>
      <xdr:col>37</xdr:col>
      <xdr:colOff>6631</xdr:colOff>
      <xdr:row>39</xdr:row>
      <xdr:rowOff>124365</xdr:rowOff>
    </xdr:to>
    <xdr:sp macro="" textlink="">
      <xdr:nvSpPr>
        <xdr:cNvPr id="3" name="Up-Down Arrow 2">
          <a:extLst>
            <a:ext uri="{FF2B5EF4-FFF2-40B4-BE49-F238E27FC236}">
              <a16:creationId xmlns:a16="http://schemas.microsoft.com/office/drawing/2014/main" id="{00000000-0008-0000-0900-000003000000}"/>
            </a:ext>
          </a:extLst>
        </xdr:cNvPr>
        <xdr:cNvSpPr/>
      </xdr:nvSpPr>
      <xdr:spPr>
        <a:xfrm rot="3486903">
          <a:off x="19057733" y="5998122"/>
          <a:ext cx="229913" cy="6349987"/>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56030</xdr:colOff>
      <xdr:row>85</xdr:row>
      <xdr:rowOff>29135</xdr:rowOff>
    </xdr:from>
    <xdr:to>
      <xdr:col>18</xdr:col>
      <xdr:colOff>616324</xdr:colOff>
      <xdr:row>106</xdr:row>
      <xdr:rowOff>78440</xdr:rowOff>
    </xdr:to>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193436</xdr:colOff>
      <xdr:row>1</xdr:row>
      <xdr:rowOff>328908</xdr:rowOff>
    </xdr:from>
    <xdr:to>
      <xdr:col>20</xdr:col>
      <xdr:colOff>723900</xdr:colOff>
      <xdr:row>19</xdr:row>
      <xdr:rowOff>155863</xdr:rowOff>
    </xdr:to>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1</xdr:row>
      <xdr:rowOff>314325</xdr:rowOff>
    </xdr:from>
    <xdr:to>
      <xdr:col>29</xdr:col>
      <xdr:colOff>466725</xdr:colOff>
      <xdr:row>19</xdr:row>
      <xdr:rowOff>141280</xdr:rowOff>
    </xdr:to>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526675</xdr:colOff>
      <xdr:row>3</xdr:row>
      <xdr:rowOff>33616</xdr:rowOff>
    </xdr:from>
    <xdr:to>
      <xdr:col>29</xdr:col>
      <xdr:colOff>380999</xdr:colOff>
      <xdr:row>16</xdr:row>
      <xdr:rowOff>145675</xdr:rowOff>
    </xdr:to>
    <xdr:sp macro="" textlink="">
      <xdr:nvSpPr>
        <xdr:cNvPr id="4" name="Rectangle 3">
          <a:extLst>
            <a:ext uri="{FF2B5EF4-FFF2-40B4-BE49-F238E27FC236}">
              <a16:creationId xmlns:a16="http://schemas.microsoft.com/office/drawing/2014/main" id="{00000000-0008-0000-0D00-000004000000}"/>
            </a:ext>
          </a:extLst>
        </xdr:cNvPr>
        <xdr:cNvSpPr/>
      </xdr:nvSpPr>
      <xdr:spPr>
        <a:xfrm>
          <a:off x="18568146" y="918881"/>
          <a:ext cx="3541059" cy="2599765"/>
        </a:xfrm>
        <a:prstGeom prst="rect">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381000</xdr:colOff>
      <xdr:row>10</xdr:row>
      <xdr:rowOff>0</xdr:rowOff>
    </xdr:from>
    <xdr:to>
      <xdr:col>30</xdr:col>
      <xdr:colOff>414619</xdr:colOff>
      <xdr:row>11</xdr:row>
      <xdr:rowOff>89647</xdr:rowOff>
    </xdr:to>
    <xdr:cxnSp macro="">
      <xdr:nvCxnSpPr>
        <xdr:cNvPr id="6" name="Straight Arrow Connector 5">
          <a:extLst>
            <a:ext uri="{FF2B5EF4-FFF2-40B4-BE49-F238E27FC236}">
              <a16:creationId xmlns:a16="http://schemas.microsoft.com/office/drawing/2014/main" id="{00000000-0008-0000-0D00-000006000000}"/>
            </a:ext>
          </a:extLst>
        </xdr:cNvPr>
        <xdr:cNvCxnSpPr/>
      </xdr:nvCxnSpPr>
      <xdr:spPr>
        <a:xfrm flipH="1">
          <a:off x="22109206" y="2218765"/>
          <a:ext cx="885266" cy="280147"/>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28</xdr:col>
      <xdr:colOff>244580</xdr:colOff>
      <xdr:row>37</xdr:row>
      <xdr:rowOff>125360</xdr:rowOff>
    </xdr:from>
    <xdr:to>
      <xdr:col>36</xdr:col>
      <xdr:colOff>266286</xdr:colOff>
      <xdr:row>54</xdr:row>
      <xdr:rowOff>48721</xdr:rowOff>
    </xdr:to>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659065</xdr:colOff>
      <xdr:row>92</xdr:row>
      <xdr:rowOff>111579</xdr:rowOff>
    </xdr:from>
    <xdr:to>
      <xdr:col>17</xdr:col>
      <xdr:colOff>530197</xdr:colOff>
      <xdr:row>111</xdr:row>
      <xdr:rowOff>44905</xdr:rowOff>
    </xdr:to>
    <xdr:graphicFrame macro="">
      <xdr:nvGraphicFramePr>
        <xdr:cNvPr id="3" name="Chart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685798</xdr:colOff>
      <xdr:row>92</xdr:row>
      <xdr:rowOff>70757</xdr:rowOff>
    </xdr:from>
    <xdr:to>
      <xdr:col>12</xdr:col>
      <xdr:colOff>189138</xdr:colOff>
      <xdr:row>110</xdr:row>
      <xdr:rowOff>159283</xdr:rowOff>
    </xdr:to>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390524</xdr:colOff>
      <xdr:row>12</xdr:row>
      <xdr:rowOff>276224</xdr:rowOff>
    </xdr:from>
    <xdr:to>
      <xdr:col>32</xdr:col>
      <xdr:colOff>733424</xdr:colOff>
      <xdr:row>30</xdr:row>
      <xdr:rowOff>95249</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795130</xdr:colOff>
      <xdr:row>35</xdr:row>
      <xdr:rowOff>115957</xdr:rowOff>
    </xdr:from>
    <xdr:to>
      <xdr:col>19</xdr:col>
      <xdr:colOff>985630</xdr:colOff>
      <xdr:row>41</xdr:row>
      <xdr:rowOff>107674</xdr:rowOff>
    </xdr:to>
    <xdr:cxnSp macro="">
      <xdr:nvCxnSpPr>
        <xdr:cNvPr id="7" name="Straight Connector 6">
          <a:extLst>
            <a:ext uri="{FF2B5EF4-FFF2-40B4-BE49-F238E27FC236}">
              <a16:creationId xmlns:a16="http://schemas.microsoft.com/office/drawing/2014/main" id="{00000000-0008-0000-0E00-000007000000}"/>
            </a:ext>
          </a:extLst>
        </xdr:cNvPr>
        <xdr:cNvCxnSpPr/>
      </xdr:nvCxnSpPr>
      <xdr:spPr>
        <a:xfrm flipV="1">
          <a:off x="14511130" y="7346674"/>
          <a:ext cx="2990022" cy="11678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861391</xdr:colOff>
      <xdr:row>36</xdr:row>
      <xdr:rowOff>0</xdr:rowOff>
    </xdr:from>
    <xdr:to>
      <xdr:col>19</xdr:col>
      <xdr:colOff>977348</xdr:colOff>
      <xdr:row>45</xdr:row>
      <xdr:rowOff>57978</xdr:rowOff>
    </xdr:to>
    <xdr:cxnSp macro="">
      <xdr:nvCxnSpPr>
        <xdr:cNvPr id="8" name="Straight Connector 7">
          <a:extLst>
            <a:ext uri="{FF2B5EF4-FFF2-40B4-BE49-F238E27FC236}">
              <a16:creationId xmlns:a16="http://schemas.microsoft.com/office/drawing/2014/main" id="{00000000-0008-0000-0E00-000008000000}"/>
            </a:ext>
          </a:extLst>
        </xdr:cNvPr>
        <xdr:cNvCxnSpPr/>
      </xdr:nvCxnSpPr>
      <xdr:spPr>
        <a:xfrm flipV="1">
          <a:off x="14577391" y="7421217"/>
          <a:ext cx="2915479" cy="18056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811695</xdr:colOff>
      <xdr:row>34</xdr:row>
      <xdr:rowOff>82824</xdr:rowOff>
    </xdr:from>
    <xdr:to>
      <xdr:col>21</xdr:col>
      <xdr:colOff>811696</xdr:colOff>
      <xdr:row>36</xdr:row>
      <xdr:rowOff>149085</xdr:rowOff>
    </xdr:to>
    <xdr:sp macro="" textlink="">
      <xdr:nvSpPr>
        <xdr:cNvPr id="13" name="TextBox 12">
          <a:extLst>
            <a:ext uri="{FF2B5EF4-FFF2-40B4-BE49-F238E27FC236}">
              <a16:creationId xmlns:a16="http://schemas.microsoft.com/office/drawing/2014/main" id="{00000000-0008-0000-0E00-00000D000000}"/>
            </a:ext>
          </a:extLst>
        </xdr:cNvPr>
        <xdr:cNvSpPr txBox="1"/>
      </xdr:nvSpPr>
      <xdr:spPr>
        <a:xfrm>
          <a:off x="17327217" y="7123041"/>
          <a:ext cx="1557131" cy="447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Same amount spent in</a:t>
          </a:r>
          <a:r>
            <a:rPr lang="en-US" sz="1100" baseline="0"/>
            <a:t> each of the 6 trades.</a:t>
          </a:r>
          <a:endParaRPr lang="en-US" sz="1100"/>
        </a:p>
      </xdr:txBody>
    </xdr:sp>
    <xdr:clientData/>
  </xdr:twoCellAnchor>
  <xdr:twoCellAnchor>
    <xdr:from>
      <xdr:col>20</xdr:col>
      <xdr:colOff>491986</xdr:colOff>
      <xdr:row>36</xdr:row>
      <xdr:rowOff>57979</xdr:rowOff>
    </xdr:from>
    <xdr:to>
      <xdr:col>21</xdr:col>
      <xdr:colOff>1225826</xdr:colOff>
      <xdr:row>41</xdr:row>
      <xdr:rowOff>28162</xdr:rowOff>
    </xdr:to>
    <xdr:cxnSp macro="">
      <xdr:nvCxnSpPr>
        <xdr:cNvPr id="15" name="Straight Connector 14">
          <a:extLst>
            <a:ext uri="{FF2B5EF4-FFF2-40B4-BE49-F238E27FC236}">
              <a16:creationId xmlns:a16="http://schemas.microsoft.com/office/drawing/2014/main" id="{00000000-0008-0000-0E00-00000F000000}"/>
            </a:ext>
          </a:extLst>
        </xdr:cNvPr>
        <xdr:cNvCxnSpPr/>
      </xdr:nvCxnSpPr>
      <xdr:spPr>
        <a:xfrm flipV="1">
          <a:off x="18034551" y="7479196"/>
          <a:ext cx="1263927" cy="9558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488674</xdr:colOff>
      <xdr:row>36</xdr:row>
      <xdr:rowOff>74545</xdr:rowOff>
    </xdr:from>
    <xdr:to>
      <xdr:col>22</xdr:col>
      <xdr:colOff>132521</xdr:colOff>
      <xdr:row>45</xdr:row>
      <xdr:rowOff>0</xdr:rowOff>
    </xdr:to>
    <xdr:cxnSp macro="">
      <xdr:nvCxnSpPr>
        <xdr:cNvPr id="17" name="Straight Connector 16">
          <a:extLst>
            <a:ext uri="{FF2B5EF4-FFF2-40B4-BE49-F238E27FC236}">
              <a16:creationId xmlns:a16="http://schemas.microsoft.com/office/drawing/2014/main" id="{00000000-0008-0000-0E00-000011000000}"/>
            </a:ext>
          </a:extLst>
        </xdr:cNvPr>
        <xdr:cNvCxnSpPr/>
      </xdr:nvCxnSpPr>
      <xdr:spPr>
        <a:xfrm flipV="1">
          <a:off x="18031239" y="7495762"/>
          <a:ext cx="1432891" cy="16730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1080052</xdr:colOff>
      <xdr:row>33</xdr:row>
      <xdr:rowOff>69573</xdr:rowOff>
    </xdr:from>
    <xdr:to>
      <xdr:col>24</xdr:col>
      <xdr:colOff>408214</xdr:colOff>
      <xdr:row>37</xdr:row>
      <xdr:rowOff>68036</xdr:rowOff>
    </xdr:to>
    <xdr:sp macro="" textlink="">
      <xdr:nvSpPr>
        <xdr:cNvPr id="14" name="TextBox 13">
          <a:extLst>
            <a:ext uri="{FF2B5EF4-FFF2-40B4-BE49-F238E27FC236}">
              <a16:creationId xmlns:a16="http://schemas.microsoft.com/office/drawing/2014/main" id="{00000000-0008-0000-0E00-00000E000000}"/>
            </a:ext>
          </a:extLst>
        </xdr:cNvPr>
        <xdr:cNvSpPr txBox="1"/>
      </xdr:nvSpPr>
      <xdr:spPr>
        <a:xfrm>
          <a:off x="19218373" y="6941180"/>
          <a:ext cx="2158448" cy="774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Price knocked</a:t>
          </a:r>
          <a:r>
            <a:rPr lang="en-US" sz="1100" baseline="0"/>
            <a:t> around instantly in the first (low total shares) case, but reacts more slowly in the second (high total shares) case.</a:t>
          </a:r>
          <a:endParaRPr lang="en-US" sz="1100"/>
        </a:p>
      </xdr:txBody>
    </xdr:sp>
    <xdr:clientData/>
  </xdr:twoCellAnchor>
  <xdr:twoCellAnchor>
    <xdr:from>
      <xdr:col>15</xdr:col>
      <xdr:colOff>952500</xdr:colOff>
      <xdr:row>52</xdr:row>
      <xdr:rowOff>163286</xdr:rowOff>
    </xdr:from>
    <xdr:to>
      <xdr:col>17</xdr:col>
      <xdr:colOff>108857</xdr:colOff>
      <xdr:row>55</xdr:row>
      <xdr:rowOff>54428</xdr:rowOff>
    </xdr:to>
    <xdr:sp macro="" textlink="">
      <xdr:nvSpPr>
        <xdr:cNvPr id="6" name="Rectangle 5">
          <a:extLst>
            <a:ext uri="{FF2B5EF4-FFF2-40B4-BE49-F238E27FC236}">
              <a16:creationId xmlns:a16="http://schemas.microsoft.com/office/drawing/2014/main" id="{00000000-0008-0000-0E00-000006000000}"/>
            </a:ext>
          </a:extLst>
        </xdr:cNvPr>
        <xdr:cNvSpPr/>
      </xdr:nvSpPr>
      <xdr:spPr>
        <a:xfrm>
          <a:off x="13702393" y="10708822"/>
          <a:ext cx="11702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530679</xdr:colOff>
      <xdr:row>55</xdr:row>
      <xdr:rowOff>54428</xdr:rowOff>
    </xdr:from>
    <xdr:to>
      <xdr:col>18</xdr:col>
      <xdr:colOff>578303</xdr:colOff>
      <xdr:row>73</xdr:row>
      <xdr:rowOff>122464</xdr:rowOff>
    </xdr:to>
    <xdr:cxnSp macro="">
      <xdr:nvCxnSpPr>
        <xdr:cNvPr id="16" name="Straight Connector 15">
          <a:extLst>
            <a:ext uri="{FF2B5EF4-FFF2-40B4-BE49-F238E27FC236}">
              <a16:creationId xmlns:a16="http://schemas.microsoft.com/office/drawing/2014/main" id="{00000000-0008-0000-0E00-000010000000}"/>
            </a:ext>
          </a:extLst>
        </xdr:cNvPr>
        <xdr:cNvCxnSpPr>
          <a:stCxn id="18" idx="0"/>
          <a:endCxn id="6" idx="2"/>
        </xdr:cNvCxnSpPr>
      </xdr:nvCxnSpPr>
      <xdr:spPr>
        <a:xfrm flipH="1" flipV="1">
          <a:off x="14287500" y="11185071"/>
          <a:ext cx="1830160" cy="3510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272141</xdr:colOff>
      <xdr:row>73</xdr:row>
      <xdr:rowOff>122464</xdr:rowOff>
    </xdr:from>
    <xdr:to>
      <xdr:col>19</xdr:col>
      <xdr:colOff>625929</xdr:colOff>
      <xdr:row>78</xdr:row>
      <xdr:rowOff>122463</xdr:rowOff>
    </xdr:to>
    <xdr:sp macro="" textlink="">
      <xdr:nvSpPr>
        <xdr:cNvPr id="18" name="TextBox 17">
          <a:extLst>
            <a:ext uri="{FF2B5EF4-FFF2-40B4-BE49-F238E27FC236}">
              <a16:creationId xmlns:a16="http://schemas.microsoft.com/office/drawing/2014/main" id="{00000000-0008-0000-0E00-000012000000}"/>
            </a:ext>
          </a:extLst>
        </xdr:cNvPr>
        <xdr:cNvSpPr txBox="1"/>
      </xdr:nvSpPr>
      <xdr:spPr>
        <a:xfrm>
          <a:off x="15035891" y="14695714"/>
          <a:ext cx="2163538"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Notice that traders are "unfairly" overcharged, but they are proportionally over-compensated (but only i</a:t>
          </a:r>
          <a:r>
            <a:rPr lang="en-US" sz="1100" baseline="0"/>
            <a:t>f they unwind their trade at similar prices).</a:t>
          </a:r>
          <a:endParaRPr lang="en-US" sz="1100"/>
        </a:p>
      </xdr:txBody>
    </xdr:sp>
    <xdr:clientData/>
  </xdr:twoCellAnchor>
  <xdr:twoCellAnchor>
    <xdr:from>
      <xdr:col>12</xdr:col>
      <xdr:colOff>843643</xdr:colOff>
      <xdr:row>45</xdr:row>
      <xdr:rowOff>136071</xdr:rowOff>
    </xdr:from>
    <xdr:to>
      <xdr:col>15</xdr:col>
      <xdr:colOff>54428</xdr:colOff>
      <xdr:row>48</xdr:row>
      <xdr:rowOff>40820</xdr:rowOff>
    </xdr:to>
    <xdr:sp macro="" textlink="">
      <xdr:nvSpPr>
        <xdr:cNvPr id="22" name="Rectangle 21">
          <a:extLst>
            <a:ext uri="{FF2B5EF4-FFF2-40B4-BE49-F238E27FC236}">
              <a16:creationId xmlns:a16="http://schemas.microsoft.com/office/drawing/2014/main" id="{00000000-0008-0000-0E00-000016000000}"/>
            </a:ext>
          </a:extLst>
        </xdr:cNvPr>
        <xdr:cNvSpPr/>
      </xdr:nvSpPr>
      <xdr:spPr>
        <a:xfrm>
          <a:off x="10681607" y="9348107"/>
          <a:ext cx="21227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530678</xdr:colOff>
      <xdr:row>48</xdr:row>
      <xdr:rowOff>40821</xdr:rowOff>
    </xdr:from>
    <xdr:to>
      <xdr:col>15</xdr:col>
      <xdr:colOff>666749</xdr:colOff>
      <xdr:row>76</xdr:row>
      <xdr:rowOff>95250</xdr:rowOff>
    </xdr:to>
    <xdr:cxnSp macro="">
      <xdr:nvCxnSpPr>
        <xdr:cNvPr id="23" name="Straight Connector 22">
          <a:extLst>
            <a:ext uri="{FF2B5EF4-FFF2-40B4-BE49-F238E27FC236}">
              <a16:creationId xmlns:a16="http://schemas.microsoft.com/office/drawing/2014/main" id="{00000000-0008-0000-0E00-000017000000}"/>
            </a:ext>
          </a:extLst>
        </xdr:cNvPr>
        <xdr:cNvCxnSpPr/>
      </xdr:nvCxnSpPr>
      <xdr:spPr>
        <a:xfrm flipH="1" flipV="1">
          <a:off x="11266714" y="9824357"/>
          <a:ext cx="2149928" cy="5415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762000</xdr:colOff>
      <xdr:row>76</xdr:row>
      <xdr:rowOff>81644</xdr:rowOff>
    </xdr:from>
    <xdr:to>
      <xdr:col>16</xdr:col>
      <xdr:colOff>802822</xdr:colOff>
      <xdr:row>78</xdr:row>
      <xdr:rowOff>163286</xdr:rowOff>
    </xdr:to>
    <xdr:sp macro="" textlink="">
      <xdr:nvSpPr>
        <xdr:cNvPr id="25" name="TextBox 24">
          <a:extLst>
            <a:ext uri="{FF2B5EF4-FFF2-40B4-BE49-F238E27FC236}">
              <a16:creationId xmlns:a16="http://schemas.microsoft.com/office/drawing/2014/main" id="{00000000-0008-0000-0E00-000019000000}"/>
            </a:ext>
          </a:extLst>
        </xdr:cNvPr>
        <xdr:cNvSpPr txBox="1"/>
      </xdr:nvSpPr>
      <xdr:spPr>
        <a:xfrm>
          <a:off x="12504964" y="15226394"/>
          <a:ext cx="2054679" cy="462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Multiplying</a:t>
          </a:r>
          <a:r>
            <a:rPr lang="en-US" sz="1100" baseline="0"/>
            <a:t> share quantities by x does not change the price.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42</xdr:col>
      <xdr:colOff>285750</xdr:colOff>
      <xdr:row>5</xdr:row>
      <xdr:rowOff>190500</xdr:rowOff>
    </xdr:from>
    <xdr:to>
      <xdr:col>49</xdr:col>
      <xdr:colOff>590550</xdr:colOff>
      <xdr:row>19</xdr:row>
      <xdr:rowOff>28575</xdr:rowOff>
    </xdr:to>
    <xdr:graphicFrame macro="">
      <xdr:nvGraphicFramePr>
        <xdr:cNvPr id="2" name="Chart 1">
          <a:extLst>
            <a:ext uri="{FF2B5EF4-FFF2-40B4-BE49-F238E27FC236}">
              <a16:creationId xmlns:a16="http://schemas.microsoft.com/office/drawing/2014/main" id="{00000000-0008-0000-1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73958</xdr:colOff>
      <xdr:row>87</xdr:row>
      <xdr:rowOff>152400</xdr:rowOff>
    </xdr:from>
    <xdr:to>
      <xdr:col>21</xdr:col>
      <xdr:colOff>40340</xdr:colOff>
      <xdr:row>106</xdr:row>
      <xdr:rowOff>85726</xdr:rowOff>
    </xdr:to>
    <xdr:graphicFrame macro="">
      <xdr:nvGraphicFramePr>
        <xdr:cNvPr id="3" name="Chart 2">
          <a:extLst>
            <a:ext uri="{FF2B5EF4-FFF2-40B4-BE49-F238E27FC236}">
              <a16:creationId xmlns:a16="http://schemas.microsoft.com/office/drawing/2014/main" id="{00000000-0008-0000-1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685799</xdr:colOff>
      <xdr:row>87</xdr:row>
      <xdr:rowOff>152400</xdr:rowOff>
    </xdr:from>
    <xdr:to>
      <xdr:col>15</xdr:col>
      <xdr:colOff>733424</xdr:colOff>
      <xdr:row>106</xdr:row>
      <xdr:rowOff>50426</xdr:rowOff>
    </xdr:to>
    <xdr:graphicFrame macro="">
      <xdr:nvGraphicFramePr>
        <xdr:cNvPr id="4" name="Chart 3">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6</xdr:col>
      <xdr:colOff>438150</xdr:colOff>
      <xdr:row>25</xdr:row>
      <xdr:rowOff>114300</xdr:rowOff>
    </xdr:from>
    <xdr:to>
      <xdr:col>18</xdr:col>
      <xdr:colOff>285750</xdr:colOff>
      <xdr:row>50</xdr:row>
      <xdr:rowOff>104775</xdr:rowOff>
    </xdr:to>
    <xdr:graphicFrame macro="">
      <xdr:nvGraphicFramePr>
        <xdr:cNvPr id="2" name="Chart 1">
          <a:extLst>
            <a:ext uri="{FF2B5EF4-FFF2-40B4-BE49-F238E27FC236}">
              <a16:creationId xmlns:a16="http://schemas.microsoft.com/office/drawing/2014/main" id="{00000000-0008-0000-1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measuringworth.com/DJA/" TargetMode="External"/><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drawing" Target="../drawings/drawing8.xml"/><Relationship Id="rId3" Type="http://schemas.openxmlformats.org/officeDocument/2006/relationships/hyperlink" Target="http://measuringworth.com/DJA/" TargetMode="External"/><Relationship Id="rId7" Type="http://schemas.openxmlformats.org/officeDocument/2006/relationships/printerSettings" Target="../printerSettings/printerSettings8.bin"/><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6" Type="http://schemas.openxmlformats.org/officeDocument/2006/relationships/hyperlink" Target="http://measuringworth.com/DJA/" TargetMode="External"/><Relationship Id="rId5" Type="http://schemas.openxmlformats.org/officeDocument/2006/relationships/hyperlink" Target="http://finance.yahoo.com/echarts?s=%5Edji+interactive" TargetMode="External"/><Relationship Id="rId4" Type="http://schemas.openxmlformats.org/officeDocument/2006/relationships/hyperlink" Target="https://research.stlouisfed.org/fred2/series/DJIA/downloaddata"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C1:H23"/>
  <sheetViews>
    <sheetView tabSelected="1" zoomScale="70" zoomScaleNormal="70" workbookViewId="0">
      <selection activeCell="F5" sqref="F5"/>
    </sheetView>
  </sheetViews>
  <sheetFormatPr defaultRowHeight="15" x14ac:dyDescent="0.25"/>
  <cols>
    <col min="3" max="3" width="37.140625" customWidth="1"/>
    <col min="4" max="4" width="144.28515625" customWidth="1"/>
  </cols>
  <sheetData>
    <row r="1" spans="3:8" ht="15.75" thickBot="1" x14ac:dyDescent="0.3"/>
    <row r="2" spans="3:8" ht="15" customHeight="1" x14ac:dyDescent="0.45">
      <c r="C2" s="1166" t="s">
        <v>460</v>
      </c>
      <c r="D2" s="1167"/>
      <c r="E2" s="916"/>
      <c r="F2" s="916"/>
      <c r="G2" s="916"/>
      <c r="H2" s="916"/>
    </row>
    <row r="3" spans="3:8" ht="15" customHeight="1" thickBot="1" x14ac:dyDescent="0.5">
      <c r="C3" s="1168"/>
      <c r="D3" s="1169"/>
      <c r="E3" s="916"/>
      <c r="F3" s="916"/>
      <c r="G3" s="916"/>
      <c r="H3" s="916"/>
    </row>
    <row r="4" spans="3:8" ht="21.75" thickBot="1" x14ac:dyDescent="0.4">
      <c r="C4" s="926" t="s">
        <v>459</v>
      </c>
      <c r="D4" s="927" t="s">
        <v>461</v>
      </c>
    </row>
    <row r="5" spans="3:8" ht="47.25" thickTop="1" x14ac:dyDescent="0.35">
      <c r="C5" s="917" t="s">
        <v>445</v>
      </c>
      <c r="D5" s="918" t="s">
        <v>548</v>
      </c>
    </row>
    <row r="6" spans="3:8" ht="106.5" x14ac:dyDescent="0.35">
      <c r="C6" s="919" t="s">
        <v>36</v>
      </c>
      <c r="D6" s="920" t="s">
        <v>462</v>
      </c>
    </row>
    <row r="7" spans="3:8" ht="46.5" x14ac:dyDescent="0.35">
      <c r="C7" s="919" t="s">
        <v>446</v>
      </c>
      <c r="D7" s="920" t="s">
        <v>463</v>
      </c>
    </row>
    <row r="8" spans="3:8" ht="21" x14ac:dyDescent="0.35">
      <c r="C8" s="919" t="s">
        <v>447</v>
      </c>
      <c r="D8" s="920" t="s">
        <v>464</v>
      </c>
    </row>
    <row r="9" spans="3:8" ht="31.5" x14ac:dyDescent="0.35">
      <c r="C9" s="919" t="s">
        <v>454</v>
      </c>
      <c r="D9" s="920" t="s">
        <v>465</v>
      </c>
    </row>
    <row r="10" spans="3:8" ht="76.5" x14ac:dyDescent="0.35">
      <c r="C10" s="919" t="s">
        <v>448</v>
      </c>
      <c r="D10" s="920" t="s">
        <v>466</v>
      </c>
    </row>
    <row r="11" spans="3:8" ht="76.5" x14ac:dyDescent="0.35">
      <c r="C11" s="921" t="s">
        <v>449</v>
      </c>
      <c r="D11" s="920" t="s">
        <v>467</v>
      </c>
    </row>
    <row r="12" spans="3:8" ht="21" x14ac:dyDescent="0.35">
      <c r="C12" s="919" t="s">
        <v>681</v>
      </c>
      <c r="D12" s="920" t="s">
        <v>682</v>
      </c>
    </row>
    <row r="13" spans="3:8" ht="21" x14ac:dyDescent="0.35">
      <c r="C13" s="919" t="s">
        <v>542</v>
      </c>
      <c r="D13" s="920" t="s">
        <v>541</v>
      </c>
    </row>
    <row r="14" spans="3:8" ht="31.5" x14ac:dyDescent="0.35">
      <c r="C14" s="919" t="s">
        <v>453</v>
      </c>
      <c r="D14" s="920" t="s">
        <v>468</v>
      </c>
    </row>
    <row r="15" spans="3:8" ht="21" x14ac:dyDescent="0.35">
      <c r="C15" s="919" t="s">
        <v>450</v>
      </c>
      <c r="D15" s="920" t="s">
        <v>469</v>
      </c>
    </row>
    <row r="16" spans="3:8" ht="31.5" x14ac:dyDescent="0.35">
      <c r="C16" s="922" t="s">
        <v>451</v>
      </c>
      <c r="D16" s="920" t="s">
        <v>473</v>
      </c>
    </row>
    <row r="17" spans="3:4" ht="31.5" x14ac:dyDescent="0.35">
      <c r="C17" s="922" t="s">
        <v>491</v>
      </c>
      <c r="D17" s="920" t="s">
        <v>492</v>
      </c>
    </row>
    <row r="18" spans="3:4" ht="21" x14ac:dyDescent="0.35">
      <c r="C18" s="922" t="s">
        <v>470</v>
      </c>
      <c r="D18" s="920" t="s">
        <v>471</v>
      </c>
    </row>
    <row r="19" spans="3:4" ht="31.5" x14ac:dyDescent="0.35">
      <c r="C19" s="922" t="s">
        <v>455</v>
      </c>
      <c r="D19" s="920" t="s">
        <v>472</v>
      </c>
    </row>
    <row r="20" spans="3:4" ht="21" x14ac:dyDescent="0.35">
      <c r="C20" s="922" t="s">
        <v>452</v>
      </c>
      <c r="D20" s="920" t="s">
        <v>474</v>
      </c>
    </row>
    <row r="21" spans="3:4" ht="21" x14ac:dyDescent="0.35">
      <c r="C21" s="923" t="s">
        <v>456</v>
      </c>
      <c r="D21" s="920" t="s">
        <v>475</v>
      </c>
    </row>
    <row r="22" spans="3:4" ht="31.5" x14ac:dyDescent="0.35">
      <c r="C22" s="923" t="s">
        <v>457</v>
      </c>
      <c r="D22" s="920" t="s">
        <v>476</v>
      </c>
    </row>
    <row r="23" spans="3:4" ht="21.75" thickBot="1" x14ac:dyDescent="0.4">
      <c r="C23" s="924" t="s">
        <v>458</v>
      </c>
      <c r="D23" s="925" t="s">
        <v>477</v>
      </c>
    </row>
  </sheetData>
  <mergeCells count="1">
    <mergeCell ref="C2:D3"/>
  </mergeCells>
  <hyperlinks>
    <hyperlink ref="C5" location="'Simple Example'!A1" display="Simple Example" xr:uid="{00000000-0004-0000-0000-000000000000}"/>
    <hyperlink ref="C6" location="LMSR!A1" display="LMSR" xr:uid="{00000000-0004-0000-0000-000001000000}"/>
    <hyperlink ref="C7" location="'Scaled Claims'!A1" display="Scaled Claims" xr:uid="{00000000-0004-0000-0000-000002000000}"/>
    <hyperlink ref="C8" location="'Conditional Scaled'!A1" display="Conditional Scaled" xr:uid="{00000000-0004-0000-0000-000003000000}"/>
    <hyperlink ref="C10" location="'MV Scaled (Explicit)'!A1" display="MV Scaled (Explicit)" xr:uid="{00000000-0004-0000-0000-000004000000}"/>
    <hyperlink ref="C11" location="'MV Scaled (Standard)'!A1" display="MV Scaled (Standard)" xr:uid="{00000000-0004-0000-0000-000005000000}"/>
    <hyperlink ref="C14" location="'Long Variability'!A1" display="Long Variability" xr:uid="{00000000-0004-0000-0000-000006000000}"/>
    <hyperlink ref="C9" location="'Counterfactual Refund'!A1" display="Counterfactual Refund" xr:uid="{00000000-0004-0000-0000-000007000000}"/>
    <hyperlink ref="C15" location="'Conditional Charity'!A1" display="Conditional Charity" xr:uid="{00000000-0004-0000-0000-000008000000}"/>
    <hyperlink ref="C16" location="'Liquidity Sensitivity'!A1" display="Liquidity Sensitivity" xr:uid="{00000000-0004-0000-0000-000009000000}"/>
    <hyperlink ref="C17" location="'Max Shares Outstanding'!A1" display="Max Shares Outstanding" xr:uid="{00000000-0004-0000-0000-00000A000000}"/>
    <hyperlink ref="C18" location="'Changing b mid contract'!A1" display="Changing b mid contract" xr:uid="{00000000-0004-0000-0000-00000B000000}"/>
    <hyperlink ref="C19" location="'Insurance Fraud Experiments'!A1" display="Insurance Fraud Experiments" xr:uid="{00000000-0004-0000-0000-00000C000000}"/>
    <hyperlink ref="C21" location="'Some Accounting'!A1" display="Some Accounting" xr:uid="{00000000-0004-0000-0000-00000D000000}"/>
    <hyperlink ref="C22" location="DistCalculator!A1" display="DistCalculator" xr:uid="{00000000-0004-0000-0000-00000E000000}"/>
    <hyperlink ref="C23" location="'2x2 Update Calculator'!A1" display="2x2 Update Calculator" xr:uid="{00000000-0004-0000-0000-00000F000000}"/>
    <hyperlink ref="C20" location="'Max Shares Outstanding'!A1" display="Max Shares Outstanding" xr:uid="{00000000-0004-0000-0000-000010000000}"/>
    <hyperlink ref="C13" location="'Blocksize Controversy'!A1" display="Blocksize Limit" xr:uid="{00000000-0004-0000-0000-000011000000}"/>
    <hyperlink ref="C12" location="'Derivatives and Leverage'!A1" display="Derivatives and Leverage" xr:uid="{00000000-0004-0000-00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2:AH55"/>
  <sheetViews>
    <sheetView zoomScale="85" zoomScaleNormal="85" workbookViewId="0">
      <selection activeCell="AB13" sqref="AB13"/>
    </sheetView>
  </sheetViews>
  <sheetFormatPr defaultRowHeight="15" x14ac:dyDescent="0.25"/>
  <cols>
    <col min="3" max="3" width="10.7109375" bestFit="1" customWidth="1"/>
    <col min="5" max="6" width="11.42578125" style="33" customWidth="1"/>
    <col min="7" max="8" width="12" style="33" customWidth="1"/>
    <col min="9" max="9" width="19.140625" style="33" customWidth="1"/>
    <col min="10" max="10" width="22.140625" style="33" customWidth="1"/>
    <col min="11" max="11" width="15.5703125"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0" hidden="1" customWidth="1"/>
    <col min="18" max="18" width="9.42578125" customWidth="1"/>
    <col min="20" max="20" width="12.140625" customWidth="1"/>
    <col min="21" max="21" width="10.5703125" customWidth="1"/>
    <col min="24" max="24" width="11.140625" customWidth="1"/>
  </cols>
  <sheetData>
    <row r="2" spans="1:34" ht="36" x14ac:dyDescent="0.55000000000000004">
      <c r="B2" s="243" t="s">
        <v>129</v>
      </c>
      <c r="G2" s="17"/>
      <c r="H2" s="17"/>
      <c r="I2" s="17"/>
      <c r="W2" s="33"/>
    </row>
    <row r="3" spans="1:34" x14ac:dyDescent="0.25">
      <c r="A3" s="7"/>
      <c r="B3" s="7"/>
      <c r="C3" s="7"/>
      <c r="D3" s="7"/>
      <c r="E3" s="17"/>
      <c r="F3" s="241"/>
      <c r="G3" s="191"/>
      <c r="H3" s="17"/>
      <c r="I3" s="17"/>
      <c r="J3"/>
      <c r="N3" t="s">
        <v>131</v>
      </c>
      <c r="W3" s="33"/>
    </row>
    <row r="4" spans="1:34" x14ac:dyDescent="0.25">
      <c r="A4" s="7"/>
      <c r="B4" s="1172" t="s">
        <v>163</v>
      </c>
      <c r="C4" s="152" t="s">
        <v>4</v>
      </c>
      <c r="D4" s="266" t="s">
        <v>714</v>
      </c>
      <c r="E4" s="152"/>
      <c r="F4" s="266"/>
      <c r="G4" s="273"/>
      <c r="H4" s="261"/>
      <c r="I4" s="191"/>
      <c r="J4"/>
      <c r="U4" s="33"/>
      <c r="V4" s="33"/>
      <c r="W4" s="33"/>
    </row>
    <row r="5" spans="1:34" x14ac:dyDescent="0.25">
      <c r="A5" s="7"/>
      <c r="B5" s="1173"/>
      <c r="C5" s="17" t="s">
        <v>134</v>
      </c>
      <c r="D5" s="17" t="s">
        <v>3</v>
      </c>
      <c r="E5" s="7"/>
      <c r="F5" s="17"/>
      <c r="G5" s="191"/>
      <c r="H5" s="241"/>
      <c r="I5" s="191"/>
      <c r="J5"/>
      <c r="U5" s="33"/>
      <c r="V5" s="33"/>
      <c r="W5" s="33"/>
    </row>
    <row r="6" spans="1:34" x14ac:dyDescent="0.25">
      <c r="A6" s="7"/>
      <c r="B6" s="1174"/>
      <c r="C6" s="259" t="s">
        <v>135</v>
      </c>
      <c r="D6" s="259" t="s">
        <v>2</v>
      </c>
      <c r="E6" s="247"/>
      <c r="F6" s="259"/>
      <c r="G6" s="274"/>
      <c r="H6" s="262"/>
      <c r="I6" s="191"/>
      <c r="J6"/>
      <c r="U6" s="33"/>
      <c r="V6" s="33"/>
      <c r="W6" s="33"/>
    </row>
    <row r="7" spans="1:34" ht="15.75" thickBot="1" x14ac:dyDescent="0.3">
      <c r="A7" s="7"/>
      <c r="B7" s="272"/>
      <c r="C7" s="17"/>
      <c r="D7" s="17"/>
      <c r="E7" s="7"/>
      <c r="F7" s="241"/>
      <c r="G7" s="191"/>
      <c r="H7" s="17"/>
      <c r="I7" s="191"/>
      <c r="J7"/>
      <c r="U7" s="33"/>
      <c r="V7" s="33"/>
      <c r="W7" s="33"/>
    </row>
    <row r="8" spans="1:34" x14ac:dyDescent="0.25">
      <c r="A8" s="7"/>
      <c r="B8" s="1175" t="s">
        <v>152</v>
      </c>
      <c r="C8" s="275" t="s">
        <v>164</v>
      </c>
      <c r="D8" s="278" t="s">
        <v>165</v>
      </c>
      <c r="E8" s="253" t="s">
        <v>166</v>
      </c>
      <c r="F8" s="253"/>
      <c r="G8" s="180"/>
      <c r="H8" s="17"/>
      <c r="I8" s="191"/>
      <c r="J8"/>
      <c r="U8" s="33"/>
      <c r="V8" s="33"/>
      <c r="W8" s="33"/>
    </row>
    <row r="9" spans="1:34" x14ac:dyDescent="0.25">
      <c r="A9" s="7"/>
      <c r="B9" s="1176"/>
      <c r="C9" s="17" t="s">
        <v>139</v>
      </c>
      <c r="D9" s="256">
        <v>2</v>
      </c>
      <c r="E9" s="17" t="s">
        <v>140</v>
      </c>
      <c r="F9" s="7"/>
      <c r="G9" s="279"/>
      <c r="H9" s="17"/>
      <c r="I9" s="191"/>
      <c r="J9"/>
      <c r="U9" s="33"/>
      <c r="V9" s="33"/>
      <c r="W9" s="33"/>
      <c r="AF9" s="7"/>
      <c r="AG9" s="7"/>
      <c r="AH9" s="7"/>
    </row>
    <row r="10" spans="1:34" x14ac:dyDescent="0.25">
      <c r="A10" s="7"/>
      <c r="B10" s="1176"/>
      <c r="C10" s="17" t="s">
        <v>5</v>
      </c>
      <c r="D10" s="18">
        <v>7</v>
      </c>
      <c r="E10" s="17" t="s">
        <v>143</v>
      </c>
      <c r="F10" s="7"/>
      <c r="G10" s="279"/>
      <c r="H10" s="17"/>
      <c r="I10" s="191"/>
      <c r="J10"/>
      <c r="U10" s="33"/>
      <c r="V10" s="33"/>
      <c r="W10" s="33"/>
      <c r="AF10" s="7"/>
      <c r="AG10" s="7"/>
      <c r="AH10" s="7"/>
    </row>
    <row r="11" spans="1:34" ht="15.75" thickBot="1" x14ac:dyDescent="0.3">
      <c r="A11" s="7"/>
      <c r="B11" s="1177"/>
      <c r="C11" s="168" t="s">
        <v>141</v>
      </c>
      <c r="D11" s="277">
        <f>D10*LN(D9)</f>
        <v>4.8520302639196169</v>
      </c>
      <c r="E11" s="168" t="s">
        <v>142</v>
      </c>
      <c r="F11" s="168"/>
      <c r="G11" s="181"/>
      <c r="H11" s="17"/>
      <c r="I11" s="191"/>
      <c r="J11"/>
      <c r="U11" s="33"/>
      <c r="V11" s="33"/>
      <c r="W11" s="33"/>
      <c r="AF11" s="7"/>
      <c r="AG11" s="7"/>
      <c r="AH11" s="7"/>
    </row>
    <row r="12" spans="1:34" s="7" customFormat="1" ht="15.75" thickBot="1" x14ac:dyDescent="0.3">
      <c r="C12"/>
      <c r="D12"/>
      <c r="E12" s="33"/>
      <c r="F12" s="241"/>
      <c r="G12" s="33"/>
      <c r="H12" s="33"/>
      <c r="I12" s="33"/>
      <c r="J12" s="33"/>
      <c r="K12"/>
      <c r="L12"/>
      <c r="M12"/>
      <c r="N12"/>
      <c r="O12"/>
      <c r="P12"/>
      <c r="Q12"/>
      <c r="R12"/>
      <c r="S12"/>
      <c r="T12" s="8"/>
    </row>
    <row r="13" spans="1:34" s="7" customFormat="1" ht="24.75" customHeight="1" thickBot="1" x14ac:dyDescent="0.35">
      <c r="D13"/>
      <c r="E13" s="201" t="s">
        <v>12</v>
      </c>
      <c r="F13" s="203"/>
      <c r="G13" s="298" t="s">
        <v>13</v>
      </c>
      <c r="H13" s="62"/>
      <c r="I13" s="63" t="s">
        <v>121</v>
      </c>
      <c r="J13" s="242" t="s">
        <v>124</v>
      </c>
      <c r="K13" s="20"/>
      <c r="L13" s="1178" t="s">
        <v>98</v>
      </c>
      <c r="M13" s="1179"/>
      <c r="N13" s="185" t="s">
        <v>99</v>
      </c>
      <c r="P13" s="7" t="s">
        <v>100</v>
      </c>
      <c r="Q13" s="20"/>
      <c r="R13" s="186" t="s">
        <v>100</v>
      </c>
      <c r="S13" s="20"/>
    </row>
    <row r="14" spans="1:34" s="7" customFormat="1" ht="16.5" thickTop="1" thickBot="1" x14ac:dyDescent="0.3">
      <c r="C14" s="32"/>
      <c r="D14" s="117" t="s">
        <v>45</v>
      </c>
      <c r="E14" s="249" t="s">
        <v>134</v>
      </c>
      <c r="F14" s="250" t="s">
        <v>135</v>
      </c>
      <c r="G14" s="176" t="s">
        <v>134</v>
      </c>
      <c r="H14" s="175" t="s">
        <v>135</v>
      </c>
      <c r="I14" s="295">
        <v>0</v>
      </c>
      <c r="J14" s="43"/>
      <c r="L14" s="182" t="str">
        <f>E14</f>
        <v>a=0</v>
      </c>
      <c r="M14" s="183" t="str">
        <f>F14</f>
        <v>a=1</v>
      </c>
      <c r="R14"/>
    </row>
    <row r="15" spans="1:34" s="7" customFormat="1" ht="18" customHeight="1" thickTop="1" x14ac:dyDescent="0.25">
      <c r="D15" s="25">
        <v>1</v>
      </c>
      <c r="E15" s="207">
        <v>0</v>
      </c>
      <c r="F15" s="294">
        <v>0</v>
      </c>
      <c r="G15" s="293">
        <f t="shared" ref="G15:G30" si="0">EXP(E15/$D$10)/(EXP($F15/$D$10)+EXP($E15/$D$10))</f>
        <v>0.5</v>
      </c>
      <c r="H15" s="79">
        <f t="shared" ref="H15:H30" si="1">EXP(F15/$D$10)/(EXP($F15/$D$10)+EXP($E15/$D$10))</f>
        <v>0.5</v>
      </c>
      <c r="I15" s="306">
        <f t="shared" ref="I15:I31" si="2">$D$10*LN(EXP($F15/$D$10)+EXP($E15/$D$10))</f>
        <v>4.8520302639196169</v>
      </c>
      <c r="J15" s="310">
        <f>(I15-I14)</f>
        <v>4.8520302639196169</v>
      </c>
      <c r="L15" s="116"/>
      <c r="M15" s="102"/>
      <c r="R15" t="str">
        <f>"(Market created via initial deposit of "&amp;ROUND(J15,3)&amp;" )"</f>
        <v>(Market created via initial deposit of 4.852 )</v>
      </c>
      <c r="X15" s="189"/>
    </row>
    <row r="16" spans="1:34" s="7" customFormat="1" ht="18.75" x14ac:dyDescent="0.3">
      <c r="D16" s="25">
        <v>2</v>
      </c>
      <c r="E16" s="207">
        <v>1</v>
      </c>
      <c r="F16" s="294">
        <v>0</v>
      </c>
      <c r="G16" s="293">
        <f t="shared" si="0"/>
        <v>0.53565367083397153</v>
      </c>
      <c r="H16" s="79">
        <f t="shared" si="1"/>
        <v>0.46434632916602836</v>
      </c>
      <c r="I16" s="306">
        <f t="shared" si="2"/>
        <v>5.3698722427589098</v>
      </c>
      <c r="J16" s="311">
        <f>(I16-I15)</f>
        <v>0.51784197883929295</v>
      </c>
      <c r="L16" s="116">
        <f>E16-E15</f>
        <v>1</v>
      </c>
      <c r="M16" s="102">
        <f>F16-F15</f>
        <v>0</v>
      </c>
      <c r="N16" s="184">
        <f t="shared" ref="N16:N30" si="3">J16</f>
        <v>0.51784197883929295</v>
      </c>
      <c r="P16" s="7" t="str">
        <f>IF(L16&gt;0,"Bought ",IF(L16&lt;0,"Sold ",""))&amp;IF(L16&lt;0,L16*-1,IF(L16&gt;0,L16,""))&amp;IF(L16&lt;&gt;0," Shares of State 1 at a cost of "&amp;ROUND($N16,5),"")</f>
        <v>Bought 1 Shares of State 1 at a cost of 0.51784</v>
      </c>
      <c r="Q16" s="7" t="str">
        <f t="shared" ref="Q16" si="4">IF(M16&gt;0,"Bought ",IF(M16&lt;0,"Sold ",""))&amp;IF(M16&lt;0,M16*-1,IF(M16&gt;0,M16,""))&amp;IF(M16&lt;&gt;0," Shares of State 2 at a cost of "&amp;ROUND($N16,5),"")</f>
        <v/>
      </c>
      <c r="R16" s="187" t="str">
        <f>P16&amp;Q16</f>
        <v>Bought 1 Shares of State 1 at a cost of 0.51784</v>
      </c>
    </row>
    <row r="17" spans="4:19" s="7" customFormat="1" ht="18.75" x14ac:dyDescent="0.3">
      <c r="D17" s="25">
        <v>3</v>
      </c>
      <c r="E17" s="207">
        <v>1</v>
      </c>
      <c r="F17" s="294">
        <v>6</v>
      </c>
      <c r="G17" s="293">
        <f t="shared" si="0"/>
        <v>0.32865254651727005</v>
      </c>
      <c r="H17" s="79">
        <f t="shared" si="1"/>
        <v>0.67134745348273006</v>
      </c>
      <c r="I17" s="306">
        <f t="shared" si="2"/>
        <v>8.7892792311985044</v>
      </c>
      <c r="J17" s="311">
        <f t="shared" ref="J17:J29" si="5">(I17-I16)</f>
        <v>3.4194069884395946</v>
      </c>
      <c r="L17" s="116">
        <f t="shared" ref="L17:L30" si="6">E17-E16</f>
        <v>0</v>
      </c>
      <c r="M17" s="102">
        <f t="shared" ref="M17:M30" si="7">F17-F16</f>
        <v>6</v>
      </c>
      <c r="N17" s="184">
        <f t="shared" si="3"/>
        <v>3.4194069884395946</v>
      </c>
      <c r="P17" s="7" t="str">
        <f t="shared" ref="P17:P30" si="8">IF(L17&gt;0,"Bought ",IF(L17&lt;0,"Sold ",""))&amp;IF(L17&lt;0,L17*-1,IF(L17&gt;0,L17,""))&amp;IF(L17&lt;&gt;0," Shares of State 1 at a cost of "&amp;ROUND($N17,5),"")</f>
        <v/>
      </c>
      <c r="Q17" s="7" t="str">
        <f>IF(M17&gt;0,"Bought ",IF(M17&lt;0,"Sold ",""))&amp;IF(M17&lt;0,M17*-1,IF(M17&gt;0,M17,""))&amp;IF(M17&lt;&gt;0," Shares of State 2 at a cost of "&amp;ROUND($N17,5),"")</f>
        <v>Bought 6 Shares of State 2 at a cost of 3.41941</v>
      </c>
      <c r="R17" s="187" t="str">
        <f t="shared" ref="R17:R30" si="9">P17&amp;Q17</f>
        <v>Bought 6 Shares of State 2 at a cost of 3.41941</v>
      </c>
    </row>
    <row r="18" spans="4:19" s="7" customFormat="1" ht="18.75" x14ac:dyDescent="0.3">
      <c r="D18" s="25">
        <v>4</v>
      </c>
      <c r="E18" s="207">
        <v>18</v>
      </c>
      <c r="F18" s="294">
        <v>6</v>
      </c>
      <c r="G18" s="293">
        <f t="shared" si="0"/>
        <v>0.84739133515736897</v>
      </c>
      <c r="H18" s="79">
        <f t="shared" si="1"/>
        <v>0.152608664842631</v>
      </c>
      <c r="I18" s="306">
        <f t="shared" si="2"/>
        <v>19.159148662361027</v>
      </c>
      <c r="J18" s="311">
        <f t="shared" ref="J18:J27" si="10">(I18-I17)</f>
        <v>10.369869431162522</v>
      </c>
      <c r="L18" s="116">
        <f t="shared" si="6"/>
        <v>17</v>
      </c>
      <c r="M18" s="102">
        <f t="shared" si="7"/>
        <v>0</v>
      </c>
      <c r="N18" s="184">
        <f t="shared" si="3"/>
        <v>10.369869431162522</v>
      </c>
      <c r="P18" s="7" t="str">
        <f t="shared" si="8"/>
        <v>Bought 17 Shares of State 1 at a cost of 10.36987</v>
      </c>
      <c r="Q18" s="7" t="str">
        <f t="shared" ref="Q18:Q30" si="11">IF(M18&gt;0,"Bought ",IF(M18&lt;0,"Sold ",""))&amp;IF(M18&lt;0,M18*-1,IF(M18&gt;0,M18,""))&amp;IF(M18&lt;&gt;0," Shares of State 2 at a cost of "&amp;ROUND($N18,5),"")</f>
        <v/>
      </c>
      <c r="R18" s="187" t="str">
        <f t="shared" si="9"/>
        <v>Bought 17 Shares of State 1 at a cost of 10.36987</v>
      </c>
    </row>
    <row r="19" spans="4:19" s="7" customFormat="1" ht="18.75" x14ac:dyDescent="0.3">
      <c r="D19" s="25">
        <v>5</v>
      </c>
      <c r="E19" s="207">
        <v>18</v>
      </c>
      <c r="F19" s="294">
        <v>18</v>
      </c>
      <c r="G19" s="293">
        <f t="shared" si="0"/>
        <v>0.5</v>
      </c>
      <c r="H19" s="79">
        <f t="shared" si="1"/>
        <v>0.5</v>
      </c>
      <c r="I19" s="306">
        <f t="shared" si="2"/>
        <v>22.85203026391962</v>
      </c>
      <c r="J19" s="311">
        <f t="shared" si="10"/>
        <v>3.692881601558593</v>
      </c>
      <c r="L19" s="116">
        <f t="shared" si="6"/>
        <v>0</v>
      </c>
      <c r="M19" s="102">
        <f t="shared" si="7"/>
        <v>12</v>
      </c>
      <c r="N19" s="184">
        <f t="shared" si="3"/>
        <v>3.692881601558593</v>
      </c>
      <c r="P19" s="7" t="str">
        <f t="shared" si="8"/>
        <v/>
      </c>
      <c r="Q19" s="7" t="str">
        <f t="shared" si="11"/>
        <v>Bought 12 Shares of State 2 at a cost of 3.69288</v>
      </c>
      <c r="R19" s="187" t="str">
        <f t="shared" si="9"/>
        <v>Bought 12 Shares of State 2 at a cost of 3.69288</v>
      </c>
    </row>
    <row r="20" spans="4:19" s="7" customFormat="1" ht="18.75" x14ac:dyDescent="0.3">
      <c r="D20" s="25">
        <v>6</v>
      </c>
      <c r="E20" s="207">
        <v>32</v>
      </c>
      <c r="F20" s="294">
        <v>18</v>
      </c>
      <c r="G20" s="293">
        <f t="shared" si="0"/>
        <v>0.88079707797788231</v>
      </c>
      <c r="H20" s="79">
        <f t="shared" si="1"/>
        <v>0.11920292202211759</v>
      </c>
      <c r="I20" s="306">
        <f t="shared" si="2"/>
        <v>32.8884960773008</v>
      </c>
      <c r="J20" s="311">
        <f t="shared" si="10"/>
        <v>10.036465813381181</v>
      </c>
      <c r="L20" s="116">
        <f t="shared" si="6"/>
        <v>14</v>
      </c>
      <c r="M20" s="102">
        <f t="shared" si="7"/>
        <v>0</v>
      </c>
      <c r="N20" s="184">
        <f t="shared" si="3"/>
        <v>10.036465813381181</v>
      </c>
      <c r="P20" s="7" t="str">
        <f t="shared" si="8"/>
        <v>Bought 14 Shares of State 1 at a cost of 10.03647</v>
      </c>
      <c r="Q20" s="7" t="str">
        <f t="shared" si="11"/>
        <v/>
      </c>
      <c r="R20" s="187" t="str">
        <f t="shared" si="9"/>
        <v>Bought 14 Shares of State 1 at a cost of 10.03647</v>
      </c>
    </row>
    <row r="21" spans="4:19" s="7" customFormat="1" ht="18.75" x14ac:dyDescent="0.3">
      <c r="D21" s="25">
        <v>7</v>
      </c>
      <c r="E21" s="207">
        <v>32</v>
      </c>
      <c r="F21" s="294">
        <v>30</v>
      </c>
      <c r="G21" s="293">
        <f t="shared" si="0"/>
        <v>0.57094659688346627</v>
      </c>
      <c r="H21" s="79">
        <f t="shared" si="1"/>
        <v>0.42905340311653373</v>
      </c>
      <c r="I21" s="306">
        <f t="shared" si="2"/>
        <v>35.923217195086352</v>
      </c>
      <c r="J21" s="311">
        <f t="shared" si="10"/>
        <v>3.0347211177855513</v>
      </c>
      <c r="L21" s="116">
        <f t="shared" si="6"/>
        <v>0</v>
      </c>
      <c r="M21" s="102">
        <f t="shared" si="7"/>
        <v>12</v>
      </c>
      <c r="N21" s="184">
        <f t="shared" si="3"/>
        <v>3.0347211177855513</v>
      </c>
      <c r="P21" s="7" t="str">
        <f t="shared" si="8"/>
        <v/>
      </c>
      <c r="Q21" s="7" t="str">
        <f t="shared" si="11"/>
        <v>Bought 12 Shares of State 2 at a cost of 3.03472</v>
      </c>
      <c r="R21" s="187" t="str">
        <f t="shared" si="9"/>
        <v>Bought 12 Shares of State 2 at a cost of 3.03472</v>
      </c>
    </row>
    <row r="22" spans="4:19" s="7" customFormat="1" ht="18.75" x14ac:dyDescent="0.3">
      <c r="D22" s="25">
        <v>8</v>
      </c>
      <c r="E22" s="207">
        <v>39</v>
      </c>
      <c r="F22" s="294">
        <v>30</v>
      </c>
      <c r="G22" s="293">
        <f t="shared" si="0"/>
        <v>0.78342090423182409</v>
      </c>
      <c r="H22" s="79">
        <f t="shared" si="1"/>
        <v>0.21657909576817599</v>
      </c>
      <c r="I22" s="306">
        <f t="shared" si="2"/>
        <v>40.70859621886801</v>
      </c>
      <c r="J22" s="311">
        <f t="shared" si="10"/>
        <v>4.7853790237816582</v>
      </c>
      <c r="L22" s="116">
        <f t="shared" si="6"/>
        <v>7</v>
      </c>
      <c r="M22" s="102">
        <f t="shared" si="7"/>
        <v>0</v>
      </c>
      <c r="N22" s="184">
        <f t="shared" si="3"/>
        <v>4.7853790237816582</v>
      </c>
      <c r="P22" s="7" t="str">
        <f t="shared" si="8"/>
        <v>Bought 7 Shares of State 1 at a cost of 4.78538</v>
      </c>
      <c r="Q22" s="7" t="str">
        <f t="shared" si="11"/>
        <v/>
      </c>
      <c r="R22" s="187" t="str">
        <f t="shared" si="9"/>
        <v>Bought 7 Shares of State 1 at a cost of 4.78538</v>
      </c>
    </row>
    <row r="23" spans="4:19" s="7" customFormat="1" ht="18.75" x14ac:dyDescent="0.3">
      <c r="D23" s="25">
        <v>9</v>
      </c>
      <c r="E23" s="207">
        <v>39</v>
      </c>
      <c r="F23" s="294">
        <v>43</v>
      </c>
      <c r="G23" s="293">
        <f t="shared" si="0"/>
        <v>0.36090725483714864</v>
      </c>
      <c r="H23" s="79">
        <f t="shared" si="1"/>
        <v>0.63909274516285142</v>
      </c>
      <c r="I23" s="306">
        <f t="shared" si="2"/>
        <v>46.133939858256404</v>
      </c>
      <c r="J23" s="311">
        <f t="shared" si="10"/>
        <v>5.4253436393883945</v>
      </c>
      <c r="L23" s="116">
        <f t="shared" si="6"/>
        <v>0</v>
      </c>
      <c r="M23" s="102">
        <f t="shared" si="7"/>
        <v>13</v>
      </c>
      <c r="N23" s="184">
        <f t="shared" si="3"/>
        <v>5.4253436393883945</v>
      </c>
      <c r="P23" s="7" t="str">
        <f t="shared" si="8"/>
        <v/>
      </c>
      <c r="Q23" s="7" t="str">
        <f t="shared" si="11"/>
        <v>Bought 13 Shares of State 2 at a cost of 5.42534</v>
      </c>
      <c r="R23" s="187" t="str">
        <f t="shared" si="9"/>
        <v>Bought 13 Shares of State 2 at a cost of 5.42534</v>
      </c>
    </row>
    <row r="24" spans="4:19" s="7" customFormat="1" ht="18.75" x14ac:dyDescent="0.3">
      <c r="D24" s="25">
        <v>10</v>
      </c>
      <c r="E24" s="207">
        <v>57</v>
      </c>
      <c r="F24" s="294">
        <v>43</v>
      </c>
      <c r="G24" s="293">
        <f t="shared" si="0"/>
        <v>0.88079707797788231</v>
      </c>
      <c r="H24" s="79">
        <f t="shared" si="1"/>
        <v>0.11920292202211764</v>
      </c>
      <c r="I24" s="306">
        <f t="shared" si="2"/>
        <v>57.8884960773008</v>
      </c>
      <c r="J24" s="311">
        <f>(I24-I23)</f>
        <v>11.754556219044396</v>
      </c>
      <c r="L24" s="116">
        <f t="shared" si="6"/>
        <v>18</v>
      </c>
      <c r="M24" s="102">
        <f t="shared" si="7"/>
        <v>0</v>
      </c>
      <c r="N24" s="184">
        <f t="shared" si="3"/>
        <v>11.754556219044396</v>
      </c>
      <c r="P24" s="7" t="str">
        <f t="shared" si="8"/>
        <v>Bought 18 Shares of State 1 at a cost of 11.75456</v>
      </c>
      <c r="Q24" s="7" t="str">
        <f t="shared" si="11"/>
        <v/>
      </c>
      <c r="R24" s="187" t="str">
        <f t="shared" si="9"/>
        <v>Bought 18 Shares of State 1 at a cost of 11.75456</v>
      </c>
    </row>
    <row r="25" spans="4:19" s="7" customFormat="1" ht="18.75" x14ac:dyDescent="0.3">
      <c r="D25" s="25">
        <v>11</v>
      </c>
      <c r="E25" s="207">
        <v>57</v>
      </c>
      <c r="F25" s="294">
        <v>61</v>
      </c>
      <c r="G25" s="293">
        <f t="shared" si="0"/>
        <v>0.36090725483714881</v>
      </c>
      <c r="H25" s="79">
        <f t="shared" si="1"/>
        <v>0.63909274516285108</v>
      </c>
      <c r="I25" s="306">
        <f t="shared" si="2"/>
        <v>64.133939858256412</v>
      </c>
      <c r="J25" s="311">
        <f t="shared" si="10"/>
        <v>6.2454437809556111</v>
      </c>
      <c r="L25" s="116">
        <f t="shared" si="6"/>
        <v>0</v>
      </c>
      <c r="M25" s="102">
        <f t="shared" si="7"/>
        <v>18</v>
      </c>
      <c r="N25" s="184">
        <f t="shared" si="3"/>
        <v>6.2454437809556111</v>
      </c>
      <c r="P25" s="7" t="str">
        <f t="shared" si="8"/>
        <v/>
      </c>
      <c r="Q25" s="7" t="str">
        <f t="shared" si="11"/>
        <v>Bought 18 Shares of State 2 at a cost of 6.24544</v>
      </c>
      <c r="R25" s="187" t="str">
        <f t="shared" si="9"/>
        <v>Bought 18 Shares of State 2 at a cost of 6.24544</v>
      </c>
    </row>
    <row r="26" spans="4:19" s="7" customFormat="1" ht="18.75" x14ac:dyDescent="0.3">
      <c r="D26" s="25">
        <v>12</v>
      </c>
      <c r="E26" s="207">
        <v>61</v>
      </c>
      <c r="F26" s="294">
        <v>61</v>
      </c>
      <c r="G26" s="293">
        <f t="shared" si="0"/>
        <v>0.5</v>
      </c>
      <c r="H26" s="79">
        <f t="shared" si="1"/>
        <v>0.5</v>
      </c>
      <c r="I26" s="306">
        <f t="shared" si="2"/>
        <v>65.852030263919616</v>
      </c>
      <c r="J26" s="311">
        <f t="shared" si="10"/>
        <v>1.7180904056632045</v>
      </c>
      <c r="L26" s="116">
        <f t="shared" si="6"/>
        <v>4</v>
      </c>
      <c r="M26" s="102">
        <f t="shared" si="7"/>
        <v>0</v>
      </c>
      <c r="N26" s="184">
        <f t="shared" si="3"/>
        <v>1.7180904056632045</v>
      </c>
      <c r="P26" s="7" t="str">
        <f t="shared" si="8"/>
        <v>Bought 4 Shares of State 1 at a cost of 1.71809</v>
      </c>
      <c r="Q26" s="7" t="str">
        <f t="shared" si="11"/>
        <v/>
      </c>
      <c r="R26" s="187" t="str">
        <f t="shared" si="9"/>
        <v>Bought 4 Shares of State 1 at a cost of 1.71809</v>
      </c>
    </row>
    <row r="27" spans="4:19" s="7" customFormat="1" ht="18.75" x14ac:dyDescent="0.3">
      <c r="D27" s="25">
        <v>13</v>
      </c>
      <c r="E27" s="207">
        <v>61</v>
      </c>
      <c r="F27" s="294">
        <v>40</v>
      </c>
      <c r="G27" s="293">
        <f t="shared" si="0"/>
        <v>0.95257412682243314</v>
      </c>
      <c r="H27" s="79">
        <f t="shared" si="1"/>
        <v>4.7425873177566823E-2</v>
      </c>
      <c r="I27" s="306">
        <f t="shared" si="2"/>
        <v>61.340111461016193</v>
      </c>
      <c r="J27" s="311">
        <f t="shared" si="10"/>
        <v>-4.5119188029034234</v>
      </c>
      <c r="L27" s="116">
        <f t="shared" si="6"/>
        <v>0</v>
      </c>
      <c r="M27" s="102">
        <f t="shared" si="7"/>
        <v>-21</v>
      </c>
      <c r="N27" s="184">
        <f t="shared" si="3"/>
        <v>-4.5119188029034234</v>
      </c>
      <c r="P27" s="7" t="str">
        <f t="shared" si="8"/>
        <v/>
      </c>
      <c r="Q27" s="7" t="str">
        <f t="shared" si="11"/>
        <v>Sold 21 Shares of State 2 at a cost of -4.51192</v>
      </c>
      <c r="R27" s="187" t="str">
        <f t="shared" si="9"/>
        <v>Sold 21 Shares of State 2 at a cost of -4.51192</v>
      </c>
    </row>
    <row r="28" spans="4:19" s="7" customFormat="1" ht="18.75" x14ac:dyDescent="0.3">
      <c r="D28" s="25">
        <v>14</v>
      </c>
      <c r="E28" s="207">
        <v>42</v>
      </c>
      <c r="F28" s="294">
        <v>40</v>
      </c>
      <c r="G28" s="293">
        <f t="shared" si="0"/>
        <v>0.57094659688346627</v>
      </c>
      <c r="H28" s="79">
        <f t="shared" si="1"/>
        <v>0.42905340311653378</v>
      </c>
      <c r="I28" s="306">
        <f t="shared" si="2"/>
        <v>45.923217195086359</v>
      </c>
      <c r="J28" s="311">
        <f t="shared" si="5"/>
        <v>-15.416894265929834</v>
      </c>
      <c r="L28" s="116">
        <f t="shared" si="6"/>
        <v>-19</v>
      </c>
      <c r="M28" s="102">
        <f t="shared" si="7"/>
        <v>0</v>
      </c>
      <c r="N28" s="184">
        <f t="shared" si="3"/>
        <v>-15.416894265929834</v>
      </c>
      <c r="P28" s="7" t="str">
        <f t="shared" si="8"/>
        <v>Sold 19 Shares of State 1 at a cost of -15.41689</v>
      </c>
      <c r="Q28" s="7" t="str">
        <f t="shared" si="11"/>
        <v/>
      </c>
      <c r="R28" s="187" t="str">
        <f t="shared" si="9"/>
        <v>Sold 19 Shares of State 1 at a cost of -15.41689</v>
      </c>
    </row>
    <row r="29" spans="4:19" s="7" customFormat="1" ht="18.75" x14ac:dyDescent="0.3">
      <c r="D29" s="25">
        <v>15</v>
      </c>
      <c r="E29" s="207">
        <v>42</v>
      </c>
      <c r="F29" s="294">
        <v>9</v>
      </c>
      <c r="G29" s="293">
        <f t="shared" si="0"/>
        <v>0.99111341128091202</v>
      </c>
      <c r="H29" s="79">
        <f t="shared" si="1"/>
        <v>8.8865887190879463E-3</v>
      </c>
      <c r="I29" s="306">
        <f t="shared" si="2"/>
        <v>42.062484169635077</v>
      </c>
      <c r="J29" s="311">
        <f t="shared" si="5"/>
        <v>-3.8607330254512817</v>
      </c>
      <c r="L29" s="116">
        <f t="shared" si="6"/>
        <v>0</v>
      </c>
      <c r="M29" s="102">
        <f t="shared" si="7"/>
        <v>-31</v>
      </c>
      <c r="N29" s="184">
        <f t="shared" si="3"/>
        <v>-3.8607330254512817</v>
      </c>
      <c r="P29" s="7" t="str">
        <f t="shared" si="8"/>
        <v/>
      </c>
      <c r="Q29" s="7" t="str">
        <f t="shared" si="11"/>
        <v>Sold 31 Shares of State 2 at a cost of -3.86073</v>
      </c>
      <c r="R29" s="187" t="str">
        <f t="shared" si="9"/>
        <v>Sold 31 Shares of State 2 at a cost of -3.86073</v>
      </c>
    </row>
    <row r="30" spans="4:19" s="7" customFormat="1" ht="19.5" thickBot="1" x14ac:dyDescent="0.35">
      <c r="D30" s="25">
        <v>16</v>
      </c>
      <c r="E30" s="207">
        <v>42</v>
      </c>
      <c r="F30" s="294">
        <v>4</v>
      </c>
      <c r="G30" s="293">
        <f t="shared" si="0"/>
        <v>0.99562982045655568</v>
      </c>
      <c r="H30" s="80">
        <f t="shared" si="1"/>
        <v>4.3701795434443556E-3</v>
      </c>
      <c r="I30" s="307">
        <f t="shared" si="2"/>
        <v>42.030658296835739</v>
      </c>
      <c r="J30" s="312">
        <f>(I30-I29)</f>
        <v>-3.1825872799338129E-2</v>
      </c>
      <c r="L30" s="121">
        <f t="shared" si="6"/>
        <v>0</v>
      </c>
      <c r="M30" s="104">
        <f t="shared" si="7"/>
        <v>-5</v>
      </c>
      <c r="N30" s="184">
        <f t="shared" si="3"/>
        <v>-3.1825872799338129E-2</v>
      </c>
      <c r="P30" s="7" t="str">
        <f t="shared" si="8"/>
        <v/>
      </c>
      <c r="Q30" s="7" t="str">
        <f t="shared" si="11"/>
        <v>Sold 5 Shares of State 2 at a cost of -0.03183</v>
      </c>
      <c r="R30" s="187" t="str">
        <f t="shared" si="9"/>
        <v>Sold 5 Shares of State 2 at a cost of -0.03183</v>
      </c>
    </row>
    <row r="31" spans="4:19" s="7" customFormat="1" ht="19.5" thickBot="1" x14ac:dyDescent="0.35">
      <c r="D31" s="25" t="s">
        <v>97</v>
      </c>
      <c r="E31" s="51">
        <v>42</v>
      </c>
      <c r="F31" s="297">
        <v>4</v>
      </c>
      <c r="G31" s="557">
        <v>1</v>
      </c>
      <c r="H31" s="558">
        <v>0</v>
      </c>
      <c r="I31" s="308">
        <f t="shared" si="2"/>
        <v>42.030658296835739</v>
      </c>
      <c r="J31" s="8" t="s">
        <v>132</v>
      </c>
      <c r="Q31" s="8"/>
      <c r="R31" s="245" t="s">
        <v>148</v>
      </c>
      <c r="S31" s="8"/>
    </row>
    <row r="32" spans="4:19" s="7" customFormat="1" ht="18.75" x14ac:dyDescent="0.3">
      <c r="D32"/>
      <c r="E32" s="253"/>
      <c r="F32" s="244"/>
      <c r="G32" s="17"/>
      <c r="H32" s="33"/>
      <c r="I32" s="309">
        <f>SUMPRODUCT(G31:H31,E31:F31)</f>
        <v>42</v>
      </c>
      <c r="J32" t="s">
        <v>110</v>
      </c>
      <c r="Q32"/>
      <c r="R32" s="187" t="str">
        <f>"Individuals redeem "&amp;E31&amp;" i=0 shares for $1 each."</f>
        <v>Individuals redeem 42 i=0 shares for $1 each.</v>
      </c>
      <c r="S32"/>
    </row>
    <row r="33" spans="2:34" s="7" customFormat="1" ht="18.75" x14ac:dyDescent="0.3">
      <c r="E33" s="17"/>
      <c r="F33" s="241"/>
      <c r="G33" s="17"/>
      <c r="H33" s="17"/>
      <c r="I33" s="309">
        <f>I31-I32</f>
        <v>3.0658296835738952E-2</v>
      </c>
      <c r="J33" s="7" t="s">
        <v>102</v>
      </c>
      <c r="R33" s="187" t="str">
        <f>ROUND(I33,4)&amp;" happens to be left over."</f>
        <v>0.0307 happens to be left over.</v>
      </c>
    </row>
    <row r="34" spans="2:34" s="7" customFormat="1" ht="18.75" x14ac:dyDescent="0.3">
      <c r="E34" s="17"/>
      <c r="F34" s="241"/>
      <c r="G34" s="17"/>
      <c r="H34" s="17"/>
      <c r="I34" s="196"/>
      <c r="J34" s="54"/>
      <c r="O34" s="8"/>
      <c r="P34" s="8"/>
      <c r="Q34" s="8"/>
      <c r="R34" s="245"/>
      <c r="S34" s="28"/>
    </row>
    <row r="35" spans="2:34" x14ac:dyDescent="0.25">
      <c r="B35" s="7"/>
      <c r="C35" s="7"/>
      <c r="E35" s="17"/>
      <c r="F35" s="241"/>
      <c r="G35" s="17"/>
      <c r="AF35" s="7"/>
      <c r="AG35" s="7"/>
      <c r="AH35" s="7"/>
    </row>
    <row r="36" spans="2:34" x14ac:dyDescent="0.25">
      <c r="B36" s="7"/>
      <c r="C36" s="7"/>
      <c r="D36" s="7"/>
      <c r="E36" s="17"/>
      <c r="F36" s="241"/>
      <c r="G36" s="17"/>
      <c r="H36" s="17"/>
      <c r="I36" s="17"/>
      <c r="J36" s="17"/>
      <c r="K36" s="7"/>
      <c r="L36" s="7"/>
      <c r="M36" s="7"/>
      <c r="N36" s="7"/>
      <c r="O36" s="7"/>
      <c r="P36" s="7"/>
      <c r="Q36" s="7"/>
      <c r="R36" s="7"/>
      <c r="S36" s="7"/>
      <c r="T36" s="7"/>
      <c r="U36" s="7"/>
      <c r="V36" s="7"/>
      <c r="W36" s="7"/>
      <c r="X36" s="7"/>
      <c r="Y36" s="7"/>
      <c r="Z36" s="7"/>
      <c r="AA36" s="7"/>
      <c r="AB36" s="7"/>
      <c r="AC36" s="7"/>
      <c r="AD36" s="7"/>
      <c r="AE36" s="7"/>
      <c r="AF36" s="7"/>
      <c r="AG36" s="7"/>
    </row>
    <row r="37" spans="2:34" x14ac:dyDescent="0.25">
      <c r="B37" s="7"/>
      <c r="C37" s="7"/>
      <c r="D37" s="7"/>
      <c r="E37" s="17"/>
      <c r="F37" s="241"/>
      <c r="G37" s="17"/>
      <c r="H37" s="17"/>
      <c r="I37" s="17"/>
      <c r="J37" s="17"/>
      <c r="K37" s="7"/>
      <c r="L37" s="7"/>
      <c r="M37" s="7"/>
      <c r="N37" s="7"/>
      <c r="O37" s="7"/>
      <c r="P37" s="7"/>
      <c r="Q37" s="7"/>
      <c r="R37" s="7"/>
      <c r="S37" s="7"/>
      <c r="T37" s="7"/>
      <c r="U37" s="7"/>
      <c r="V37" s="7"/>
      <c r="W37" s="7"/>
      <c r="X37" s="7"/>
      <c r="Y37" s="7"/>
      <c r="Z37" s="7"/>
      <c r="AA37" s="7"/>
      <c r="AB37" s="7"/>
      <c r="AC37" s="7"/>
      <c r="AD37" s="7"/>
      <c r="AE37" s="7"/>
      <c r="AF37" s="7"/>
      <c r="AG37" s="7"/>
    </row>
    <row r="38" spans="2:34" x14ac:dyDescent="0.25">
      <c r="B38" s="7"/>
      <c r="C38" s="7"/>
      <c r="D38" s="7"/>
      <c r="E38" s="17"/>
      <c r="F38" s="241"/>
      <c r="G38" s="17"/>
      <c r="H38" s="17"/>
      <c r="I38" s="17"/>
      <c r="J38" s="17"/>
      <c r="K38" s="7"/>
      <c r="L38" s="7"/>
      <c r="M38" s="7"/>
      <c r="N38" s="7"/>
      <c r="O38" s="7"/>
      <c r="P38" s="7"/>
      <c r="Q38" s="7"/>
      <c r="R38" s="7"/>
      <c r="S38" s="7"/>
      <c r="T38" s="7"/>
      <c r="U38" s="7"/>
      <c r="V38" s="7"/>
      <c r="W38" s="7"/>
      <c r="X38" s="7"/>
      <c r="Y38" s="7"/>
      <c r="Z38" s="7"/>
      <c r="AA38" s="7"/>
      <c r="AB38" s="7"/>
      <c r="AC38" s="7"/>
      <c r="AD38" s="7"/>
      <c r="AE38" s="7"/>
      <c r="AF38" s="7"/>
      <c r="AG38" s="7"/>
    </row>
    <row r="39" spans="2:34" ht="15" customHeight="1" x14ac:dyDescent="0.25">
      <c r="B39" s="299"/>
      <c r="C39" s="1195" t="s">
        <v>424</v>
      </c>
      <c r="D39" s="1196"/>
      <c r="E39" s="1180" t="s">
        <v>122</v>
      </c>
      <c r="F39" s="1181"/>
      <c r="G39" s="1186" t="s">
        <v>123</v>
      </c>
      <c r="H39" s="1187"/>
      <c r="I39" s="1187"/>
      <c r="J39" s="1188"/>
      <c r="K39" s="300"/>
      <c r="L39" s="300"/>
      <c r="M39" s="300"/>
      <c r="N39" s="300"/>
      <c r="O39" s="300"/>
      <c r="P39" s="300"/>
      <c r="Q39" s="300"/>
      <c r="R39" s="300"/>
      <c r="S39" s="300"/>
      <c r="T39" s="300"/>
      <c r="U39" s="300"/>
      <c r="V39" s="300"/>
      <c r="W39" s="300"/>
      <c r="X39" s="300"/>
      <c r="Y39" s="300"/>
      <c r="Z39" s="300"/>
      <c r="AA39" s="300"/>
      <c r="AB39" s="300"/>
      <c r="AC39" s="300"/>
      <c r="AD39" s="300"/>
      <c r="AE39" s="300"/>
      <c r="AF39" s="300"/>
      <c r="AG39" s="300"/>
    </row>
    <row r="40" spans="2:34" ht="15" customHeight="1" x14ac:dyDescent="0.25">
      <c r="B40" s="299"/>
      <c r="C40" s="1195"/>
      <c r="D40" s="1196"/>
      <c r="E40" s="1182"/>
      <c r="F40" s="1183"/>
      <c r="G40" s="1189"/>
      <c r="H40" s="1190"/>
      <c r="I40" s="1190"/>
      <c r="J40" s="1191"/>
      <c r="K40" s="300"/>
      <c r="L40" s="300"/>
      <c r="M40" s="300"/>
      <c r="N40" s="300"/>
      <c r="O40" s="300"/>
      <c r="P40" s="300"/>
      <c r="Q40" s="300"/>
      <c r="R40" s="300"/>
      <c r="S40" s="300"/>
      <c r="T40" s="300"/>
      <c r="U40" s="300"/>
      <c r="V40" s="300"/>
      <c r="W40" s="300"/>
      <c r="X40" s="300"/>
      <c r="Y40" s="300"/>
      <c r="Z40" s="300"/>
      <c r="AA40" s="300"/>
      <c r="AB40" s="300"/>
      <c r="AC40" s="300"/>
      <c r="AD40" s="300"/>
      <c r="AE40" s="300"/>
      <c r="AF40" s="300"/>
      <c r="AG40" s="300"/>
    </row>
    <row r="41" spans="2:34" ht="15" customHeight="1" x14ac:dyDescent="0.25">
      <c r="B41" s="299"/>
      <c r="C41" s="1195"/>
      <c r="D41" s="1196"/>
      <c r="E41" s="1182"/>
      <c r="F41" s="1183"/>
      <c r="G41" s="1189"/>
      <c r="H41" s="1190"/>
      <c r="I41" s="1190"/>
      <c r="J41" s="1191"/>
      <c r="K41" s="300"/>
      <c r="L41" s="300"/>
      <c r="M41" s="300"/>
      <c r="N41" s="300"/>
      <c r="O41" s="300"/>
      <c r="P41" s="300"/>
      <c r="Q41" s="300"/>
      <c r="R41" s="300"/>
      <c r="S41" s="300"/>
      <c r="T41" s="300"/>
      <c r="U41" s="300"/>
      <c r="V41" s="300"/>
      <c r="W41" s="300"/>
      <c r="X41" s="300"/>
      <c r="Y41" s="300"/>
      <c r="Z41" s="300"/>
      <c r="AA41" s="300"/>
      <c r="AB41" s="300"/>
      <c r="AC41" s="300"/>
      <c r="AD41" s="300"/>
      <c r="AE41" s="300"/>
      <c r="AF41" s="300"/>
      <c r="AG41" s="300"/>
    </row>
    <row r="42" spans="2:34" ht="15.75" customHeight="1" x14ac:dyDescent="0.25">
      <c r="B42" s="299"/>
      <c r="C42" s="1195"/>
      <c r="D42" s="1196"/>
      <c r="E42" s="1184"/>
      <c r="F42" s="1185"/>
      <c r="G42" s="1192"/>
      <c r="H42" s="1193"/>
      <c r="I42" s="1193"/>
      <c r="J42" s="1194"/>
      <c r="K42" s="300"/>
      <c r="L42" s="300"/>
      <c r="M42" s="300"/>
      <c r="N42" s="300"/>
      <c r="O42" s="300"/>
      <c r="P42" s="300"/>
      <c r="Q42" s="300"/>
      <c r="R42" s="300"/>
      <c r="S42" s="300"/>
      <c r="T42" s="300"/>
      <c r="U42" s="300"/>
      <c r="V42" s="300"/>
      <c r="W42" s="300"/>
      <c r="X42" s="300"/>
      <c r="Y42" s="300"/>
      <c r="Z42" s="300"/>
      <c r="AA42" s="300"/>
      <c r="AB42" s="300"/>
      <c r="AC42" s="300"/>
      <c r="AD42" s="300"/>
      <c r="AE42" s="300"/>
      <c r="AF42" s="300"/>
      <c r="AG42" s="300"/>
    </row>
    <row r="43" spans="2:34" x14ac:dyDescent="0.25">
      <c r="D43" s="7"/>
      <c r="E43" s="17"/>
      <c r="F43" s="17"/>
      <c r="G43" s="292"/>
      <c r="H43" s="17"/>
      <c r="I43" s="17"/>
      <c r="J43" s="17"/>
      <c r="K43" s="7"/>
      <c r="L43" s="7"/>
      <c r="M43" s="7"/>
      <c r="N43" s="7"/>
      <c r="O43" s="7"/>
      <c r="P43" s="7"/>
      <c r="Q43" s="7"/>
      <c r="R43" s="7"/>
      <c r="S43" s="7"/>
      <c r="T43" s="7"/>
      <c r="U43" s="7"/>
      <c r="V43" s="7"/>
      <c r="W43" s="7"/>
      <c r="X43" s="7"/>
      <c r="Y43" s="7"/>
      <c r="Z43" s="7"/>
      <c r="AA43" s="7"/>
      <c r="AB43" s="7"/>
      <c r="AC43" s="7"/>
      <c r="AD43" s="7"/>
      <c r="AE43" s="7"/>
      <c r="AF43" s="7"/>
      <c r="AG43" s="7"/>
    </row>
    <row r="44" spans="2:34" ht="15.75" thickBot="1" x14ac:dyDescent="0.3">
      <c r="G44" s="292"/>
      <c r="H44" s="17"/>
      <c r="I44" s="17"/>
      <c r="J44" s="17"/>
      <c r="K44" s="7"/>
      <c r="L44" s="7"/>
      <c r="M44" s="7"/>
      <c r="N44" s="7"/>
      <c r="O44" s="7"/>
      <c r="P44" s="7"/>
      <c r="Q44" s="7"/>
      <c r="R44" s="7"/>
      <c r="S44" s="7"/>
      <c r="T44" s="7"/>
      <c r="U44" s="7"/>
      <c r="V44" s="7"/>
      <c r="W44" s="7"/>
      <c r="X44" s="7"/>
      <c r="Y44" s="7"/>
      <c r="Z44" s="7"/>
      <c r="AA44" s="7"/>
      <c r="AB44" s="7"/>
      <c r="AC44" s="7"/>
      <c r="AD44" s="7"/>
      <c r="AE44" s="7"/>
      <c r="AF44" s="7"/>
      <c r="AG44" s="7"/>
    </row>
    <row r="45" spans="2:34" ht="15.75" customHeight="1" thickBot="1" x14ac:dyDescent="0.3">
      <c r="D45" s="7"/>
      <c r="E45" s="1197" t="s">
        <v>425</v>
      </c>
      <c r="F45" s="17"/>
      <c r="G45" s="1170" t="s">
        <v>255</v>
      </c>
      <c r="H45" s="1171"/>
      <c r="I45" s="17"/>
      <c r="J45" s="17"/>
      <c r="K45" s="7"/>
      <c r="L45" s="7"/>
      <c r="M45" s="7"/>
      <c r="N45" s="7"/>
      <c r="O45" s="7"/>
      <c r="P45" s="7"/>
      <c r="Q45" s="7"/>
      <c r="R45" s="7"/>
      <c r="S45" s="7"/>
      <c r="T45" s="7"/>
      <c r="U45" s="7"/>
      <c r="V45" s="7"/>
      <c r="W45" s="7"/>
      <c r="X45" s="7"/>
      <c r="Y45" s="7"/>
      <c r="Z45" s="7"/>
      <c r="AA45" s="7"/>
      <c r="AB45" s="7"/>
      <c r="AC45" s="7"/>
      <c r="AD45" s="7"/>
      <c r="AE45" s="7"/>
      <c r="AF45" s="7"/>
      <c r="AG45" s="7"/>
    </row>
    <row r="46" spans="2:34" x14ac:dyDescent="0.25">
      <c r="C46" s="7"/>
      <c r="D46" s="7"/>
      <c r="E46" s="1197"/>
      <c r="F46" s="17"/>
      <c r="G46" s="292"/>
      <c r="H46" s="17"/>
      <c r="I46" s="17"/>
      <c r="J46" s="17"/>
      <c r="K46" s="7"/>
      <c r="L46" s="7"/>
      <c r="M46" s="7"/>
      <c r="N46" s="7"/>
      <c r="O46" s="7"/>
      <c r="P46" s="7"/>
      <c r="Q46" s="7"/>
      <c r="R46" s="7"/>
      <c r="S46" s="7"/>
      <c r="T46" s="7"/>
      <c r="U46" s="7"/>
      <c r="V46" s="7"/>
      <c r="W46" s="7"/>
      <c r="X46" s="7"/>
      <c r="Y46" s="7"/>
      <c r="Z46" s="7"/>
      <c r="AA46" s="7"/>
      <c r="AB46" s="7"/>
      <c r="AC46" s="7"/>
      <c r="AD46" s="7"/>
      <c r="AE46" s="7"/>
      <c r="AF46" s="7"/>
      <c r="AG46" s="7"/>
    </row>
    <row r="47" spans="2:34" x14ac:dyDescent="0.25">
      <c r="D47" s="7"/>
      <c r="E47" s="1197"/>
      <c r="F47" s="6"/>
      <c r="G47" s="17"/>
      <c r="H47" s="17"/>
      <c r="I47" s="17"/>
    </row>
    <row r="48" spans="2:34" x14ac:dyDescent="0.25">
      <c r="D48" s="7"/>
      <c r="E48" s="1197"/>
      <c r="F48" s="241"/>
      <c r="G48" s="17"/>
      <c r="H48" s="17"/>
      <c r="I48" s="17"/>
    </row>
    <row r="49" spans="4:9" x14ac:dyDescent="0.25">
      <c r="D49" s="7"/>
      <c r="E49" s="1197"/>
      <c r="F49" s="241"/>
      <c r="G49" s="17"/>
      <c r="H49" s="17"/>
      <c r="I49" s="17"/>
    </row>
    <row r="50" spans="4:9" x14ac:dyDescent="0.25">
      <c r="D50" s="7"/>
      <c r="E50" s="1197"/>
      <c r="F50" s="241"/>
      <c r="G50" s="17"/>
      <c r="H50" s="17"/>
      <c r="I50" s="17"/>
    </row>
    <row r="51" spans="4:9" x14ac:dyDescent="0.25">
      <c r="D51" s="7"/>
      <c r="E51" s="1197"/>
      <c r="F51" s="241"/>
      <c r="G51" s="17"/>
      <c r="H51" s="17"/>
      <c r="I51" s="17"/>
    </row>
    <row r="52" spans="4:9" x14ac:dyDescent="0.25">
      <c r="D52" s="7"/>
      <c r="E52" s="31"/>
      <c r="F52" s="241"/>
      <c r="G52" s="17"/>
      <c r="H52" s="17"/>
      <c r="I52" s="17"/>
    </row>
    <row r="53" spans="4:9" x14ac:dyDescent="0.25">
      <c r="D53" s="7"/>
      <c r="E53" s="31"/>
      <c r="F53" s="241"/>
      <c r="G53" s="17"/>
      <c r="H53" s="17"/>
      <c r="I53" s="17"/>
    </row>
    <row r="54" spans="4:9" x14ac:dyDescent="0.25">
      <c r="F54" s="241"/>
    </row>
    <row r="55" spans="4:9" x14ac:dyDescent="0.25">
      <c r="F55" s="241"/>
    </row>
  </sheetData>
  <mergeCells count="8">
    <mergeCell ref="G45:H45"/>
    <mergeCell ref="B4:B6"/>
    <mergeCell ref="B8:B11"/>
    <mergeCell ref="L13:M13"/>
    <mergeCell ref="E39:F42"/>
    <mergeCell ref="G39:J42"/>
    <mergeCell ref="C39:D42"/>
    <mergeCell ref="E45:E5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3:AS125"/>
  <sheetViews>
    <sheetView zoomScale="85" zoomScaleNormal="85" workbookViewId="0">
      <selection activeCell="D14" sqref="D14"/>
    </sheetView>
  </sheetViews>
  <sheetFormatPr defaultRowHeight="15" x14ac:dyDescent="0.25"/>
  <cols>
    <col min="4" max="7" width="11.42578125" style="33" customWidth="1"/>
    <col min="8" max="8" width="11.7109375" style="33" customWidth="1"/>
    <col min="9" max="9" width="12" style="33" customWidth="1"/>
    <col min="12" max="12" width="9.42578125" customWidth="1"/>
    <col min="13" max="13" width="12.7109375" customWidth="1"/>
    <col min="14" max="14" width="10.28515625" customWidth="1"/>
    <col min="15" max="15" width="10.42578125" customWidth="1"/>
    <col min="16" max="19" width="9.28515625" customWidth="1"/>
    <col min="20" max="20" width="10" customWidth="1"/>
    <col min="21" max="21" width="9.42578125" customWidth="1"/>
    <col min="23" max="23" width="12.140625" customWidth="1"/>
    <col min="24" max="24" width="10.5703125" customWidth="1"/>
    <col min="27" max="27" width="11.140625" customWidth="1"/>
  </cols>
  <sheetData>
    <row r="3" spans="1:26" ht="56.25" customHeight="1" x14ac:dyDescent="0.9">
      <c r="C3" s="427" t="s">
        <v>125</v>
      </c>
    </row>
    <row r="6" spans="1:26" x14ac:dyDescent="0.25">
      <c r="C6" s="1198" t="s">
        <v>126</v>
      </c>
      <c r="D6" s="1199"/>
      <c r="E6" s="1199"/>
      <c r="F6" s="1199"/>
      <c r="G6" s="1199"/>
      <c r="H6" s="1199"/>
      <c r="I6" s="1199"/>
      <c r="J6" s="1199"/>
      <c r="K6" s="1199"/>
      <c r="L6" s="1199"/>
      <c r="M6" s="1199"/>
      <c r="N6" s="1199"/>
      <c r="O6" s="1200"/>
      <c r="P6" s="316"/>
      <c r="Q6" s="316"/>
      <c r="R6" s="316"/>
      <c r="S6" s="316"/>
    </row>
    <row r="7" spans="1:26" x14ac:dyDescent="0.25">
      <c r="C7" s="1201"/>
      <c r="D7" s="1197"/>
      <c r="E7" s="1197"/>
      <c r="F7" s="1197"/>
      <c r="G7" s="1197"/>
      <c r="H7" s="1197"/>
      <c r="I7" s="1197"/>
      <c r="J7" s="1197"/>
      <c r="K7" s="1197"/>
      <c r="L7" s="1197"/>
      <c r="M7" s="1197"/>
      <c r="N7" s="1197"/>
      <c r="O7" s="1202"/>
      <c r="P7" s="316"/>
      <c r="Q7" s="316"/>
      <c r="R7" s="316"/>
      <c r="S7" s="316"/>
    </row>
    <row r="8" spans="1:26" x14ac:dyDescent="0.25">
      <c r="C8" s="1203"/>
      <c r="D8" s="1204"/>
      <c r="E8" s="1204"/>
      <c r="F8" s="1204"/>
      <c r="G8" s="1204"/>
      <c r="H8" s="1204"/>
      <c r="I8" s="1204"/>
      <c r="J8" s="1204"/>
      <c r="K8" s="1204"/>
      <c r="L8" s="1204"/>
      <c r="M8" s="1204"/>
      <c r="N8" s="1204"/>
      <c r="O8" s="1205"/>
      <c r="P8" s="316"/>
      <c r="Q8" s="316"/>
      <c r="R8" s="316"/>
      <c r="S8" s="316"/>
    </row>
    <row r="10" spans="1:26" ht="15.75" thickBot="1" x14ac:dyDescent="0.3">
      <c r="A10" s="13"/>
      <c r="B10" s="13"/>
      <c r="C10" s="13"/>
      <c r="D10" s="240"/>
      <c r="E10" s="240"/>
      <c r="F10" s="240"/>
      <c r="G10" s="240"/>
      <c r="H10" s="240"/>
      <c r="I10" s="240"/>
      <c r="J10" s="13"/>
      <c r="K10" s="13"/>
      <c r="L10" s="13"/>
      <c r="M10" s="13"/>
      <c r="N10" s="13"/>
      <c r="O10" s="13"/>
      <c r="P10" s="13"/>
      <c r="Q10" s="13"/>
      <c r="R10" s="13"/>
      <c r="S10" s="13"/>
      <c r="T10" s="13"/>
      <c r="U10" s="13"/>
      <c r="V10" s="13"/>
      <c r="W10" s="13"/>
      <c r="X10" s="13"/>
      <c r="Y10" s="13"/>
      <c r="Z10" s="13"/>
    </row>
    <row r="11" spans="1:26" ht="21.75" thickTop="1" x14ac:dyDescent="0.35">
      <c r="C11" s="141" t="s">
        <v>127</v>
      </c>
    </row>
    <row r="12" spans="1:26" x14ac:dyDescent="0.25">
      <c r="L12" s="7"/>
      <c r="M12" s="18"/>
      <c r="N12" s="7"/>
      <c r="O12" s="7"/>
      <c r="P12" s="7"/>
      <c r="Q12" s="7"/>
      <c r="R12" s="7"/>
      <c r="S12" s="7"/>
      <c r="T12" s="7"/>
    </row>
    <row r="13" spans="1:26" x14ac:dyDescent="0.25">
      <c r="B13" s="1172" t="s">
        <v>163</v>
      </c>
      <c r="C13" s="152" t="s">
        <v>4</v>
      </c>
      <c r="D13" s="266" t="s">
        <v>715</v>
      </c>
      <c r="E13" s="266"/>
      <c r="F13" s="266"/>
      <c r="G13" s="266"/>
      <c r="H13" s="261"/>
      <c r="L13" s="7"/>
      <c r="M13" s="18"/>
      <c r="N13" s="7"/>
      <c r="O13" s="7"/>
      <c r="P13" s="7"/>
      <c r="Q13" s="7"/>
      <c r="R13" s="7"/>
      <c r="S13" s="7"/>
      <c r="T13" s="7"/>
    </row>
    <row r="14" spans="1:26" x14ac:dyDescent="0.25">
      <c r="B14" s="1173"/>
      <c r="C14" s="17" t="s">
        <v>134</v>
      </c>
      <c r="D14" s="17" t="s">
        <v>3</v>
      </c>
      <c r="E14" s="17"/>
      <c r="F14" s="17"/>
      <c r="G14" s="17"/>
      <c r="H14" s="241"/>
      <c r="L14" s="7"/>
      <c r="M14" s="18"/>
      <c r="N14" s="7"/>
      <c r="O14" s="7"/>
      <c r="P14" s="7"/>
      <c r="Q14" s="7"/>
      <c r="R14" s="7"/>
      <c r="S14" s="7"/>
      <c r="T14" s="7"/>
    </row>
    <row r="15" spans="1:26" x14ac:dyDescent="0.25">
      <c r="B15" s="1174"/>
      <c r="C15" s="259" t="s">
        <v>135</v>
      </c>
      <c r="D15" s="259" t="s">
        <v>2</v>
      </c>
      <c r="E15" s="259"/>
      <c r="F15" s="259"/>
      <c r="G15" s="259"/>
      <c r="H15" s="262"/>
      <c r="L15" s="7"/>
      <c r="M15" s="18"/>
      <c r="N15" s="7"/>
      <c r="O15" s="7"/>
      <c r="P15" s="7"/>
      <c r="Q15" s="7"/>
      <c r="R15" s="7"/>
      <c r="S15" s="7"/>
      <c r="T15" s="7"/>
    </row>
    <row r="16" spans="1:26" x14ac:dyDescent="0.25">
      <c r="B16" s="258"/>
      <c r="C16" s="33"/>
      <c r="L16" s="7"/>
      <c r="M16" s="18"/>
      <c r="N16" s="7"/>
      <c r="O16" s="7"/>
      <c r="P16" s="7"/>
      <c r="Q16" s="7"/>
      <c r="R16" s="7"/>
      <c r="S16" s="7"/>
      <c r="T16" s="7"/>
    </row>
    <row r="17" spans="2:23" x14ac:dyDescent="0.25">
      <c r="B17" s="1172" t="s">
        <v>152</v>
      </c>
      <c r="C17" s="152" t="s">
        <v>164</v>
      </c>
      <c r="D17" s="270" t="s">
        <v>165</v>
      </c>
      <c r="E17" s="266" t="s">
        <v>166</v>
      </c>
      <c r="F17" s="266"/>
      <c r="G17" s="266"/>
      <c r="H17" s="261"/>
      <c r="L17" s="7"/>
      <c r="M17" s="18"/>
      <c r="N17" s="7"/>
      <c r="O17" s="7"/>
      <c r="P17" s="7"/>
      <c r="Q17" s="7"/>
      <c r="R17" s="7"/>
      <c r="S17" s="7"/>
      <c r="T17" s="7"/>
    </row>
    <row r="18" spans="2:23" x14ac:dyDescent="0.25">
      <c r="B18" s="1173"/>
      <c r="C18" s="17" t="s">
        <v>139</v>
      </c>
      <c r="D18" s="256">
        <f>COUNTA(D25:E25)</f>
        <v>2</v>
      </c>
      <c r="E18" s="17" t="s">
        <v>140</v>
      </c>
      <c r="F18" s="17"/>
      <c r="G18" s="17"/>
      <c r="H18" s="241"/>
      <c r="L18" s="7"/>
      <c r="M18" s="18"/>
      <c r="N18" s="7"/>
      <c r="O18" s="7"/>
      <c r="P18" s="7"/>
      <c r="Q18" s="7"/>
      <c r="R18" s="7"/>
      <c r="S18" s="7"/>
      <c r="T18" s="7"/>
    </row>
    <row r="19" spans="2:23" x14ac:dyDescent="0.25">
      <c r="B19" s="1173"/>
      <c r="C19" s="17" t="s">
        <v>5</v>
      </c>
      <c r="D19" s="255">
        <v>1</v>
      </c>
      <c r="E19" s="17" t="s">
        <v>143</v>
      </c>
      <c r="F19" s="17"/>
      <c r="G19" s="17"/>
      <c r="H19" s="241"/>
      <c r="L19" s="7"/>
      <c r="M19" s="18"/>
      <c r="N19" s="7"/>
      <c r="O19" s="7"/>
      <c r="P19" s="7"/>
      <c r="Q19" s="7"/>
      <c r="R19" s="7"/>
      <c r="S19" s="7"/>
      <c r="T19" s="7"/>
    </row>
    <row r="20" spans="2:23" x14ac:dyDescent="0.25">
      <c r="B20" s="1174"/>
      <c r="C20" s="247" t="s">
        <v>141</v>
      </c>
      <c r="D20" s="271">
        <f>H26</f>
        <v>0.69314718055994529</v>
      </c>
      <c r="E20" s="247" t="s">
        <v>142</v>
      </c>
      <c r="F20" s="259"/>
      <c r="G20" s="259"/>
      <c r="H20" s="262"/>
      <c r="L20" s="7"/>
      <c r="M20" s="18"/>
      <c r="N20" s="7"/>
      <c r="O20" s="7"/>
      <c r="P20" s="7"/>
      <c r="Q20" s="7"/>
      <c r="R20" s="7"/>
      <c r="S20" s="7"/>
      <c r="T20" s="7"/>
    </row>
    <row r="21" spans="2:23" x14ac:dyDescent="0.25">
      <c r="L21" s="7"/>
      <c r="M21" s="18"/>
      <c r="N21" s="7"/>
      <c r="O21" s="7"/>
      <c r="P21" s="7"/>
      <c r="Q21" s="7"/>
      <c r="R21" s="7"/>
      <c r="S21" s="7"/>
      <c r="T21" s="7"/>
    </row>
    <row r="22" spans="2:23" s="7" customFormat="1" x14ac:dyDescent="0.25">
      <c r="B22"/>
      <c r="D22" s="17"/>
      <c r="E22" s="17"/>
      <c r="F22" s="33"/>
      <c r="G22" s="33"/>
      <c r="H22" s="33"/>
      <c r="I22" s="33"/>
      <c r="J22"/>
      <c r="K22"/>
      <c r="U22"/>
      <c r="V22"/>
      <c r="W22" s="8"/>
    </row>
    <row r="23" spans="2:23" s="7" customFormat="1" x14ac:dyDescent="0.25">
      <c r="B23"/>
      <c r="C23"/>
      <c r="D23" s="33"/>
      <c r="E23" s="33"/>
      <c r="F23" s="33"/>
      <c r="G23" s="33"/>
      <c r="H23" s="33"/>
      <c r="I23" s="33"/>
      <c r="J23"/>
      <c r="K23"/>
      <c r="L23"/>
      <c r="M23"/>
      <c r="N23"/>
      <c r="O23"/>
      <c r="P23"/>
      <c r="Q23"/>
      <c r="R23"/>
      <c r="S23"/>
      <c r="T23"/>
      <c r="U23"/>
      <c r="V23"/>
      <c r="W23" s="8"/>
    </row>
    <row r="24" spans="2:23" s="7" customFormat="1" ht="24.75" customHeight="1" x14ac:dyDescent="0.25">
      <c r="C24"/>
      <c r="D24" s="61" t="s">
        <v>12</v>
      </c>
      <c r="E24" s="62"/>
      <c r="F24" s="62" t="s">
        <v>13</v>
      </c>
      <c r="G24" s="63"/>
      <c r="H24" s="61" t="s">
        <v>116</v>
      </c>
      <c r="I24" s="63" t="s">
        <v>35</v>
      </c>
      <c r="J24" s="20"/>
      <c r="T24" s="20"/>
      <c r="U24"/>
      <c r="V24" s="20"/>
    </row>
    <row r="25" spans="2:23" s="7" customFormat="1" ht="15.75" thickBot="1" x14ac:dyDescent="0.3">
      <c r="B25" s="32"/>
      <c r="C25" s="34" t="s">
        <v>34</v>
      </c>
      <c r="D25" s="174" t="s">
        <v>134</v>
      </c>
      <c r="E25" s="175" t="s">
        <v>135</v>
      </c>
      <c r="F25" s="176" t="s">
        <v>134</v>
      </c>
      <c r="G25" s="177" t="s">
        <v>135</v>
      </c>
      <c r="H25" s="42">
        <v>0</v>
      </c>
      <c r="I25" s="43"/>
      <c r="U25"/>
    </row>
    <row r="26" spans="2:23" s="7" customFormat="1" ht="18" customHeight="1" thickTop="1" x14ac:dyDescent="0.25">
      <c r="C26" s="25" t="s">
        <v>39</v>
      </c>
      <c r="D26" s="354">
        <v>0</v>
      </c>
      <c r="E26" s="356">
        <v>0</v>
      </c>
      <c r="F26" s="328">
        <f t="shared" ref="F26:G32" si="0">EXP(D26/$D$19)/(EXP($E26/$D$19)+EXP($D26/$D$19))</f>
        <v>0.5</v>
      </c>
      <c r="G26" s="211">
        <f t="shared" si="0"/>
        <v>0.5</v>
      </c>
      <c r="H26" s="264">
        <f t="shared" ref="H26:H33" si="1">$D$19*LN(EXP($E26/$D$19)+EXP($D26/$D$19))</f>
        <v>0.69314718055994529</v>
      </c>
      <c r="I26" s="46">
        <f>(H26-H25)</f>
        <v>0.69314718055994529</v>
      </c>
      <c r="U26"/>
    </row>
    <row r="27" spans="2:23" s="7" customFormat="1" ht="15.75" thickBot="1" x14ac:dyDescent="0.3">
      <c r="C27" s="25" t="s">
        <v>37</v>
      </c>
      <c r="D27" s="362">
        <v>1</v>
      </c>
      <c r="E27" s="364">
        <v>0</v>
      </c>
      <c r="F27" s="330">
        <f t="shared" si="0"/>
        <v>0.7310585786300049</v>
      </c>
      <c r="G27" s="229">
        <f t="shared" si="0"/>
        <v>0.2689414213699951</v>
      </c>
      <c r="H27" s="287">
        <f t="shared" si="1"/>
        <v>1.3132616875182228</v>
      </c>
      <c r="I27" s="49">
        <f>(H27-H26)</f>
        <v>0.62011450695827752</v>
      </c>
      <c r="K27" s="7" t="s">
        <v>136</v>
      </c>
      <c r="U27"/>
    </row>
    <row r="28" spans="2:23" s="7" customFormat="1" ht="15.75" thickBot="1" x14ac:dyDescent="0.3">
      <c r="C28" s="25" t="s">
        <v>40</v>
      </c>
      <c r="D28" s="370">
        <f>K28</f>
        <v>1.0986122886681098</v>
      </c>
      <c r="E28" s="364">
        <v>0</v>
      </c>
      <c r="F28" s="379">
        <f t="shared" si="0"/>
        <v>0.75000000000000011</v>
      </c>
      <c r="G28" s="229">
        <f t="shared" si="0"/>
        <v>0.25</v>
      </c>
      <c r="H28" s="287">
        <f t="shared" si="1"/>
        <v>1.3862943611198906</v>
      </c>
      <c r="I28" s="49">
        <f t="shared" ref="I28:I31" si="2">(H28-H27)</f>
        <v>7.3032673601667764E-2</v>
      </c>
      <c r="K28" s="85">
        <f>D19*LN(K29/(1-K29))+E28</f>
        <v>1.0986122886681098</v>
      </c>
      <c r="U28"/>
    </row>
    <row r="29" spans="2:23" s="7" customFormat="1" ht="15.75" thickBot="1" x14ac:dyDescent="0.3">
      <c r="C29" s="25" t="s">
        <v>41</v>
      </c>
      <c r="D29" s="362">
        <v>0.5</v>
      </c>
      <c r="E29" s="364">
        <v>0</v>
      </c>
      <c r="F29" s="330">
        <f t="shared" si="0"/>
        <v>0.62245933120185459</v>
      </c>
      <c r="G29" s="229">
        <f t="shared" si="0"/>
        <v>0.37754066879814541</v>
      </c>
      <c r="H29" s="287">
        <f t="shared" si="1"/>
        <v>0.97407698418010669</v>
      </c>
      <c r="I29" s="49">
        <f t="shared" si="2"/>
        <v>-0.41221737693978389</v>
      </c>
      <c r="K29" s="84">
        <v>0.75</v>
      </c>
      <c r="L29" s="7" t="b">
        <f>K29=F28</f>
        <v>1</v>
      </c>
      <c r="U29"/>
    </row>
    <row r="30" spans="2:23" s="7" customFormat="1" x14ac:dyDescent="0.25">
      <c r="C30" s="25" t="s">
        <v>137</v>
      </c>
      <c r="D30" s="362">
        <v>2.1</v>
      </c>
      <c r="E30" s="364">
        <v>0.8</v>
      </c>
      <c r="F30" s="330">
        <f t="shared" si="0"/>
        <v>0.78583498304255861</v>
      </c>
      <c r="G30" s="229">
        <f t="shared" si="0"/>
        <v>0.21416501695744139</v>
      </c>
      <c r="H30" s="287">
        <f t="shared" si="1"/>
        <v>2.3410084538329925</v>
      </c>
      <c r="I30" s="49">
        <f t="shared" si="2"/>
        <v>1.3669314696528858</v>
      </c>
      <c r="U30"/>
    </row>
    <row r="31" spans="2:23" s="7" customFormat="1" x14ac:dyDescent="0.25">
      <c r="B31"/>
      <c r="C31" s="21" t="s">
        <v>138</v>
      </c>
      <c r="D31" s="362">
        <v>3</v>
      </c>
      <c r="E31" s="364">
        <v>1.1000000000000001</v>
      </c>
      <c r="F31" s="330">
        <f t="shared" si="0"/>
        <v>0.86989152563700223</v>
      </c>
      <c r="G31" s="229">
        <f t="shared" si="0"/>
        <v>0.13010847436299786</v>
      </c>
      <c r="H31" s="287">
        <f t="shared" si="1"/>
        <v>3.1393867582829604</v>
      </c>
      <c r="I31" s="49">
        <f t="shared" si="2"/>
        <v>0.79837830444996793</v>
      </c>
      <c r="U31"/>
    </row>
    <row r="32" spans="2:23" s="7" customFormat="1" ht="15.75" thickBot="1" x14ac:dyDescent="0.3">
      <c r="C32" s="25" t="s">
        <v>38</v>
      </c>
      <c r="D32" s="174">
        <v>3</v>
      </c>
      <c r="E32" s="175">
        <v>0.2</v>
      </c>
      <c r="F32" s="332">
        <f t="shared" si="0"/>
        <v>0.94267582410113127</v>
      </c>
      <c r="G32" s="221">
        <f t="shared" si="0"/>
        <v>5.7324175898868741E-2</v>
      </c>
      <c r="H32" s="288">
        <f t="shared" si="1"/>
        <v>3.0590328262879716</v>
      </c>
      <c r="I32" s="115">
        <f>(H32-H31)</f>
        <v>-8.0353931994988859E-2</v>
      </c>
      <c r="U32"/>
    </row>
    <row r="33" spans="2:22" s="7" customFormat="1" ht="16.5" thickTop="1" thickBot="1" x14ac:dyDescent="0.3">
      <c r="C33" s="25" t="s">
        <v>0</v>
      </c>
      <c r="D33" s="380">
        <f>D32</f>
        <v>3</v>
      </c>
      <c r="E33" s="377">
        <f>E32</f>
        <v>0.2</v>
      </c>
      <c r="F33" s="473">
        <v>1</v>
      </c>
      <c r="G33" s="474">
        <v>0</v>
      </c>
      <c r="H33" s="263">
        <f t="shared" si="1"/>
        <v>3.0590328262879716</v>
      </c>
      <c r="I33" s="8" t="s">
        <v>43</v>
      </c>
      <c r="J33" s="8"/>
      <c r="T33" s="8"/>
      <c r="U33" s="8"/>
      <c r="V33" s="8"/>
    </row>
    <row r="34" spans="2:22" s="7" customFormat="1" ht="15.75" thickBot="1" x14ac:dyDescent="0.3">
      <c r="B34"/>
      <c r="C34"/>
      <c r="D34" s="33"/>
      <c r="E34" s="33"/>
      <c r="F34" s="33"/>
      <c r="G34" s="33"/>
      <c r="H34" s="265">
        <f>SUMPRODUCT(D33:E33,F33:G33)</f>
        <v>3</v>
      </c>
      <c r="I34" t="s">
        <v>110</v>
      </c>
      <c r="T34"/>
      <c r="U34"/>
      <c r="V34"/>
    </row>
    <row r="35" spans="2:22" s="7" customFormat="1" ht="15.75" thickBot="1" x14ac:dyDescent="0.3">
      <c r="B35"/>
      <c r="C35"/>
      <c r="D35" s="33"/>
      <c r="E35" s="33"/>
      <c r="F35" s="33"/>
      <c r="G35" s="33"/>
      <c r="H35" s="265">
        <f>H33-H34</f>
        <v>5.9032826287971574E-2</v>
      </c>
      <c r="I35" s="7" t="s">
        <v>117</v>
      </c>
      <c r="T35"/>
      <c r="U35"/>
      <c r="V35"/>
    </row>
    <row r="36" spans="2:22" s="7" customFormat="1" ht="15.75" thickBot="1" x14ac:dyDescent="0.3">
      <c r="D36" s="17"/>
      <c r="E36" s="17"/>
      <c r="F36" s="17"/>
      <c r="G36" s="17"/>
      <c r="H36" s="265">
        <f>D20-H35</f>
        <v>0.63411435427197371</v>
      </c>
      <c r="I36" s="54" t="s">
        <v>103</v>
      </c>
    </row>
    <row r="37" spans="2:22" s="7" customFormat="1" ht="15" customHeight="1" x14ac:dyDescent="0.25">
      <c r="D37" s="17"/>
      <c r="E37" s="17"/>
      <c r="F37" s="17"/>
      <c r="G37" s="17"/>
      <c r="H37" s="53"/>
      <c r="I37" s="54"/>
      <c r="L37" s="257"/>
      <c r="M37" s="257"/>
      <c r="N37" s="257"/>
      <c r="O37" s="257"/>
      <c r="P37" s="257"/>
      <c r="Q37" s="257"/>
      <c r="R37" s="257"/>
      <c r="S37" s="257"/>
      <c r="T37" s="257"/>
      <c r="U37" s="257"/>
    </row>
    <row r="38" spans="2:22" s="7" customFormat="1" x14ac:dyDescent="0.25">
      <c r="D38" s="17"/>
      <c r="E38" s="17"/>
      <c r="F38" s="17"/>
      <c r="G38" s="17"/>
      <c r="H38" s="53"/>
      <c r="I38" s="54"/>
      <c r="K38" s="257"/>
      <c r="L38" s="257"/>
      <c r="M38" s="257"/>
      <c r="N38" s="257"/>
      <c r="O38" s="257"/>
      <c r="P38" s="257"/>
      <c r="Q38" s="257"/>
      <c r="R38" s="257"/>
      <c r="S38" s="257"/>
      <c r="T38" s="257"/>
      <c r="U38" s="257"/>
    </row>
    <row r="39" spans="2:22" s="7" customFormat="1" ht="15" customHeight="1" x14ac:dyDescent="0.25">
      <c r="C39" s="1206" t="s">
        <v>119</v>
      </c>
      <c r="D39" s="1206"/>
      <c r="E39" s="1206"/>
      <c r="F39" s="1206"/>
      <c r="G39" s="1206"/>
      <c r="H39" s="1206"/>
      <c r="I39" s="1206"/>
      <c r="J39" s="1206"/>
      <c r="K39" s="1206"/>
      <c r="L39" s="1206"/>
      <c r="M39" s="1206"/>
      <c r="N39" s="257"/>
      <c r="O39" s="257"/>
      <c r="P39" s="257"/>
      <c r="Q39" s="257"/>
      <c r="R39" s="257"/>
      <c r="S39" s="257"/>
      <c r="T39" s="257"/>
      <c r="U39" s="257"/>
    </row>
    <row r="40" spans="2:22" s="7" customFormat="1" x14ac:dyDescent="0.25">
      <c r="C40" s="1206"/>
      <c r="D40" s="1206"/>
      <c r="E40" s="1206"/>
      <c r="F40" s="1206"/>
      <c r="G40" s="1206"/>
      <c r="H40" s="1206"/>
      <c r="I40" s="1206"/>
      <c r="J40" s="1206"/>
      <c r="K40" s="1206"/>
      <c r="L40" s="1206"/>
      <c r="M40" s="1206"/>
      <c r="N40" s="257"/>
      <c r="O40" s="257"/>
      <c r="P40" s="257"/>
      <c r="Q40" s="257"/>
      <c r="R40" s="257"/>
      <c r="S40" s="257"/>
      <c r="T40" s="257"/>
      <c r="U40" s="257"/>
    </row>
    <row r="41" spans="2:22" s="7" customFormat="1" x14ac:dyDescent="0.25">
      <c r="C41" s="1206"/>
      <c r="D41" s="1206"/>
      <c r="E41" s="1206"/>
      <c r="F41" s="1206"/>
      <c r="G41" s="1206"/>
      <c r="H41" s="1206"/>
      <c r="I41" s="1206"/>
      <c r="J41" s="1206"/>
      <c r="K41" s="1206"/>
      <c r="L41" s="1206"/>
      <c r="M41" s="1206"/>
      <c r="N41" s="257"/>
      <c r="O41" s="257"/>
      <c r="P41" s="257"/>
      <c r="Q41" s="257"/>
      <c r="R41" s="257"/>
      <c r="S41" s="257"/>
      <c r="T41" s="257"/>
      <c r="U41" s="257"/>
    </row>
    <row r="42" spans="2:22" s="7" customFormat="1" x14ac:dyDescent="0.25">
      <c r="C42" s="1206"/>
      <c r="D42" s="1206"/>
      <c r="E42" s="1206"/>
      <c r="F42" s="1206"/>
      <c r="G42" s="1206"/>
      <c r="H42" s="1206"/>
      <c r="I42" s="1206"/>
      <c r="J42" s="1206"/>
      <c r="K42" s="1206"/>
      <c r="L42" s="1206"/>
      <c r="M42" s="1206"/>
      <c r="N42" s="257"/>
      <c r="O42" s="257"/>
      <c r="P42" s="257"/>
      <c r="Q42" s="257"/>
      <c r="R42" s="257"/>
      <c r="S42" s="257"/>
      <c r="T42" s="257"/>
      <c r="U42" s="257"/>
    </row>
    <row r="43" spans="2:22" s="7" customFormat="1" x14ac:dyDescent="0.25">
      <c r="C43" s="1206"/>
      <c r="D43" s="1206"/>
      <c r="E43" s="1206"/>
      <c r="F43" s="1206"/>
      <c r="G43" s="1206"/>
      <c r="H43" s="1206"/>
      <c r="I43" s="1206"/>
      <c r="J43" s="1206"/>
      <c r="K43" s="1206"/>
      <c r="L43" s="1206"/>
      <c r="M43" s="1206"/>
      <c r="N43" s="257"/>
      <c r="O43" s="257"/>
      <c r="P43" s="257"/>
      <c r="Q43" s="257"/>
      <c r="R43" s="257"/>
      <c r="S43" s="257"/>
      <c r="T43" s="257"/>
      <c r="U43" s="257"/>
    </row>
    <row r="44" spans="2:22" s="7" customFormat="1" x14ac:dyDescent="0.25">
      <c r="C44" s="1206"/>
      <c r="D44" s="1206"/>
      <c r="E44" s="1206"/>
      <c r="F44" s="1206"/>
      <c r="G44" s="1206"/>
      <c r="H44" s="1206"/>
      <c r="I44" s="1206"/>
      <c r="J44" s="1206"/>
      <c r="K44" s="1206"/>
      <c r="L44" s="1206"/>
      <c r="M44" s="1206"/>
      <c r="N44" s="257"/>
      <c r="O44" s="257"/>
      <c r="P44" s="257"/>
      <c r="Q44" s="257"/>
      <c r="R44" s="257"/>
      <c r="S44" s="257"/>
      <c r="T44" s="257"/>
      <c r="U44" s="257"/>
    </row>
    <row r="45" spans="2:22" s="7" customFormat="1" x14ac:dyDescent="0.25">
      <c r="C45" s="1206"/>
      <c r="D45" s="1206"/>
      <c r="E45" s="1206"/>
      <c r="F45" s="1206"/>
      <c r="G45" s="1206"/>
      <c r="H45" s="1206"/>
      <c r="I45" s="1206"/>
      <c r="J45" s="1206"/>
      <c r="K45" s="1206"/>
      <c r="L45" s="1206"/>
      <c r="M45" s="1206"/>
      <c r="N45" s="257"/>
      <c r="O45" s="257"/>
      <c r="P45" s="257"/>
      <c r="Q45" s="257"/>
      <c r="R45" s="257"/>
      <c r="S45" s="257"/>
      <c r="T45" s="257"/>
      <c r="U45" s="257"/>
    </row>
    <row r="46" spans="2:22" s="7" customFormat="1" x14ac:dyDescent="0.25">
      <c r="C46" s="1206"/>
      <c r="D46" s="1206"/>
      <c r="E46" s="1206"/>
      <c r="F46" s="1206"/>
      <c r="G46" s="1206"/>
      <c r="H46" s="1206"/>
      <c r="I46" s="1206"/>
      <c r="J46" s="1206"/>
      <c r="K46" s="1206"/>
      <c r="L46" s="1206"/>
      <c r="M46" s="1206"/>
      <c r="N46" s="257"/>
      <c r="O46" s="257"/>
      <c r="P46" s="257"/>
      <c r="Q46" s="257"/>
      <c r="R46" s="257"/>
      <c r="S46" s="257"/>
      <c r="T46" s="257"/>
      <c r="U46" s="257"/>
    </row>
    <row r="47" spans="2:22" s="7" customFormat="1" x14ac:dyDescent="0.25">
      <c r="D47" s="17"/>
      <c r="E47" s="17"/>
      <c r="F47" s="17"/>
      <c r="G47" s="17"/>
      <c r="H47" s="53"/>
      <c r="I47" s="54"/>
      <c r="K47" s="257"/>
      <c r="L47" s="257"/>
      <c r="M47" s="257"/>
      <c r="N47" s="257"/>
      <c r="O47" s="257"/>
      <c r="P47" s="257"/>
      <c r="Q47" s="257"/>
      <c r="R47" s="257"/>
      <c r="S47" s="257"/>
      <c r="T47" s="257"/>
      <c r="U47" s="257"/>
    </row>
    <row r="48" spans="2:22" s="7" customFormat="1" x14ac:dyDescent="0.25">
      <c r="D48" s="17"/>
      <c r="E48" s="17"/>
      <c r="F48" s="17"/>
      <c r="G48" s="17"/>
      <c r="H48" s="53"/>
      <c r="I48" s="54"/>
    </row>
    <row r="49" spans="1:26" s="7" customFormat="1" x14ac:dyDescent="0.25">
      <c r="D49" s="17"/>
      <c r="E49" s="17"/>
      <c r="F49" s="17"/>
      <c r="G49" s="17"/>
      <c r="H49" s="53"/>
      <c r="I49" s="54"/>
    </row>
    <row r="50" spans="1:26" s="7" customFormat="1" ht="15.75" thickBot="1" x14ac:dyDescent="0.3">
      <c r="A50" s="13"/>
      <c r="B50" s="13"/>
      <c r="C50" s="13"/>
      <c r="D50" s="240"/>
      <c r="E50" s="240"/>
      <c r="F50" s="240"/>
      <c r="G50" s="240"/>
      <c r="H50" s="240"/>
      <c r="I50" s="240"/>
      <c r="J50" s="13"/>
      <c r="K50" s="13"/>
      <c r="L50" s="13"/>
      <c r="M50" s="13"/>
      <c r="N50" s="13"/>
      <c r="O50" s="13"/>
      <c r="P50" s="13"/>
      <c r="Q50" s="13"/>
      <c r="R50" s="13"/>
      <c r="S50" s="13"/>
      <c r="T50" s="13"/>
      <c r="U50" s="13"/>
      <c r="V50" s="13"/>
      <c r="W50" s="13"/>
      <c r="X50" s="13"/>
      <c r="Y50" s="13"/>
      <c r="Z50" s="13"/>
    </row>
    <row r="51" spans="1:26" ht="21.75" thickTop="1" x14ac:dyDescent="0.35">
      <c r="C51" s="141" t="s">
        <v>128</v>
      </c>
    </row>
    <row r="53" spans="1:26" x14ac:dyDescent="0.25">
      <c r="B53" s="1172" t="s">
        <v>163</v>
      </c>
      <c r="C53" s="152" t="s">
        <v>4</v>
      </c>
      <c r="D53" s="266" t="s">
        <v>133</v>
      </c>
      <c r="E53" s="266"/>
      <c r="F53" s="266"/>
      <c r="G53" s="266"/>
      <c r="H53" s="261"/>
    </row>
    <row r="54" spans="1:26" x14ac:dyDescent="0.25">
      <c r="B54" s="1173"/>
      <c r="C54" s="17" t="s">
        <v>134</v>
      </c>
      <c r="D54" s="17" t="s">
        <v>3</v>
      </c>
      <c r="E54" s="17"/>
      <c r="F54" s="17"/>
      <c r="G54" s="17"/>
      <c r="H54" s="241"/>
      <c r="M54" s="7"/>
      <c r="N54" s="7"/>
      <c r="O54" s="7"/>
      <c r="P54" s="7"/>
      <c r="Q54" s="7"/>
      <c r="R54" s="7"/>
      <c r="S54" s="7"/>
    </row>
    <row r="55" spans="1:26" x14ac:dyDescent="0.25">
      <c r="B55" s="1174"/>
      <c r="C55" s="259" t="s">
        <v>135</v>
      </c>
      <c r="D55" s="259" t="s">
        <v>2</v>
      </c>
      <c r="E55" s="259"/>
      <c r="F55" s="259"/>
      <c r="G55" s="259"/>
      <c r="H55" s="262"/>
      <c r="M55" s="18"/>
      <c r="N55" s="7"/>
      <c r="O55" s="7"/>
      <c r="P55" s="7"/>
      <c r="Q55" s="7"/>
      <c r="R55" s="7"/>
      <c r="S55" s="7"/>
    </row>
    <row r="56" spans="1:26" x14ac:dyDescent="0.25">
      <c r="B56" s="258"/>
      <c r="C56" s="33"/>
      <c r="M56" s="7"/>
      <c r="N56" s="7"/>
      <c r="O56" s="7"/>
      <c r="P56" s="7"/>
      <c r="Q56" s="7"/>
      <c r="R56" s="7"/>
      <c r="S56" s="7"/>
    </row>
    <row r="57" spans="1:26" x14ac:dyDescent="0.25">
      <c r="B57" s="1172" t="s">
        <v>167</v>
      </c>
      <c r="C57" s="152" t="s">
        <v>4</v>
      </c>
      <c r="D57" s="266" t="s">
        <v>144</v>
      </c>
      <c r="E57" s="266"/>
      <c r="F57" s="266"/>
      <c r="G57" s="266"/>
      <c r="H57" s="261"/>
      <c r="M57" s="18"/>
    </row>
    <row r="58" spans="1:26" x14ac:dyDescent="0.25">
      <c r="B58" s="1173"/>
      <c r="C58" s="17" t="s">
        <v>134</v>
      </c>
      <c r="D58" s="17" t="s">
        <v>3</v>
      </c>
      <c r="E58" s="17"/>
      <c r="F58" s="17"/>
      <c r="G58" s="17"/>
      <c r="H58" s="241"/>
      <c r="M58" s="18"/>
    </row>
    <row r="59" spans="1:26" x14ac:dyDescent="0.25">
      <c r="B59" s="1174"/>
      <c r="C59" s="259" t="s">
        <v>135</v>
      </c>
      <c r="D59" s="259" t="s">
        <v>2</v>
      </c>
      <c r="E59" s="259"/>
      <c r="F59" s="259"/>
      <c r="G59" s="259"/>
      <c r="H59" s="262"/>
      <c r="M59" s="18"/>
    </row>
    <row r="60" spans="1:26" ht="15.75" thickBot="1" x14ac:dyDescent="0.3">
      <c r="B60" s="257"/>
      <c r="C60" s="7"/>
      <c r="D60" s="255"/>
      <c r="E60" s="7"/>
      <c r="F60" s="17"/>
      <c r="G60" s="17"/>
      <c r="H60" s="17"/>
      <c r="M60" s="18"/>
    </row>
    <row r="61" spans="1:26" x14ac:dyDescent="0.25">
      <c r="B61" s="1175" t="s">
        <v>152</v>
      </c>
      <c r="C61" s="10" t="s">
        <v>164</v>
      </c>
      <c r="D61" s="276" t="s">
        <v>168</v>
      </c>
      <c r="E61" s="253" t="s">
        <v>166</v>
      </c>
      <c r="F61" s="253"/>
      <c r="G61" s="253"/>
      <c r="H61" s="251"/>
      <c r="M61" s="18"/>
    </row>
    <row r="62" spans="1:26" x14ac:dyDescent="0.25">
      <c r="B62" s="1176"/>
      <c r="C62" s="17" t="s">
        <v>139</v>
      </c>
      <c r="D62" s="256">
        <f>COUNTA(D68:G68)</f>
        <v>4</v>
      </c>
      <c r="E62" s="17" t="s">
        <v>140</v>
      </c>
      <c r="F62" s="17"/>
      <c r="G62" s="17"/>
      <c r="H62" s="197"/>
      <c r="M62" s="18"/>
    </row>
    <row r="63" spans="1:26" x14ac:dyDescent="0.25">
      <c r="B63" s="1176"/>
      <c r="C63" s="17" t="s">
        <v>5</v>
      </c>
      <c r="D63" s="255">
        <v>8</v>
      </c>
      <c r="E63" s="17" t="s">
        <v>143</v>
      </c>
      <c r="F63" s="17"/>
      <c r="G63" s="17"/>
      <c r="H63" s="197"/>
      <c r="M63" s="18"/>
    </row>
    <row r="64" spans="1:26" ht="15.75" thickBot="1" x14ac:dyDescent="0.3">
      <c r="B64" s="1177"/>
      <c r="C64" s="168" t="s">
        <v>141</v>
      </c>
      <c r="D64" s="277">
        <f>L69</f>
        <v>11.090364888959126</v>
      </c>
      <c r="E64" s="168" t="s">
        <v>142</v>
      </c>
      <c r="F64" s="254"/>
      <c r="G64" s="254"/>
      <c r="H64" s="252"/>
      <c r="M64" s="18"/>
    </row>
    <row r="65" spans="1:45" x14ac:dyDescent="0.25">
      <c r="M65" s="18"/>
    </row>
    <row r="67" spans="1:45" ht="27.75" customHeight="1" x14ac:dyDescent="0.25">
      <c r="B67" s="7"/>
      <c r="D67" s="36" t="s">
        <v>12</v>
      </c>
      <c r="E67" s="37"/>
      <c r="F67" s="37"/>
      <c r="G67" s="38"/>
      <c r="H67" s="14" t="s">
        <v>13</v>
      </c>
      <c r="I67" s="15"/>
      <c r="J67" s="15"/>
      <c r="K67" s="16"/>
      <c r="L67" s="14" t="s">
        <v>36</v>
      </c>
      <c r="M67" s="16" t="s">
        <v>35</v>
      </c>
      <c r="N67" s="20"/>
      <c r="O67" s="20"/>
      <c r="P67" s="20"/>
      <c r="Q67" s="20"/>
      <c r="R67" s="20"/>
      <c r="S67" s="20"/>
      <c r="U67" s="20"/>
      <c r="V67" s="20"/>
      <c r="W67" s="20"/>
      <c r="X67" s="30"/>
      <c r="Y67" s="31"/>
      <c r="Z67" s="7"/>
      <c r="AA67" s="7"/>
      <c r="AB67" s="7"/>
      <c r="AC67" s="31"/>
      <c r="AD67" s="7"/>
      <c r="AE67" s="7"/>
      <c r="AF67" s="7"/>
      <c r="AG67" s="7"/>
      <c r="AH67" s="7"/>
      <c r="AI67" s="7"/>
      <c r="AJ67" s="7"/>
      <c r="AK67" s="7"/>
      <c r="AL67" s="7"/>
      <c r="AM67" s="7"/>
      <c r="AN67" s="7"/>
      <c r="AO67" s="7"/>
      <c r="AP67" s="7"/>
      <c r="AQ67" s="7"/>
      <c r="AR67" s="7"/>
      <c r="AS67" s="7"/>
    </row>
    <row r="68" spans="1:45" ht="15.75" thickBot="1" x14ac:dyDescent="0.3">
      <c r="B68" s="32"/>
      <c r="C68" s="117" t="s">
        <v>34</v>
      </c>
      <c r="D68" s="174" t="s">
        <v>6</v>
      </c>
      <c r="E68" s="178" t="s">
        <v>7</v>
      </c>
      <c r="F68" s="175" t="s">
        <v>8</v>
      </c>
      <c r="G68" s="179" t="s">
        <v>9</v>
      </c>
      <c r="H68" s="371" t="s">
        <v>6</v>
      </c>
      <c r="I68" s="372" t="s">
        <v>7</v>
      </c>
      <c r="J68" s="373" t="s">
        <v>8</v>
      </c>
      <c r="K68" s="374" t="s">
        <v>9</v>
      </c>
      <c r="L68" s="42">
        <v>0</v>
      </c>
      <c r="M68" s="35"/>
      <c r="N68" s="7"/>
      <c r="O68" s="7"/>
      <c r="P68" s="7"/>
      <c r="Q68" s="7"/>
      <c r="R68" s="7"/>
      <c r="S68" s="7"/>
      <c r="U68" s="7"/>
      <c r="V68" s="7"/>
      <c r="W68" s="7"/>
      <c r="X68" s="7"/>
      <c r="Y68" s="7"/>
      <c r="Z68" s="7"/>
      <c r="AA68" s="7"/>
      <c r="AB68" s="7"/>
      <c r="AC68" s="7"/>
      <c r="AD68" s="7"/>
      <c r="AE68" s="7"/>
      <c r="AF68" s="7"/>
      <c r="AG68" s="7"/>
      <c r="AH68" s="7"/>
      <c r="AI68" s="7"/>
      <c r="AJ68" s="7"/>
      <c r="AK68" s="7"/>
      <c r="AL68" s="7"/>
      <c r="AM68" s="7"/>
      <c r="AN68" s="7"/>
      <c r="AO68" s="7"/>
      <c r="AP68" s="18"/>
      <c r="AQ68" s="18"/>
      <c r="AR68" s="18"/>
      <c r="AS68" s="18"/>
    </row>
    <row r="69" spans="1:45" ht="15.75" thickTop="1" x14ac:dyDescent="0.25">
      <c r="B69" s="7"/>
      <c r="C69">
        <v>1</v>
      </c>
      <c r="D69" s="354">
        <v>1.0000000000000001E-5</v>
      </c>
      <c r="E69" s="355">
        <v>1.0000000000000001E-5</v>
      </c>
      <c r="F69" s="356">
        <v>1.0000000000000001E-5</v>
      </c>
      <c r="G69" s="357">
        <v>1.0000000000000001E-5</v>
      </c>
      <c r="H69" s="358">
        <f t="shared" ref="H69:K75" si="3">EXP(D69/$D$63)/(EXP($D69/$D$63)+EXP($E69/$D$63)+EXP($F69/$D$63)+EXP($G69/$D$63))</f>
        <v>0.25</v>
      </c>
      <c r="I69" s="359">
        <f t="shared" si="3"/>
        <v>0.25</v>
      </c>
      <c r="J69" s="360">
        <f t="shared" si="3"/>
        <v>0.25</v>
      </c>
      <c r="K69" s="361">
        <f t="shared" si="3"/>
        <v>0.25</v>
      </c>
      <c r="L69" s="264">
        <f>$D$63*LN(EXP($D69/$D$63)+EXP($E69/$D$63)+EXP($F69/$D$63)+EXP($G69/$D$63))</f>
        <v>11.090364888959126</v>
      </c>
      <c r="M69" s="410">
        <f>(L69-0)</f>
        <v>11.090364888959126</v>
      </c>
      <c r="N69" s="7"/>
      <c r="O69" s="7"/>
      <c r="P69" s="7"/>
      <c r="Q69" s="7"/>
      <c r="R69" s="7"/>
      <c r="S69" s="7"/>
      <c r="U69" s="7"/>
      <c r="V69" s="7"/>
      <c r="W69" s="7"/>
      <c r="X69" s="7"/>
      <c r="Y69" s="8"/>
      <c r="Z69" s="8"/>
      <c r="AA69" s="8"/>
      <c r="AB69" s="8"/>
      <c r="AC69" s="7"/>
      <c r="AD69" s="7"/>
      <c r="AE69" s="7"/>
      <c r="AF69" s="7"/>
      <c r="AG69" s="7"/>
      <c r="AH69" s="7"/>
      <c r="AI69" s="7"/>
      <c r="AJ69" s="7"/>
      <c r="AK69" s="7"/>
      <c r="AL69" s="7"/>
      <c r="AM69" s="7"/>
      <c r="AN69" s="7"/>
      <c r="AO69" s="7"/>
      <c r="AP69" s="19"/>
      <c r="AQ69" s="19"/>
      <c r="AR69" s="19"/>
      <c r="AS69" s="19"/>
    </row>
    <row r="70" spans="1:45" ht="15.75" thickBot="1" x14ac:dyDescent="0.3">
      <c r="A70" s="7"/>
      <c r="B70" s="7"/>
      <c r="C70" s="7">
        <v>2</v>
      </c>
      <c r="D70" s="362">
        <v>1</v>
      </c>
      <c r="E70" s="363">
        <v>1</v>
      </c>
      <c r="F70" s="364">
        <v>1</v>
      </c>
      <c r="G70" s="365">
        <v>1</v>
      </c>
      <c r="H70" s="366">
        <f t="shared" si="3"/>
        <v>0.25</v>
      </c>
      <c r="I70" s="367">
        <f t="shared" si="3"/>
        <v>0.25</v>
      </c>
      <c r="J70" s="368">
        <f t="shared" si="3"/>
        <v>0.25</v>
      </c>
      <c r="K70" s="369">
        <f t="shared" si="3"/>
        <v>0.25</v>
      </c>
      <c r="L70" s="287">
        <f t="shared" ref="L70:L76" si="4">$D$63*LN(EXP($D70/$D$63)+EXP($E70/$D$63)+EXP($F70/$D$63)+EXP($G70/$D$63))</f>
        <v>12.090354888959125</v>
      </c>
      <c r="M70" s="411">
        <f t="shared" ref="M70:M74" si="5">(L70-L69)</f>
        <v>0.9999899999999986</v>
      </c>
      <c r="N70" s="7"/>
      <c r="O70" s="7" t="s">
        <v>115</v>
      </c>
      <c r="P70" s="7"/>
      <c r="Q70" s="7"/>
      <c r="R70" s="7"/>
      <c r="S70" s="7"/>
      <c r="T70" s="7"/>
      <c r="U70" s="7"/>
      <c r="V70" s="7"/>
      <c r="W70" s="7"/>
      <c r="X70" s="7"/>
      <c r="Y70" s="29"/>
      <c r="Z70" s="29"/>
      <c r="AA70" s="29"/>
      <c r="AB70" s="29"/>
      <c r="AC70" s="7"/>
      <c r="AD70" s="7"/>
      <c r="AE70" s="7"/>
      <c r="AF70" s="7"/>
      <c r="AG70" s="7"/>
      <c r="AH70" s="7"/>
      <c r="AI70" s="7"/>
      <c r="AJ70" s="7"/>
      <c r="AK70" s="8"/>
      <c r="AL70" s="8"/>
      <c r="AM70" s="8"/>
      <c r="AN70" s="8"/>
      <c r="AO70" s="7"/>
      <c r="AP70" s="19"/>
      <c r="AQ70" s="19"/>
      <c r="AR70" s="19"/>
      <c r="AS70" s="19"/>
    </row>
    <row r="71" spans="1:45" ht="15.75" thickBot="1" x14ac:dyDescent="0.3">
      <c r="A71" s="17"/>
      <c r="B71" s="17"/>
      <c r="C71" s="17">
        <v>3</v>
      </c>
      <c r="D71" s="370">
        <f>O71</f>
        <v>4.2092725428500977</v>
      </c>
      <c r="E71" s="363">
        <v>0.2</v>
      </c>
      <c r="F71" s="364">
        <v>0.8</v>
      </c>
      <c r="G71" s="365">
        <v>0.1</v>
      </c>
      <c r="H71" s="366">
        <f t="shared" si="3"/>
        <v>0.35</v>
      </c>
      <c r="I71" s="367">
        <f t="shared" si="3"/>
        <v>0.21203981987370624</v>
      </c>
      <c r="J71" s="368">
        <f t="shared" si="3"/>
        <v>0.22855436119830008</v>
      </c>
      <c r="K71" s="369">
        <f t="shared" si="3"/>
        <v>0.20940581892799362</v>
      </c>
      <c r="L71" s="287">
        <f>$D$63*LN(EXP($D71/$D$63)+EXP($E71/$D$63)+EXP($F71/$D$63)+EXP($G71/$D$63))</f>
        <v>12.60784953883952</v>
      </c>
      <c r="M71" s="411">
        <f t="shared" si="5"/>
        <v>0.51749464988039584</v>
      </c>
      <c r="N71" s="7"/>
      <c r="O71" s="85">
        <f>D63*LN(O72/(1-O72))+D63*LN((SUM((EXP(E71/D63)+EXP(F71/D63)+EXP(G71/D63)))))</f>
        <v>4.2092725428500977</v>
      </c>
      <c r="P71" s="313"/>
      <c r="Q71" s="313"/>
      <c r="R71" s="313"/>
      <c r="S71" s="313"/>
      <c r="V71" s="7"/>
      <c r="W71" s="7"/>
      <c r="X71" s="7"/>
      <c r="Y71" s="29"/>
      <c r="Z71" s="29"/>
      <c r="AA71" s="29"/>
      <c r="AB71" s="29"/>
      <c r="AC71" s="7"/>
      <c r="AD71" s="7"/>
      <c r="AE71" s="7"/>
      <c r="AF71" s="7"/>
      <c r="AG71" s="7"/>
      <c r="AH71" s="7"/>
      <c r="AI71" s="7"/>
      <c r="AJ71" s="7"/>
      <c r="AK71" s="8"/>
      <c r="AL71" s="8"/>
      <c r="AM71" s="8"/>
      <c r="AN71" s="8"/>
      <c r="AO71" s="7"/>
      <c r="AP71" s="19"/>
      <c r="AQ71" s="19"/>
      <c r="AR71" s="19"/>
      <c r="AS71" s="19"/>
    </row>
    <row r="72" spans="1:45" ht="15.75" thickBot="1" x14ac:dyDescent="0.3">
      <c r="A72" s="7"/>
      <c r="B72" s="7"/>
      <c r="C72" s="7">
        <v>4</v>
      </c>
      <c r="D72" s="408">
        <v>4.2092725428500977</v>
      </c>
      <c r="E72" s="409">
        <v>0.477679447154433</v>
      </c>
      <c r="F72" s="364">
        <v>1.151999999999999</v>
      </c>
      <c r="G72" s="365">
        <v>0.1</v>
      </c>
      <c r="H72" s="366">
        <f t="shared" si="3"/>
        <v>0.34388908334498003</v>
      </c>
      <c r="I72" s="367">
        <f t="shared" si="3"/>
        <v>0.21569600589575436</v>
      </c>
      <c r="J72" s="368">
        <f t="shared" si="3"/>
        <v>0.23466526756425818</v>
      </c>
      <c r="K72" s="369">
        <f t="shared" si="3"/>
        <v>0.20574964319500744</v>
      </c>
      <c r="L72" s="287">
        <f t="shared" si="4"/>
        <v>12.748761388752838</v>
      </c>
      <c r="M72" s="411">
        <f t="shared" si="5"/>
        <v>0.14091184991331751</v>
      </c>
      <c r="N72" s="7"/>
      <c r="O72" s="84">
        <v>0.35</v>
      </c>
      <c r="P72" s="7" t="b">
        <f>O72=H71</f>
        <v>1</v>
      </c>
      <c r="Q72" s="150"/>
      <c r="R72" s="150"/>
      <c r="S72" s="150"/>
      <c r="U72" s="7"/>
      <c r="V72" s="7"/>
      <c r="W72" s="7"/>
      <c r="X72" s="7"/>
      <c r="Y72" s="29"/>
      <c r="Z72" s="29"/>
      <c r="AA72" s="29"/>
      <c r="AB72" s="29"/>
      <c r="AC72" s="7"/>
      <c r="AD72" s="7"/>
      <c r="AE72" s="7"/>
      <c r="AF72" s="21"/>
      <c r="AG72" s="7"/>
      <c r="AH72" s="7"/>
      <c r="AI72" s="7"/>
      <c r="AJ72" s="7"/>
      <c r="AK72" s="8"/>
      <c r="AL72" s="8"/>
      <c r="AM72" s="8"/>
      <c r="AN72" s="8"/>
      <c r="AO72" s="7"/>
      <c r="AP72" s="19"/>
      <c r="AQ72" s="19"/>
      <c r="AR72" s="19"/>
      <c r="AS72" s="19"/>
    </row>
    <row r="73" spans="1:45" x14ac:dyDescent="0.25">
      <c r="A73" s="7"/>
      <c r="B73" s="7"/>
      <c r="C73" s="7">
        <v>5</v>
      </c>
      <c r="D73" s="362">
        <v>7</v>
      </c>
      <c r="E73" s="363">
        <v>4</v>
      </c>
      <c r="F73" s="364">
        <v>4.24</v>
      </c>
      <c r="G73" s="365">
        <v>3.1880000000000002</v>
      </c>
      <c r="H73" s="366">
        <f t="shared" si="3"/>
        <v>0.33151414279912189</v>
      </c>
      <c r="I73" s="367">
        <f t="shared" si="3"/>
        <v>0.22784611611341585</v>
      </c>
      <c r="J73" s="368">
        <f t="shared" si="3"/>
        <v>0.23478506339276881</v>
      </c>
      <c r="K73" s="369">
        <f t="shared" si="3"/>
        <v>0.20585467769469348</v>
      </c>
      <c r="L73" s="287">
        <f t="shared" si="4"/>
        <v>15.832678457777227</v>
      </c>
      <c r="M73" s="411">
        <f t="shared" si="5"/>
        <v>3.0839170690243893</v>
      </c>
      <c r="N73" s="7"/>
      <c r="O73" s="7"/>
      <c r="P73" s="7"/>
      <c r="Q73" s="7"/>
      <c r="R73" s="7"/>
      <c r="S73" s="7"/>
      <c r="U73" s="7"/>
      <c r="V73" s="7"/>
      <c r="W73" s="7"/>
      <c r="X73" s="7"/>
      <c r="Y73" s="29"/>
      <c r="Z73" s="29"/>
      <c r="AA73" s="29"/>
      <c r="AB73" s="29"/>
      <c r="AC73" s="7"/>
      <c r="AD73" s="7"/>
      <c r="AE73" s="7"/>
      <c r="AF73" s="7"/>
      <c r="AG73" s="7"/>
      <c r="AH73" s="7"/>
      <c r="AI73" s="7"/>
      <c r="AJ73" s="7"/>
      <c r="AK73" s="8"/>
      <c r="AL73" s="8"/>
      <c r="AM73" s="8"/>
      <c r="AN73" s="8"/>
      <c r="AO73" s="7"/>
      <c r="AP73" s="19"/>
      <c r="AQ73" s="19"/>
      <c r="AR73" s="19"/>
      <c r="AS73" s="19"/>
    </row>
    <row r="74" spans="1:45" x14ac:dyDescent="0.25">
      <c r="A74" s="7"/>
      <c r="B74" s="7"/>
      <c r="C74" s="7">
        <v>6</v>
      </c>
      <c r="D74" s="362">
        <v>11</v>
      </c>
      <c r="E74" s="363">
        <v>5</v>
      </c>
      <c r="F74" s="364">
        <v>2</v>
      </c>
      <c r="G74" s="365">
        <v>3.4</v>
      </c>
      <c r="H74" s="366">
        <f t="shared" si="3"/>
        <v>0.45792577025660447</v>
      </c>
      <c r="I74" s="367">
        <f t="shared" si="3"/>
        <v>0.21630881750738612</v>
      </c>
      <c r="J74" s="368">
        <f t="shared" si="3"/>
        <v>0.14866673118077942</v>
      </c>
      <c r="K74" s="369">
        <f t="shared" si="3"/>
        <v>0.17709868105523</v>
      </c>
      <c r="L74" s="287">
        <f t="shared" si="4"/>
        <v>17.248385453430764</v>
      </c>
      <c r="M74" s="411">
        <f t="shared" si="5"/>
        <v>1.4157069956535366</v>
      </c>
      <c r="N74" s="7"/>
      <c r="O74" s="7"/>
      <c r="P74" s="7"/>
      <c r="Q74" s="7"/>
      <c r="R74" s="7"/>
      <c r="S74" s="7"/>
      <c r="U74" s="7"/>
      <c r="V74" s="7"/>
      <c r="W74" s="7"/>
      <c r="X74" s="7"/>
      <c r="Y74" s="29"/>
      <c r="Z74" s="29"/>
      <c r="AA74" s="29"/>
      <c r="AB74" s="29"/>
      <c r="AC74" s="7"/>
      <c r="AD74" s="7"/>
      <c r="AE74" s="7"/>
      <c r="AF74" s="7"/>
      <c r="AG74" s="7"/>
      <c r="AH74" s="7"/>
      <c r="AI74" s="7"/>
      <c r="AJ74" s="7"/>
      <c r="AK74" s="8"/>
      <c r="AL74" s="8"/>
      <c r="AM74" s="8"/>
      <c r="AN74" s="8"/>
      <c r="AO74" s="7"/>
      <c r="AP74" s="19"/>
      <c r="AQ74" s="19"/>
      <c r="AR74" s="19"/>
      <c r="AS74" s="19"/>
    </row>
    <row r="75" spans="1:45" ht="15.75" thickBot="1" x14ac:dyDescent="0.3">
      <c r="A75" s="7"/>
      <c r="B75" s="7"/>
      <c r="C75" s="7">
        <v>7</v>
      </c>
      <c r="D75" s="174">
        <v>10</v>
      </c>
      <c r="E75" s="178">
        <v>0</v>
      </c>
      <c r="F75" s="175">
        <v>0</v>
      </c>
      <c r="G75" s="179">
        <v>0</v>
      </c>
      <c r="H75" s="371">
        <f t="shared" si="3"/>
        <v>0.53777481102890734</v>
      </c>
      <c r="I75" s="372">
        <f t="shared" si="3"/>
        <v>0.15407506299036422</v>
      </c>
      <c r="J75" s="373">
        <f t="shared" si="3"/>
        <v>0.15407506299036422</v>
      </c>
      <c r="K75" s="374">
        <f t="shared" si="3"/>
        <v>0.15407506299036422</v>
      </c>
      <c r="L75" s="288">
        <f t="shared" si="4"/>
        <v>14.962522986437438</v>
      </c>
      <c r="M75" s="412">
        <f>(L75-L74)</f>
        <v>-2.2858624669933256</v>
      </c>
      <c r="N75" s="7"/>
      <c r="O75" s="7"/>
      <c r="P75" s="7"/>
      <c r="Q75" s="7"/>
      <c r="R75" s="7"/>
      <c r="S75" s="7"/>
      <c r="U75" s="7"/>
      <c r="V75" s="7"/>
      <c r="W75" s="7"/>
      <c r="X75" s="7"/>
      <c r="Y75" s="29"/>
      <c r="Z75" s="29"/>
      <c r="AA75" s="29"/>
      <c r="AB75" s="29"/>
      <c r="AC75" s="7"/>
      <c r="AD75" s="7"/>
      <c r="AE75" s="7"/>
      <c r="AF75" s="7"/>
      <c r="AG75" s="7"/>
      <c r="AH75" s="7"/>
      <c r="AI75" s="7"/>
      <c r="AJ75" s="7"/>
      <c r="AK75" s="29"/>
      <c r="AL75" s="8"/>
      <c r="AM75" s="8"/>
      <c r="AN75" s="8"/>
      <c r="AO75" s="7"/>
      <c r="AP75" s="19"/>
      <c r="AQ75" s="19"/>
      <c r="AR75" s="19"/>
      <c r="AS75" s="19"/>
    </row>
    <row r="76" spans="1:45" ht="16.5" thickTop="1" thickBot="1" x14ac:dyDescent="0.3">
      <c r="A76" s="7"/>
      <c r="B76" s="7"/>
      <c r="C76" s="7">
        <v>8</v>
      </c>
      <c r="D76" s="375">
        <f>D75</f>
        <v>10</v>
      </c>
      <c r="E76" s="376">
        <f>E75</f>
        <v>0</v>
      </c>
      <c r="F76" s="377">
        <f>F75</f>
        <v>0</v>
      </c>
      <c r="G76" s="378">
        <f>G75</f>
        <v>0</v>
      </c>
      <c r="H76" s="559">
        <v>1</v>
      </c>
      <c r="I76" s="560">
        <v>0</v>
      </c>
      <c r="J76" s="560">
        <v>0</v>
      </c>
      <c r="K76" s="561">
        <v>0</v>
      </c>
      <c r="L76" s="263">
        <f t="shared" si="4"/>
        <v>14.962522986437438</v>
      </c>
      <c r="M76" s="8" t="s">
        <v>43</v>
      </c>
      <c r="O76" s="8"/>
      <c r="P76" s="8"/>
      <c r="Q76" s="8"/>
      <c r="R76" s="8"/>
      <c r="S76" s="8"/>
      <c r="U76" s="8"/>
      <c r="V76" s="8"/>
      <c r="W76" s="8"/>
      <c r="X76" s="8"/>
      <c r="Y76" s="8"/>
      <c r="Z76" s="8"/>
      <c r="AA76" s="8"/>
      <c r="AB76" s="8"/>
      <c r="AC76" s="8"/>
      <c r="AD76" s="8"/>
      <c r="AE76" s="8"/>
      <c r="AF76" s="8"/>
      <c r="AG76" s="7"/>
      <c r="AH76" s="7"/>
      <c r="AI76" s="7"/>
      <c r="AJ76" s="7"/>
      <c r="AK76" s="7"/>
      <c r="AL76" s="7"/>
      <c r="AM76" s="7"/>
      <c r="AN76" s="7"/>
      <c r="AO76" s="7"/>
      <c r="AP76" s="7"/>
      <c r="AQ76" s="7"/>
      <c r="AR76" s="7"/>
      <c r="AS76" s="7"/>
    </row>
    <row r="77" spans="1:45" ht="15.75" thickBot="1" x14ac:dyDescent="0.3">
      <c r="A77" s="7"/>
      <c r="B77" s="7"/>
      <c r="C77" s="7"/>
      <c r="L77" s="265">
        <f>SUMPRODUCT(D76:G76,H76:K76)</f>
        <v>10</v>
      </c>
      <c r="M77" t="s">
        <v>110</v>
      </c>
    </row>
    <row r="78" spans="1:45" ht="15.75" thickBot="1" x14ac:dyDescent="0.3">
      <c r="A78" s="7"/>
      <c r="B78" s="7"/>
      <c r="C78" s="7"/>
      <c r="L78" s="265">
        <f>L76-L77</f>
        <v>4.9625229864374383</v>
      </c>
      <c r="M78" s="7" t="s">
        <v>117</v>
      </c>
    </row>
    <row r="79" spans="1:45" ht="15.75" thickBot="1" x14ac:dyDescent="0.3">
      <c r="A79" s="7"/>
      <c r="B79" s="7"/>
      <c r="C79" s="7"/>
      <c r="L79" s="265">
        <f>D64-L78</f>
        <v>6.1278419025216877</v>
      </c>
      <c r="M79" s="54" t="s">
        <v>103</v>
      </c>
    </row>
    <row r="80" spans="1:45" x14ac:dyDescent="0.25">
      <c r="A80" s="7"/>
      <c r="B80" s="7"/>
      <c r="C80" s="7"/>
      <c r="M80" s="196"/>
      <c r="N80" s="7"/>
    </row>
    <row r="81" spans="1:25" x14ac:dyDescent="0.25">
      <c r="A81" s="7"/>
      <c r="B81" s="7"/>
      <c r="C81" s="7"/>
      <c r="M81" s="196"/>
      <c r="N81" s="7"/>
    </row>
    <row r="82" spans="1:25" ht="15" customHeight="1" x14ac:dyDescent="0.25">
      <c r="A82" s="7"/>
      <c r="B82" s="7"/>
      <c r="C82" s="7"/>
      <c r="D82" s="1206" t="s">
        <v>120</v>
      </c>
      <c r="E82" s="1206"/>
      <c r="F82" s="1206"/>
      <c r="G82" s="1206"/>
      <c r="H82" s="1206"/>
      <c r="I82" s="1206"/>
      <c r="J82" s="1206"/>
      <c r="K82" s="1206"/>
      <c r="L82" s="1206"/>
      <c r="M82" s="1206"/>
      <c r="N82" s="257"/>
      <c r="O82" s="257"/>
      <c r="P82" s="257"/>
      <c r="Q82" s="257"/>
      <c r="R82" s="257"/>
      <c r="S82" s="257"/>
      <c r="T82" s="257"/>
      <c r="U82" s="257"/>
      <c r="Y82">
        <f>(G72-G71)*K71</f>
        <v>0</v>
      </c>
    </row>
    <row r="83" spans="1:25" x14ac:dyDescent="0.25">
      <c r="A83" s="7"/>
      <c r="B83" s="7"/>
      <c r="C83" s="7"/>
      <c r="D83" s="1206"/>
      <c r="E83" s="1206"/>
      <c r="F83" s="1206"/>
      <c r="G83" s="1206"/>
      <c r="H83" s="1206"/>
      <c r="I83" s="1206"/>
      <c r="J83" s="1206"/>
      <c r="K83" s="1206"/>
      <c r="L83" s="1206"/>
      <c r="M83" s="1206"/>
      <c r="N83" s="257"/>
      <c r="O83" s="257"/>
      <c r="P83" s="257"/>
      <c r="Q83" s="257"/>
      <c r="R83" s="257"/>
      <c r="S83" s="257"/>
      <c r="T83" s="257"/>
      <c r="U83" s="257"/>
      <c r="V83" s="257"/>
      <c r="W83" s="257"/>
    </row>
    <row r="84" spans="1:25" x14ac:dyDescent="0.25">
      <c r="A84" s="7"/>
      <c r="B84" s="7"/>
      <c r="C84" s="7"/>
      <c r="D84" s="1206"/>
      <c r="E84" s="1206"/>
      <c r="F84" s="1206"/>
      <c r="G84" s="1206"/>
      <c r="H84" s="1206"/>
      <c r="I84" s="1206"/>
      <c r="J84" s="1206"/>
      <c r="K84" s="1206"/>
      <c r="L84" s="1206"/>
      <c r="M84" s="1206"/>
      <c r="N84" s="257"/>
      <c r="O84" s="257"/>
      <c r="P84" s="257"/>
      <c r="Q84" s="257"/>
      <c r="R84" s="257"/>
      <c r="S84" s="257"/>
      <c r="T84" s="257"/>
      <c r="U84" s="257"/>
      <c r="V84" s="257"/>
      <c r="W84" s="257"/>
    </row>
    <row r="85" spans="1:25" x14ac:dyDescent="0.25">
      <c r="A85" s="7"/>
      <c r="B85" s="7"/>
      <c r="C85" s="7"/>
      <c r="D85" s="1206"/>
      <c r="E85" s="1206"/>
      <c r="F85" s="1206"/>
      <c r="G85" s="1206"/>
      <c r="H85" s="1206"/>
      <c r="I85" s="1206"/>
      <c r="J85" s="1206"/>
      <c r="K85" s="1206"/>
      <c r="L85" s="1206"/>
      <c r="M85" s="1206"/>
      <c r="N85" s="257"/>
      <c r="O85" s="257"/>
      <c r="P85" s="257"/>
      <c r="Q85" s="257"/>
      <c r="R85" s="257"/>
      <c r="S85" s="257"/>
      <c r="T85" s="257"/>
      <c r="U85" s="257"/>
      <c r="V85" s="257"/>
      <c r="W85" s="257"/>
    </row>
    <row r="86" spans="1:25" x14ac:dyDescent="0.25">
      <c r="A86" s="7"/>
      <c r="B86" s="7"/>
      <c r="C86" s="7"/>
      <c r="D86" s="1206"/>
      <c r="E86" s="1206"/>
      <c r="F86" s="1206"/>
      <c r="G86" s="1206"/>
      <c r="H86" s="1206"/>
      <c r="I86" s="1206"/>
      <c r="J86" s="1206"/>
      <c r="K86" s="1206"/>
      <c r="L86" s="1206"/>
      <c r="M86" s="1206"/>
      <c r="N86" s="257"/>
      <c r="O86" s="257"/>
      <c r="P86" s="257"/>
      <c r="Q86" s="257"/>
      <c r="R86" s="257"/>
      <c r="S86" s="257"/>
      <c r="T86" s="257"/>
      <c r="U86" s="257"/>
      <c r="V86" s="257"/>
      <c r="W86" s="257"/>
    </row>
    <row r="87" spans="1:25" x14ac:dyDescent="0.25">
      <c r="A87" s="7"/>
      <c r="B87" s="7"/>
      <c r="C87" s="7"/>
      <c r="D87" s="1206"/>
      <c r="E87" s="1206"/>
      <c r="F87" s="1206"/>
      <c r="G87" s="1206"/>
      <c r="H87" s="1206"/>
      <c r="I87" s="1206"/>
      <c r="J87" s="1206"/>
      <c r="K87" s="1206"/>
      <c r="L87" s="1206"/>
      <c r="M87" s="1206"/>
      <c r="N87" s="257"/>
      <c r="O87" s="257"/>
      <c r="P87" s="257"/>
      <c r="Q87" s="257"/>
      <c r="R87" s="257"/>
      <c r="S87" s="257"/>
      <c r="T87" s="257"/>
      <c r="U87" s="257"/>
      <c r="V87" s="257"/>
      <c r="W87" s="257"/>
    </row>
    <row r="88" spans="1:25" x14ac:dyDescent="0.25">
      <c r="A88" s="7"/>
      <c r="B88" s="7"/>
      <c r="C88" s="7"/>
      <c r="D88" s="1206"/>
      <c r="E88" s="1206"/>
      <c r="F88" s="1206"/>
      <c r="G88" s="1206"/>
      <c r="H88" s="1206"/>
      <c r="I88" s="1206"/>
      <c r="J88" s="1206"/>
      <c r="K88" s="1206"/>
      <c r="L88" s="1206"/>
      <c r="M88" s="1206"/>
      <c r="N88" s="257"/>
      <c r="O88" s="257"/>
      <c r="P88" s="257"/>
      <c r="Q88" s="257"/>
      <c r="R88" s="257"/>
      <c r="S88" s="257"/>
      <c r="T88" s="257"/>
      <c r="U88" s="257"/>
      <c r="V88" s="257"/>
      <c r="W88" s="257"/>
    </row>
    <row r="89" spans="1:25" x14ac:dyDescent="0.25">
      <c r="A89" s="7"/>
      <c r="B89" s="7"/>
      <c r="C89" s="7"/>
      <c r="M89" s="257"/>
      <c r="N89" s="257"/>
      <c r="O89" s="257"/>
      <c r="P89" s="257"/>
      <c r="Q89" s="257"/>
      <c r="R89" s="257"/>
      <c r="S89" s="257"/>
      <c r="T89" s="257"/>
      <c r="U89" s="257"/>
      <c r="V89" s="257"/>
      <c r="W89" s="257"/>
    </row>
    <row r="90" spans="1:25" x14ac:dyDescent="0.25">
      <c r="A90" s="7"/>
      <c r="B90" s="7"/>
      <c r="C90" s="7"/>
    </row>
    <row r="91" spans="1:25" x14ac:dyDescent="0.25">
      <c r="A91" s="7"/>
      <c r="B91" s="7"/>
      <c r="C91" s="7"/>
      <c r="D91" s="259" t="s">
        <v>118</v>
      </c>
      <c r="E91" s="259"/>
      <c r="F91" s="259"/>
      <c r="G91" s="259"/>
      <c r="H91" s="259"/>
      <c r="I91" s="259"/>
      <c r="J91" s="247"/>
      <c r="K91" s="247"/>
      <c r="L91" s="247"/>
      <c r="M91" s="260"/>
      <c r="N91" s="54"/>
      <c r="T91" s="7"/>
      <c r="U91" s="7"/>
      <c r="V91" s="7"/>
    </row>
    <row r="92" spans="1:25" ht="15" customHeight="1" x14ac:dyDescent="0.25">
      <c r="A92" s="7"/>
      <c r="B92" s="7"/>
      <c r="C92" s="7"/>
      <c r="D92" s="17"/>
      <c r="E92" s="17"/>
      <c r="F92" s="17"/>
      <c r="H92" s="86" t="s">
        <v>5</v>
      </c>
      <c r="I92" s="86" t="s">
        <v>5</v>
      </c>
      <c r="N92" s="152"/>
      <c r="O92" s="152"/>
      <c r="P92" s="152"/>
      <c r="Q92" s="152"/>
      <c r="R92" s="152"/>
      <c r="S92" s="152"/>
      <c r="T92" s="266"/>
      <c r="U92" s="152"/>
      <c r="V92" s="152"/>
      <c r="W92" s="343"/>
    </row>
    <row r="93" spans="1:25" ht="15.75" thickBot="1" x14ac:dyDescent="0.3">
      <c r="A93" s="17"/>
      <c r="B93" s="17"/>
      <c r="C93" s="17"/>
      <c r="D93" s="17"/>
      <c r="E93" s="17"/>
      <c r="F93" s="20">
        <v>3</v>
      </c>
      <c r="H93" s="86">
        <v>0</v>
      </c>
      <c r="I93" s="86">
        <v>1</v>
      </c>
      <c r="L93" t="s">
        <v>54</v>
      </c>
      <c r="V93" s="1207" t="s">
        <v>189</v>
      </c>
      <c r="W93" s="1208"/>
      <c r="X93" s="1209"/>
    </row>
    <row r="94" spans="1:25" ht="15.75" thickBot="1" x14ac:dyDescent="0.3">
      <c r="A94" s="7"/>
      <c r="B94" s="7"/>
      <c r="C94" s="7"/>
      <c r="D94" s="17"/>
      <c r="E94" s="17"/>
      <c r="F94" s="21" t="s">
        <v>4</v>
      </c>
      <c r="G94" s="86">
        <v>0</v>
      </c>
      <c r="H94" s="87">
        <f>H71</f>
        <v>0.35</v>
      </c>
      <c r="I94" s="88">
        <f>I71</f>
        <v>0.21203981987370624</v>
      </c>
      <c r="J94" s="89">
        <f>SUM(H94:I94)</f>
        <v>0.56203981987370621</v>
      </c>
      <c r="L94" s="92">
        <f>I95/SUM(H95:I95)</f>
        <v>0.47813894602839851</v>
      </c>
      <c r="V94" s="1210"/>
      <c r="W94" s="1206"/>
      <c r="X94" s="1211"/>
    </row>
    <row r="95" spans="1:25" ht="15.75" thickBot="1" x14ac:dyDescent="0.3">
      <c r="A95" s="7"/>
      <c r="B95" s="7"/>
      <c r="C95" s="7"/>
      <c r="D95" s="17"/>
      <c r="E95" s="17"/>
      <c r="F95" s="21" t="s">
        <v>4</v>
      </c>
      <c r="G95" s="86">
        <v>1</v>
      </c>
      <c r="H95" s="90">
        <f>J71</f>
        <v>0.22855436119830008</v>
      </c>
      <c r="I95" s="91">
        <f>K71</f>
        <v>0.20940581892799362</v>
      </c>
      <c r="J95" s="92">
        <f>SUM(H95:I95)</f>
        <v>0.43796018012629367</v>
      </c>
      <c r="N95" s="344" t="s">
        <v>36</v>
      </c>
      <c r="O95" s="347" t="s">
        <v>184</v>
      </c>
      <c r="P95" s="345" t="s">
        <v>186</v>
      </c>
      <c r="Q95" s="347" t="s">
        <v>184</v>
      </c>
      <c r="R95" s="345" t="s">
        <v>185</v>
      </c>
      <c r="S95" s="346" t="s">
        <v>184</v>
      </c>
      <c r="V95" s="1210"/>
      <c r="W95" s="1206"/>
      <c r="X95" s="1211"/>
    </row>
    <row r="96" spans="1:25" ht="15.75" thickBot="1" x14ac:dyDescent="0.3">
      <c r="A96" s="7"/>
      <c r="B96" s="7"/>
      <c r="C96" s="7"/>
      <c r="D96" s="17"/>
      <c r="E96" s="17"/>
      <c r="F96" s="17"/>
      <c r="H96" s="118">
        <f>SUM(H94:H95)</f>
        <v>0.57855436119830006</v>
      </c>
      <c r="I96" s="119">
        <f>SUM(I94:I95)</f>
        <v>0.42144563880169983</v>
      </c>
      <c r="J96" s="94">
        <f>SUM(H94:I95)</f>
        <v>0.99999999999999989</v>
      </c>
      <c r="N96" s="350">
        <v>0</v>
      </c>
      <c r="O96" s="351"/>
      <c r="P96" s="352">
        <v>0</v>
      </c>
      <c r="Q96" s="351"/>
      <c r="R96" s="352">
        <v>0</v>
      </c>
      <c r="S96" s="353"/>
      <c r="V96" s="1210"/>
      <c r="W96" s="1206"/>
      <c r="X96" s="1211"/>
    </row>
    <row r="97" spans="1:24" x14ac:dyDescent="0.25">
      <c r="A97" s="7"/>
      <c r="B97" s="7"/>
      <c r="C97" s="7"/>
      <c r="D97" s="17"/>
      <c r="E97" s="17"/>
      <c r="F97" s="17"/>
      <c r="H97" s="93"/>
      <c r="I97" s="93"/>
      <c r="J97" s="92"/>
      <c r="N97" s="417">
        <f>$D$63*LN(EXP($D69/$D$63)+EXP($E69/$D$63)+EXP($F69/$D$63)+EXP($G69/$D$63))</f>
        <v>11.090364888959126</v>
      </c>
      <c r="O97" s="413">
        <f t="shared" ref="O97:Q104" si="6">N97-N96</f>
        <v>11.090364888959126</v>
      </c>
      <c r="P97" s="420">
        <f>$D$63*((($D69/$D$63)+($E69/$D$63)+($F69/$D$63)+($G69/$D$63)))/((SUM(($D69/$D$63)^2,($E69/$D$63)^2,($F69/$D$63)^2,($G69/$D$63)^2)^(1/2)))</f>
        <v>16</v>
      </c>
      <c r="Q97" s="413">
        <f>P97-P96</f>
        <v>16</v>
      </c>
      <c r="R97" s="420">
        <f>$D$63*(($D69/$D$63)+($E69/$D$63)+($F69/$D$63)+($G69/$D$63)) - $D$63*(SUM(($D69/$D$63)^2,($E69/$D$63)^2,($F69/$D$63)^2,($G69/$D$63)^2)/2)</f>
        <v>3.9999975000000002E-5</v>
      </c>
      <c r="S97" s="421">
        <f t="shared" ref="S97" si="7">R97-R96</f>
        <v>3.9999975000000002E-5</v>
      </c>
      <c r="T97" s="349" t="s">
        <v>188</v>
      </c>
      <c r="V97" s="1210"/>
      <c r="W97" s="1206"/>
      <c r="X97" s="1211"/>
    </row>
    <row r="98" spans="1:24" x14ac:dyDescent="0.25">
      <c r="A98" s="7"/>
      <c r="B98" s="7"/>
      <c r="C98" s="7"/>
      <c r="D98" s="17"/>
      <c r="E98" s="17"/>
      <c r="F98" s="17"/>
      <c r="H98" s="93"/>
      <c r="I98" s="93"/>
      <c r="J98" s="92"/>
      <c r="N98" s="417">
        <f t="shared" ref="N98:N99" si="8">$D$63*LN(EXP($D70/$D$63)+EXP($E70/$D$63)+EXP($F70/$D$63)+EXP($G70/$D$63))</f>
        <v>12.090354888959125</v>
      </c>
      <c r="O98" s="414">
        <f t="shared" si="6"/>
        <v>0.9999899999999986</v>
      </c>
      <c r="P98" s="420">
        <f>$D$63*((($D70/$D$63)+($E70/$D$63)+($F70/$D$63)+($G70/$D$63)))/((SUM(($D70/$D$63)^2,($E70/$D$63)^2,($F70/$D$63)^2,($G70/$D$63)^2)^(1/2)))</f>
        <v>16</v>
      </c>
      <c r="Q98" s="414">
        <f>P98-P97</f>
        <v>0</v>
      </c>
      <c r="R98" s="420">
        <f t="shared" ref="R98:R104" si="9">$D$63*(($D70/$D$63)+($E70/$D$63)+($F70/$D$63)+($G70/$D$63)) - $D$63*(SUM(($D70/$D$63)^2,($E70/$D$63)^2,($F70/$D$63)^2,($G70/$D$63)^2)/2)</f>
        <v>3.75</v>
      </c>
      <c r="S98" s="422">
        <f>R98-R97</f>
        <v>3.7499600000250002</v>
      </c>
      <c r="V98" s="1210"/>
      <c r="W98" s="1206"/>
      <c r="X98" s="1211"/>
    </row>
    <row r="99" spans="1:24" ht="15.75" thickBot="1" x14ac:dyDescent="0.3">
      <c r="A99" s="7"/>
      <c r="B99" s="7"/>
      <c r="C99" s="17"/>
      <c r="D99" s="17"/>
      <c r="E99" s="17"/>
      <c r="F99" s="20">
        <v>4</v>
      </c>
      <c r="H99" s="95">
        <v>0</v>
      </c>
      <c r="I99" s="95">
        <v>1</v>
      </c>
      <c r="J99" s="92"/>
      <c r="L99" t="s">
        <v>54</v>
      </c>
      <c r="M99">
        <v>3</v>
      </c>
      <c r="N99" s="417">
        <f t="shared" si="8"/>
        <v>12.60784953883952</v>
      </c>
      <c r="O99" s="414">
        <f t="shared" si="6"/>
        <v>0.51749464988039584</v>
      </c>
      <c r="P99" s="420">
        <f>$D$63*((($D71/$D$63)+($E71/$D$63)+($F71/$D$63)+($G71/$D$63)))/((SUM(($D71/$D$63)^2,($E71/$D$63)^2,($F71/$D$63)^2,($G71/$D$63)^2)^(1/2)))</f>
        <v>9.8996991067417444</v>
      </c>
      <c r="Q99" s="414">
        <f t="shared" si="6"/>
        <v>-6.1003008932582556</v>
      </c>
      <c r="R99" s="420">
        <f t="shared" si="9"/>
        <v>4.1587740841006138</v>
      </c>
      <c r="S99" s="422">
        <f t="shared" ref="S99" si="10">R99-R98</f>
        <v>0.40877408410061378</v>
      </c>
      <c r="V99" s="1210"/>
      <c r="W99" s="1206"/>
      <c r="X99" s="1211"/>
    </row>
    <row r="100" spans="1:24" x14ac:dyDescent="0.25">
      <c r="A100" s="7"/>
      <c r="B100" s="7"/>
      <c r="C100" s="7"/>
      <c r="F100" s="21" t="s">
        <v>4</v>
      </c>
      <c r="G100" s="86">
        <v>0</v>
      </c>
      <c r="H100" s="87">
        <f>H72</f>
        <v>0.34388908334498003</v>
      </c>
      <c r="I100" s="88">
        <f>I72</f>
        <v>0.21569600589575436</v>
      </c>
      <c r="J100" s="89">
        <f>SUM(H100:I100)</f>
        <v>0.55958508924073436</v>
      </c>
      <c r="L100" s="407">
        <f>I101/SUM(H101:I101)</f>
        <v>0.46717229178344477</v>
      </c>
      <c r="M100">
        <v>4</v>
      </c>
      <c r="N100" s="418">
        <f>$D$63*LN(EXP($D72/$D$63)+EXP($E72/$D$63)+EXP($F72/$D$63)+EXP($G72/$D$63))</f>
        <v>12.748761388752838</v>
      </c>
      <c r="O100" s="415">
        <f>N100-N99</f>
        <v>0.14091184991331751</v>
      </c>
      <c r="P100" s="423">
        <f>$D$63*((($D72/$D$63)+($E72/$D$63)+($F72/$D$63)+($G72/$D$63)))/((SUM(($D72/$D$63)^2,($E72/$D$63)^2,($F72/$D$63)^2,($G72/$D$63)^2)^(1/2)))</f>
        <v>10.819560179568017</v>
      </c>
      <c r="Q100" s="424">
        <f>P100-P99</f>
        <v>0.91986107282627216</v>
      </c>
      <c r="R100" s="423">
        <f t="shared" si="9"/>
        <v>4.7337484278654358</v>
      </c>
      <c r="S100" s="424">
        <f>R100-R99</f>
        <v>0.57497434376482204</v>
      </c>
      <c r="T100" s="348" t="s">
        <v>187</v>
      </c>
      <c r="V100" s="1210"/>
      <c r="W100" s="1206"/>
      <c r="X100" s="1211"/>
    </row>
    <row r="101" spans="1:24" ht="15.75" thickBot="1" x14ac:dyDescent="0.3">
      <c r="A101" s="7"/>
      <c r="B101" s="7"/>
      <c r="C101" s="7"/>
      <c r="F101" s="21" t="s">
        <v>4</v>
      </c>
      <c r="G101" s="86">
        <v>1</v>
      </c>
      <c r="H101" s="90">
        <f>J72</f>
        <v>0.23466526756425818</v>
      </c>
      <c r="I101" s="91">
        <f>K72</f>
        <v>0.20574964319500744</v>
      </c>
      <c r="J101" s="92">
        <f>SUM(H101:I101)</f>
        <v>0.44041491075926564</v>
      </c>
      <c r="M101">
        <v>5</v>
      </c>
      <c r="N101" s="418">
        <f t="shared" ref="N101:N103" si="11">$D$63*LN(EXP($D73/$D$63)+EXP($E73/$D$63)+EXP($F73/$D$63)+EXP($G73/$D$63))</f>
        <v>15.832678457777227</v>
      </c>
      <c r="O101" s="415">
        <f t="shared" si="6"/>
        <v>3.0839170690243893</v>
      </c>
      <c r="P101" s="423">
        <f t="shared" ref="P101:P104" si="12">$D$63*((($D73/$D$63)+($E73/$D$63)+($F73/$D$63)+($G73/$D$63)))/((SUM(($D73/$D$63)^2,($E73/$D$63)^2,($F73/$D$63)^2,($G73/$D$63)^2)^(1/2)))</f>
        <v>15.275585766304406</v>
      </c>
      <c r="Q101" s="424">
        <f t="shared" si="6"/>
        <v>4.4560255867363896</v>
      </c>
      <c r="R101" s="423">
        <f t="shared" si="9"/>
        <v>12.606691000000001</v>
      </c>
      <c r="S101" s="424">
        <f>R101-R100</f>
        <v>7.8729425721345656</v>
      </c>
      <c r="T101" s="348" t="s">
        <v>187</v>
      </c>
      <c r="V101" s="1210"/>
      <c r="W101" s="1206"/>
      <c r="X101" s="1211"/>
    </row>
    <row r="102" spans="1:24" ht="15.75" thickBot="1" x14ac:dyDescent="0.3">
      <c r="A102" s="7"/>
      <c r="B102" s="7"/>
      <c r="C102" s="7"/>
      <c r="H102" s="118">
        <f>SUM(H100:H101)</f>
        <v>0.57855435090923824</v>
      </c>
      <c r="I102" s="119">
        <f>SUM(I100:I101)</f>
        <v>0.42144564909076176</v>
      </c>
      <c r="J102" s="94">
        <f>SUM(H100:I101)</f>
        <v>1</v>
      </c>
      <c r="N102" s="417">
        <f t="shared" si="11"/>
        <v>17.248385453430764</v>
      </c>
      <c r="O102" s="414">
        <f t="shared" si="6"/>
        <v>1.4157069956535366</v>
      </c>
      <c r="P102" s="420">
        <f>$D$63*((($D74/$D$63)+($E74/$D$63)+($F74/$D$63)+($G74/$D$63)))/((SUM(($D74/$D$63)^2,($E74/$D$63)^2,($F74/$D$63)^2,($G74/$D$63)^2)^(1/2)))</f>
        <v>13.469046060602045</v>
      </c>
      <c r="Q102" s="414">
        <f t="shared" si="6"/>
        <v>-1.8065397057023613</v>
      </c>
      <c r="R102" s="420">
        <f>$D$63*(($D74/$D$63)+($E74/$D$63)+($F74/$D$63)+($G74/$D$63)) - $D$63*(SUM(($D74/$D$63)^2,($E74/$D$63)^2,($F74/$D$63)^2,($G74/$D$63)^2)/2)</f>
        <v>11.302499999999998</v>
      </c>
      <c r="S102" s="422">
        <f t="shared" ref="S102" si="13">R102-R101</f>
        <v>-1.304191000000003</v>
      </c>
      <c r="V102" s="1210"/>
      <c r="W102" s="1206"/>
      <c r="X102" s="1211"/>
    </row>
    <row r="103" spans="1:24" x14ac:dyDescent="0.25">
      <c r="A103" s="7"/>
      <c r="B103" s="7"/>
      <c r="C103" s="7"/>
      <c r="N103" s="417">
        <f t="shared" si="11"/>
        <v>14.962522986437438</v>
      </c>
      <c r="O103" s="414">
        <f t="shared" si="6"/>
        <v>-2.2858624669933256</v>
      </c>
      <c r="P103" s="420">
        <f t="shared" si="12"/>
        <v>8</v>
      </c>
      <c r="Q103" s="414">
        <f t="shared" si="6"/>
        <v>-5.4690460606020448</v>
      </c>
      <c r="R103" s="420">
        <f t="shared" si="9"/>
        <v>3.75</v>
      </c>
      <c r="S103" s="422">
        <f t="shared" ref="S103" si="14">R103-R102</f>
        <v>-7.5524999999999984</v>
      </c>
      <c r="V103" s="1210"/>
      <c r="W103" s="1206"/>
      <c r="X103" s="1211"/>
    </row>
    <row r="104" spans="1:24" ht="15.75" customHeight="1" thickBot="1" x14ac:dyDescent="0.3">
      <c r="F104" s="1215" t="s">
        <v>55</v>
      </c>
      <c r="G104" s="1215"/>
      <c r="H104" s="1215"/>
      <c r="I104" s="1215"/>
      <c r="J104" s="1215"/>
      <c r="K104" s="1215"/>
      <c r="L104" s="1215"/>
      <c r="N104" s="419">
        <f>$D$63*LN(EXP($D76/$D$63)+EXP($E76/$D$63)+EXP($F76/$D$63)+EXP($G76/$D$63))</f>
        <v>14.962522986437438</v>
      </c>
      <c r="O104" s="416">
        <f>N104-N103</f>
        <v>0</v>
      </c>
      <c r="P104" s="425">
        <f t="shared" si="12"/>
        <v>8</v>
      </c>
      <c r="Q104" s="416">
        <f t="shared" si="6"/>
        <v>0</v>
      </c>
      <c r="R104" s="425">
        <f t="shared" si="9"/>
        <v>3.75</v>
      </c>
      <c r="S104" s="426">
        <f t="shared" ref="S104" si="15">R104-R103</f>
        <v>0</v>
      </c>
      <c r="V104" s="1210"/>
      <c r="W104" s="1206"/>
      <c r="X104" s="1211"/>
    </row>
    <row r="105" spans="1:24" x14ac:dyDescent="0.25">
      <c r="F105" s="1215"/>
      <c r="G105" s="1215"/>
      <c r="H105" s="1215"/>
      <c r="I105" s="1215"/>
      <c r="J105" s="1215"/>
      <c r="K105" s="1215"/>
      <c r="L105" s="1215"/>
      <c r="N105" s="142"/>
      <c r="O105" s="8"/>
      <c r="P105" s="8"/>
      <c r="Q105" s="8"/>
      <c r="R105" s="8"/>
      <c r="S105" s="8"/>
      <c r="V105" s="1210"/>
      <c r="W105" s="1206"/>
      <c r="X105" s="1211"/>
    </row>
    <row r="106" spans="1:24" x14ac:dyDescent="0.25">
      <c r="N106" s="142"/>
      <c r="P106" s="8"/>
      <c r="R106" s="8"/>
      <c r="S106" s="8"/>
      <c r="V106" s="1210"/>
      <c r="W106" s="1206"/>
      <c r="X106" s="1211"/>
    </row>
    <row r="107" spans="1:24" ht="15.75" thickBot="1" x14ac:dyDescent="0.3">
      <c r="F107" s="26">
        <v>5</v>
      </c>
      <c r="H107" s="95">
        <v>0</v>
      </c>
      <c r="I107" s="95">
        <v>1</v>
      </c>
      <c r="J107" s="92"/>
      <c r="L107" t="s">
        <v>54</v>
      </c>
      <c r="N107" s="143"/>
      <c r="O107" s="143"/>
      <c r="P107" s="143"/>
      <c r="Q107" s="143"/>
      <c r="R107" s="143"/>
      <c r="S107" s="143"/>
      <c r="V107" s="1210"/>
      <c r="W107" s="1206"/>
      <c r="X107" s="1211"/>
    </row>
    <row r="108" spans="1:24" x14ac:dyDescent="0.25">
      <c r="F108" s="21" t="s">
        <v>4</v>
      </c>
      <c r="G108" s="86">
        <v>0</v>
      </c>
      <c r="H108" s="87">
        <f>H73</f>
        <v>0.33151414279912189</v>
      </c>
      <c r="I108" s="88">
        <f>I73</f>
        <v>0.22784611611341585</v>
      </c>
      <c r="J108" s="89">
        <f>SUM(H108:I108)</f>
        <v>0.55936025891253771</v>
      </c>
      <c r="L108" s="407">
        <f>I109/SUM(H109:I109)</f>
        <v>0.46717229178344477</v>
      </c>
      <c r="N108" s="142"/>
      <c r="O108" s="8"/>
      <c r="P108" s="142"/>
      <c r="Q108" s="8"/>
      <c r="R108" s="142"/>
      <c r="S108" s="8"/>
      <c r="V108" s="1210"/>
      <c r="W108" s="1206"/>
      <c r="X108" s="1211"/>
    </row>
    <row r="109" spans="1:24" ht="15.75" thickBot="1" x14ac:dyDescent="0.3">
      <c r="F109" s="21" t="s">
        <v>4</v>
      </c>
      <c r="G109" s="86">
        <v>1</v>
      </c>
      <c r="H109" s="90">
        <f>J73</f>
        <v>0.23478506339276881</v>
      </c>
      <c r="I109" s="91">
        <f>K73</f>
        <v>0.20585467769469348</v>
      </c>
      <c r="J109" s="92">
        <f>SUM(H109:I109)</f>
        <v>0.44063974108746229</v>
      </c>
      <c r="N109" s="142"/>
      <c r="O109" s="8"/>
      <c r="P109" s="142"/>
      <c r="Q109" s="8"/>
      <c r="R109" s="142"/>
      <c r="S109" s="8"/>
      <c r="V109" s="1210"/>
      <c r="W109" s="1206"/>
      <c r="X109" s="1211"/>
    </row>
    <row r="110" spans="1:24" ht="15.75" thickBot="1" x14ac:dyDescent="0.3">
      <c r="H110" s="118">
        <f>SUM(H108:H109)</f>
        <v>0.56629920619189067</v>
      </c>
      <c r="I110" s="93">
        <f>SUM(I108:I109)</f>
        <v>0.43370079380810933</v>
      </c>
      <c r="J110" s="94">
        <f>SUM(H108:I109)</f>
        <v>1</v>
      </c>
      <c r="V110" s="1210"/>
      <c r="W110" s="1206"/>
      <c r="X110" s="1211"/>
    </row>
    <row r="111" spans="1:24" x14ac:dyDescent="0.25">
      <c r="V111" s="1210"/>
      <c r="W111" s="1206"/>
      <c r="X111" s="1211"/>
    </row>
    <row r="112" spans="1:24" ht="18" customHeight="1" x14ac:dyDescent="0.25">
      <c r="F112" s="1215" t="s">
        <v>56</v>
      </c>
      <c r="G112" s="1215"/>
      <c r="H112" s="1215"/>
      <c r="I112" s="1215"/>
      <c r="J112" s="1215"/>
      <c r="K112" s="1215"/>
      <c r="L112" s="1215"/>
      <c r="V112" s="1210"/>
      <c r="W112" s="1206"/>
      <c r="X112" s="1211"/>
    </row>
    <row r="113" spans="6:24" x14ac:dyDescent="0.25">
      <c r="F113" s="1215"/>
      <c r="G113" s="1215"/>
      <c r="H113" s="1215"/>
      <c r="I113" s="1215"/>
      <c r="J113" s="1215"/>
      <c r="K113" s="1215"/>
      <c r="L113" s="1215"/>
      <c r="V113" s="1210"/>
      <c r="W113" s="1206"/>
      <c r="X113" s="1211"/>
    </row>
    <row r="114" spans="6:24" x14ac:dyDescent="0.25">
      <c r="V114" s="1210"/>
      <c r="W114" s="1206"/>
      <c r="X114" s="1211"/>
    </row>
    <row r="115" spans="6:24" x14ac:dyDescent="0.25">
      <c r="V115" s="1210"/>
      <c r="W115" s="1206"/>
      <c r="X115" s="1211"/>
    </row>
    <row r="116" spans="6:24" x14ac:dyDescent="0.25">
      <c r="J116" s="33"/>
      <c r="K116" s="33"/>
      <c r="L116" s="33"/>
      <c r="M116" s="33"/>
      <c r="N116" s="33"/>
      <c r="V116" s="1210"/>
      <c r="W116" s="1206"/>
      <c r="X116" s="1211"/>
    </row>
    <row r="117" spans="6:24" x14ac:dyDescent="0.25">
      <c r="J117" s="33"/>
      <c r="K117" s="33"/>
      <c r="L117" s="33"/>
      <c r="M117" s="33"/>
      <c r="N117" s="33"/>
      <c r="V117" s="1210"/>
      <c r="W117" s="1206"/>
      <c r="X117" s="1211"/>
    </row>
    <row r="118" spans="6:24" x14ac:dyDescent="0.25">
      <c r="J118" s="33"/>
      <c r="K118" s="33"/>
      <c r="L118" s="33"/>
      <c r="M118" s="33"/>
      <c r="N118" s="33"/>
      <c r="V118" s="1210"/>
      <c r="W118" s="1206"/>
      <c r="X118" s="1211"/>
    </row>
    <row r="119" spans="6:24" x14ac:dyDescent="0.25">
      <c r="V119" s="1210"/>
      <c r="W119" s="1206"/>
      <c r="X119" s="1211"/>
    </row>
    <row r="120" spans="6:24" x14ac:dyDescent="0.25">
      <c r="V120" s="1210"/>
      <c r="W120" s="1206"/>
      <c r="X120" s="1211"/>
    </row>
    <row r="121" spans="6:24" x14ac:dyDescent="0.25">
      <c r="V121" s="1210"/>
      <c r="W121" s="1206"/>
      <c r="X121" s="1211"/>
    </row>
    <row r="122" spans="6:24" x14ac:dyDescent="0.25">
      <c r="V122" s="1210"/>
      <c r="W122" s="1206"/>
      <c r="X122" s="1211"/>
    </row>
    <row r="123" spans="6:24" x14ac:dyDescent="0.25">
      <c r="V123" s="1210"/>
      <c r="W123" s="1206"/>
      <c r="X123" s="1211"/>
    </row>
    <row r="124" spans="6:24" x14ac:dyDescent="0.25">
      <c r="V124" s="1210"/>
      <c r="W124" s="1206"/>
      <c r="X124" s="1211"/>
    </row>
    <row r="125" spans="6:24" x14ac:dyDescent="0.25">
      <c r="V125" s="1212"/>
      <c r="W125" s="1213"/>
      <c r="X125" s="1214"/>
    </row>
  </sheetData>
  <mergeCells count="11">
    <mergeCell ref="C6:O8"/>
    <mergeCell ref="C39:M46"/>
    <mergeCell ref="D82:M88"/>
    <mergeCell ref="V93:X125"/>
    <mergeCell ref="F104:L105"/>
    <mergeCell ref="F112:L113"/>
    <mergeCell ref="B61:B64"/>
    <mergeCell ref="B13:B15"/>
    <mergeCell ref="B17:B20"/>
    <mergeCell ref="B53:B55"/>
    <mergeCell ref="B57:B59"/>
  </mergeCells>
  <conditionalFormatting sqref="AP69:AS75">
    <cfRule type="dataBar" priority="1">
      <dataBar>
        <cfvo type="min"/>
        <cfvo type="max"/>
        <color rgb="FF638EC6"/>
      </dataBar>
      <extLst>
        <ext xmlns:x14="http://schemas.microsoft.com/office/spreadsheetml/2009/9/main" uri="{B025F937-C7B1-47D3-B67F-A62EFF666E3E}">
          <x14:id>{E3C78D6C-521B-4AFC-91DA-2EC28C87A421}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3C78D6C-521B-4AFC-91DA-2EC28C87A421}">
            <x14:dataBar minLength="0" maxLength="100" gradient="0">
              <x14:cfvo type="autoMin"/>
              <x14:cfvo type="autoMax"/>
              <x14:negativeFillColor rgb="FFFF0000"/>
              <x14:axisColor rgb="FF000000"/>
            </x14:dataBar>
          </x14:cfRule>
          <xm:sqref>AP69:AS75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B2:X65"/>
  <sheetViews>
    <sheetView zoomScale="85" zoomScaleNormal="85" workbookViewId="0">
      <selection activeCell="R23" sqref="R23"/>
    </sheetView>
  </sheetViews>
  <sheetFormatPr defaultRowHeight="15" x14ac:dyDescent="0.25"/>
  <cols>
    <col min="2" max="2" width="10" customWidth="1"/>
    <col min="3" max="8" width="11.42578125" style="33" customWidth="1"/>
    <col min="9" max="9" width="13.42578125" style="33" customWidth="1"/>
    <col min="10" max="11" width="12" style="33"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9.140625" hidden="1" customWidth="1"/>
    <col min="18" max="18" width="9.42578125" customWidth="1"/>
    <col min="20" max="20" width="12.140625" customWidth="1"/>
    <col min="21" max="21" width="10.5703125" customWidth="1"/>
    <col min="24" max="24" width="11.140625" customWidth="1"/>
  </cols>
  <sheetData>
    <row r="2" spans="2:21" ht="31.5" x14ac:dyDescent="0.5">
      <c r="B2" s="188" t="s">
        <v>337</v>
      </c>
    </row>
    <row r="3" spans="2:21" ht="17.25" customHeight="1" x14ac:dyDescent="0.5">
      <c r="B3" s="188"/>
    </row>
    <row r="4" spans="2:21" ht="17.25" customHeight="1" x14ac:dyDescent="0.5">
      <c r="B4" s="188"/>
    </row>
    <row r="5" spans="2:21" ht="17.25" customHeight="1" x14ac:dyDescent="0.25">
      <c r="B5" s="1172" t="s">
        <v>163</v>
      </c>
      <c r="C5" s="152" t="s">
        <v>101</v>
      </c>
      <c r="D5" s="152" t="s">
        <v>716</v>
      </c>
      <c r="E5" s="152"/>
      <c r="F5" s="266"/>
      <c r="G5" s="266"/>
      <c r="H5" s="266"/>
      <c r="I5" s="266"/>
      <c r="J5" s="266"/>
      <c r="K5" s="266"/>
      <c r="L5" s="152"/>
      <c r="M5" s="152"/>
      <c r="N5" s="152"/>
      <c r="O5" s="152"/>
      <c r="P5" s="152"/>
      <c r="Q5" s="152"/>
      <c r="R5" s="152"/>
      <c r="S5" s="152"/>
      <c r="T5" s="152"/>
      <c r="U5" s="239"/>
    </row>
    <row r="6" spans="2:21" ht="17.25" customHeight="1" x14ac:dyDescent="0.25">
      <c r="B6" s="1173"/>
      <c r="C6" s="17" t="s">
        <v>149</v>
      </c>
      <c r="D6" s="145">
        <v>8000</v>
      </c>
      <c r="E6" s="7" t="s">
        <v>150</v>
      </c>
      <c r="F6" s="17"/>
      <c r="G6" s="440" t="s">
        <v>247</v>
      </c>
      <c r="H6" s="17"/>
      <c r="I6" s="17"/>
      <c r="J6" s="17"/>
      <c r="K6" s="17"/>
      <c r="L6" s="7"/>
      <c r="M6" s="7"/>
      <c r="N6" s="7"/>
      <c r="O6" s="7"/>
      <c r="P6" s="7"/>
      <c r="Q6" s="7"/>
      <c r="R6" s="7"/>
      <c r="S6" s="7"/>
      <c r="T6" s="7"/>
      <c r="U6" s="6"/>
    </row>
    <row r="7" spans="2:21" ht="17.25" customHeight="1" x14ac:dyDescent="0.25">
      <c r="B7" s="1173"/>
      <c r="C7" s="17" t="s">
        <v>152</v>
      </c>
      <c r="D7" s="145">
        <v>20000</v>
      </c>
      <c r="E7" s="7" t="s">
        <v>151</v>
      </c>
      <c r="F7" s="17"/>
      <c r="G7" s="440" t="s">
        <v>248</v>
      </c>
      <c r="H7" s="17"/>
      <c r="I7" s="17"/>
      <c r="J7" s="17"/>
      <c r="K7" s="17"/>
      <c r="L7" s="7"/>
      <c r="M7" s="7"/>
      <c r="N7" s="7"/>
      <c r="O7" s="7"/>
      <c r="P7" s="7"/>
      <c r="Q7" s="7"/>
      <c r="R7" s="7"/>
      <c r="S7" s="7"/>
      <c r="T7" s="7"/>
      <c r="U7" s="6"/>
    </row>
    <row r="8" spans="2:21" ht="17.25" customHeight="1" x14ac:dyDescent="0.25">
      <c r="B8" s="1173"/>
      <c r="C8" s="142" t="s">
        <v>153</v>
      </c>
      <c r="D8" s="18">
        <f>D7-D6</f>
        <v>12000</v>
      </c>
      <c r="E8" s="7" t="s">
        <v>154</v>
      </c>
      <c r="F8" s="17"/>
      <c r="G8" s="17"/>
      <c r="H8" s="17"/>
      <c r="I8" s="17"/>
      <c r="J8" s="17"/>
      <c r="K8" s="17"/>
      <c r="L8" s="7"/>
      <c r="M8" s="7"/>
      <c r="N8" s="7"/>
      <c r="O8" s="7"/>
      <c r="P8" s="7"/>
      <c r="Q8" s="7"/>
      <c r="R8" s="7"/>
      <c r="S8" s="7"/>
      <c r="T8" s="7"/>
      <c r="U8" s="6"/>
    </row>
    <row r="9" spans="2:21" ht="17.25" customHeight="1" x14ac:dyDescent="0.25">
      <c r="B9" s="1173"/>
      <c r="C9" s="142" t="s">
        <v>157</v>
      </c>
      <c r="D9" s="192" t="s">
        <v>108</v>
      </c>
      <c r="E9" s="8" t="s">
        <v>160</v>
      </c>
      <c r="F9" s="17"/>
      <c r="G9" s="17"/>
      <c r="H9" s="17"/>
      <c r="I9" s="17"/>
      <c r="J9" s="17"/>
      <c r="K9" s="17"/>
      <c r="L9" s="7"/>
      <c r="M9" s="7"/>
      <c r="N9" s="7"/>
      <c r="O9" s="7"/>
      <c r="P9" s="7"/>
      <c r="Q9" s="7"/>
      <c r="R9" s="7"/>
      <c r="S9" s="7"/>
      <c r="T9" s="7"/>
      <c r="U9" s="6"/>
    </row>
    <row r="10" spans="2:21" ht="17.25" customHeight="1" x14ac:dyDescent="0.25">
      <c r="B10" s="1173"/>
      <c r="C10" s="142" t="s">
        <v>158</v>
      </c>
      <c r="D10" s="192" t="s">
        <v>107</v>
      </c>
      <c r="E10" s="8" t="s">
        <v>161</v>
      </c>
      <c r="F10" s="17"/>
      <c r="G10" s="17"/>
      <c r="H10" s="17"/>
      <c r="I10" s="17"/>
      <c r="J10" s="17"/>
      <c r="K10" s="17"/>
      <c r="L10" s="7"/>
      <c r="M10" s="7"/>
      <c r="N10" s="7"/>
      <c r="O10" s="7"/>
      <c r="P10" s="7"/>
      <c r="Q10" s="7"/>
      <c r="R10" s="7"/>
      <c r="S10" s="7"/>
      <c r="T10" s="7"/>
      <c r="U10" s="6"/>
    </row>
    <row r="11" spans="2:21" ht="17.25" customHeight="1" x14ac:dyDescent="0.25">
      <c r="B11" s="1174"/>
      <c r="C11" s="267" t="s">
        <v>159</v>
      </c>
      <c r="D11" s="268" t="s">
        <v>106</v>
      </c>
      <c r="E11" s="269" t="s">
        <v>162</v>
      </c>
      <c r="F11" s="259"/>
      <c r="G11" s="259"/>
      <c r="H11" s="259"/>
      <c r="I11" s="259"/>
      <c r="J11" s="259"/>
      <c r="K11" s="259"/>
      <c r="L11" s="247"/>
      <c r="M11" s="247"/>
      <c r="N11" s="247"/>
      <c r="O11" s="247"/>
      <c r="P11" s="247"/>
      <c r="Q11" s="247"/>
      <c r="R11" s="247"/>
      <c r="S11" s="247"/>
      <c r="T11" s="247"/>
      <c r="U11" s="3"/>
    </row>
    <row r="12" spans="2:21" ht="17.25" customHeight="1" thickBot="1" x14ac:dyDescent="0.3">
      <c r="B12" s="7"/>
      <c r="C12" s="7"/>
      <c r="D12" s="7"/>
    </row>
    <row r="13" spans="2:21" ht="17.25" customHeight="1" x14ac:dyDescent="0.25">
      <c r="B13" s="1175" t="s">
        <v>152</v>
      </c>
      <c r="C13" s="275" t="s">
        <v>164</v>
      </c>
      <c r="D13" s="276" t="s">
        <v>165</v>
      </c>
      <c r="E13" s="253" t="s">
        <v>166</v>
      </c>
      <c r="F13" s="253"/>
      <c r="G13" s="253"/>
      <c r="H13" s="253" t="s">
        <v>223</v>
      </c>
      <c r="I13" s="253"/>
      <c r="J13" s="253"/>
      <c r="K13" s="253"/>
      <c r="L13" s="10"/>
      <c r="M13" s="10"/>
      <c r="N13" s="10"/>
      <c r="O13" s="10"/>
      <c r="P13" s="10"/>
      <c r="Q13" s="10"/>
      <c r="R13" s="11"/>
    </row>
    <row r="14" spans="2:21" ht="17.25" customHeight="1" x14ac:dyDescent="0.25">
      <c r="B14" s="1176"/>
      <c r="C14" s="17" t="s">
        <v>139</v>
      </c>
      <c r="D14" s="256">
        <v>2</v>
      </c>
      <c r="E14" s="17" t="s">
        <v>140</v>
      </c>
      <c r="F14" s="17"/>
      <c r="G14" s="17"/>
      <c r="H14" s="17"/>
      <c r="I14" s="17"/>
      <c r="J14" s="17"/>
      <c r="K14" s="17"/>
      <c r="L14" s="7"/>
      <c r="M14" s="7"/>
      <c r="N14" s="7"/>
      <c r="O14" s="7"/>
      <c r="P14" s="7"/>
      <c r="Q14" s="7"/>
      <c r="R14" s="102"/>
    </row>
    <row r="15" spans="2:21" ht="17.25" customHeight="1" x14ac:dyDescent="0.25">
      <c r="B15" s="1176"/>
      <c r="C15" s="17" t="s">
        <v>5</v>
      </c>
      <c r="D15" s="910">
        <v>1.3</v>
      </c>
      <c r="E15" s="17" t="s">
        <v>143</v>
      </c>
      <c r="F15" s="17"/>
      <c r="G15" s="17"/>
      <c r="H15" s="17" t="s">
        <v>224</v>
      </c>
      <c r="I15" s="17"/>
      <c r="J15" s="17"/>
      <c r="K15" s="17"/>
      <c r="L15" s="7"/>
      <c r="M15" s="7"/>
      <c r="N15" s="7"/>
      <c r="O15" s="7"/>
      <c r="P15" s="7"/>
      <c r="Q15" s="7"/>
      <c r="R15" s="102"/>
    </row>
    <row r="16" spans="2:21" ht="17.25" customHeight="1" x14ac:dyDescent="0.25">
      <c r="B16" s="1176"/>
      <c r="C16" s="142" t="s">
        <v>155</v>
      </c>
      <c r="D16" s="441">
        <f>D8</f>
        <v>12000</v>
      </c>
      <c r="E16" s="142" t="s">
        <v>156</v>
      </c>
      <c r="F16" s="17"/>
      <c r="G16" s="17"/>
      <c r="H16" s="17" t="s">
        <v>225</v>
      </c>
      <c r="I16" s="17"/>
      <c r="J16" s="17"/>
      <c r="K16" s="17"/>
      <c r="L16" s="7"/>
      <c r="M16" s="7"/>
      <c r="N16" s="7"/>
      <c r="O16" s="7"/>
      <c r="P16" s="7"/>
      <c r="Q16" s="7"/>
      <c r="R16" s="102"/>
    </row>
    <row r="17" spans="2:24" ht="17.25" customHeight="1" thickBot="1" x14ac:dyDescent="0.3">
      <c r="B17" s="1177"/>
      <c r="C17" s="168" t="s">
        <v>141</v>
      </c>
      <c r="D17" s="442">
        <f>D15*D16*LN(D14)</f>
        <v>10813.096016735146</v>
      </c>
      <c r="E17" s="168" t="s">
        <v>142</v>
      </c>
      <c r="F17" s="254"/>
      <c r="G17" s="254"/>
      <c r="H17" s="254"/>
      <c r="I17" s="254"/>
      <c r="J17" s="254"/>
      <c r="K17" s="254"/>
      <c r="L17" s="168"/>
      <c r="M17" s="168"/>
      <c r="N17" s="168"/>
      <c r="O17" s="168"/>
      <c r="P17" s="168"/>
      <c r="Q17" s="168"/>
      <c r="R17" s="104"/>
    </row>
    <row r="18" spans="2:24" s="7" customFormat="1" ht="15.75" thickBot="1" x14ac:dyDescent="0.3">
      <c r="B18"/>
      <c r="C18" s="33"/>
      <c r="D18" s="33"/>
      <c r="E18" s="33"/>
      <c r="F18" s="33"/>
      <c r="G18" s="33"/>
      <c r="H18" s="33"/>
      <c r="I18" s="33"/>
      <c r="J18" s="33"/>
      <c r="K18" s="33"/>
      <c r="L18"/>
      <c r="M18"/>
      <c r="N18"/>
      <c r="O18"/>
      <c r="P18"/>
      <c r="Q18"/>
      <c r="R18"/>
      <c r="S18"/>
      <c r="T18" s="8"/>
    </row>
    <row r="19" spans="2:24" s="7" customFormat="1" ht="24.75" customHeight="1" thickBot="1" x14ac:dyDescent="0.35">
      <c r="B19"/>
      <c r="C19" s="436" t="s">
        <v>12</v>
      </c>
      <c r="D19" s="428"/>
      <c r="E19" s="437" t="s">
        <v>13</v>
      </c>
      <c r="F19" s="438"/>
      <c r="G19" s="447" t="s">
        <v>219</v>
      </c>
      <c r="H19" s="444" t="s">
        <v>218</v>
      </c>
      <c r="I19" s="428" t="s">
        <v>116</v>
      </c>
      <c r="J19" s="439" t="s">
        <v>35</v>
      </c>
      <c r="K19" s="195"/>
      <c r="L19" s="1178" t="s">
        <v>98</v>
      </c>
      <c r="M19" s="1179"/>
      <c r="N19" s="185" t="s">
        <v>99</v>
      </c>
      <c r="P19" s="7" t="s">
        <v>100</v>
      </c>
      <c r="Q19" s="20"/>
      <c r="R19" s="186" t="s">
        <v>100</v>
      </c>
      <c r="S19" s="20"/>
    </row>
    <row r="20" spans="2:24" s="7" customFormat="1" ht="16.5" thickTop="1" thickBot="1" x14ac:dyDescent="0.3">
      <c r="B20" s="117" t="s">
        <v>45</v>
      </c>
      <c r="C20" s="204" t="str">
        <f>"S("&amp;D6&amp;")"</f>
        <v>S(8000)</v>
      </c>
      <c r="D20" s="200" t="str">
        <f>"S("&amp;D7&amp;")"</f>
        <v>S(20000)</v>
      </c>
      <c r="E20" s="198" t="str">
        <f>"P("&amp;D6&amp;")"</f>
        <v>P(8000)</v>
      </c>
      <c r="F20" s="199" t="str">
        <f>"S("&amp;D7&amp;")"</f>
        <v>S(20000)</v>
      </c>
      <c r="G20" s="449" t="s">
        <v>214</v>
      </c>
      <c r="H20" s="446" t="s">
        <v>101</v>
      </c>
      <c r="I20" s="296">
        <v>0</v>
      </c>
      <c r="J20" s="205"/>
      <c r="K20" s="142"/>
      <c r="L20" s="182" t="str">
        <f>C20</f>
        <v>S(8000)</v>
      </c>
      <c r="M20" s="183" t="str">
        <f>D20</f>
        <v>S(20000)</v>
      </c>
      <c r="R20"/>
    </row>
    <row r="21" spans="2:24" s="7" customFormat="1" ht="18" customHeight="1" thickTop="1" x14ac:dyDescent="0.3">
      <c r="B21" s="25">
        <v>1</v>
      </c>
      <c r="C21" s="454">
        <v>0</v>
      </c>
      <c r="D21" s="356">
        <v>0</v>
      </c>
      <c r="E21" s="455">
        <f t="shared" ref="E21:E29" si="0">EXP(C21/$D$15)/(EXP($D21/$D$15)+EXP($C21/$D$15))</f>
        <v>0.5</v>
      </c>
      <c r="F21" s="456">
        <f t="shared" ref="F21:F30" si="1">EXP(D21/$D$15)/(EXP($D21/$D$15)+EXP($C21/$D$15))</f>
        <v>0.5</v>
      </c>
      <c r="G21" s="452">
        <f t="shared" ref="G21:G31" si="2">(E21*$D$8)+$D$6</f>
        <v>14000</v>
      </c>
      <c r="H21" s="453">
        <f t="shared" ref="H21:H31" si="3">(F21*$D$8)+$D$6</f>
        <v>14000</v>
      </c>
      <c r="I21" s="340">
        <f>$D$15*LN(EXP($D21/$D$15)+EXP($C21/$D$15))</f>
        <v>0.90109133472792891</v>
      </c>
      <c r="J21" s="206">
        <f>(I21-I20)</f>
        <v>0.90109133472792891</v>
      </c>
      <c r="K21" s="196"/>
      <c r="L21" s="116"/>
      <c r="M21" s="102"/>
      <c r="R21" s="187" t="str">
        <f>"Paid "&amp;ROUND(J21,2)&amp;" to create this Market."</f>
        <v>Paid 0.9 to create this Market.</v>
      </c>
      <c r="X21" s="189"/>
    </row>
    <row r="22" spans="2:24" s="7" customFormat="1" ht="18.75" x14ac:dyDescent="0.3">
      <c r="B22" s="25">
        <v>2</v>
      </c>
      <c r="C22" s="457">
        <v>1</v>
      </c>
      <c r="D22" s="364">
        <v>0</v>
      </c>
      <c r="E22" s="458">
        <f t="shared" si="0"/>
        <v>0.68335447018778295</v>
      </c>
      <c r="F22" s="459">
        <f t="shared" si="1"/>
        <v>0.316645529812217</v>
      </c>
      <c r="G22" s="448">
        <f t="shared" si="2"/>
        <v>16200.253642253396</v>
      </c>
      <c r="H22" s="445">
        <f t="shared" si="3"/>
        <v>11799.746357746604</v>
      </c>
      <c r="I22" s="341">
        <f t="shared" ref="I22:I31" si="4">$D$15*LN(EXP($D22/$D$15)+EXP($C22/$D$15))</f>
        <v>1.4949640332182719</v>
      </c>
      <c r="J22" s="208">
        <f t="shared" ref="J22:J29" si="5">(I22-I21)</f>
        <v>0.59387269849034297</v>
      </c>
      <c r="K22" s="196"/>
      <c r="L22" s="116">
        <f t="shared" ref="L22:L30" si="6">C22-C21</f>
        <v>1</v>
      </c>
      <c r="M22" s="102">
        <f t="shared" ref="M22:M30" si="7">D22-D21</f>
        <v>0</v>
      </c>
      <c r="N22" s="184">
        <f t="shared" ref="N22:N30" si="8">J22</f>
        <v>0.59387269849034297</v>
      </c>
      <c r="P22" s="7" t="str">
        <f>IF(L22&gt;0,"Bought ",IF(L22&lt;0,"Sold ",""))&amp;IF(L22&lt;0,L22*-1,IF(L22&gt;0,L22,""))&amp;IF(L22&lt;&gt;0," Shares of State 1 at a cost of "&amp;ROUND($N22,5),"")</f>
        <v>Bought 1 Shares of State 1 at a cost of 0.59387</v>
      </c>
      <c r="Q22" s="7" t="str">
        <f t="shared" ref="Q22" si="9">IF(M22&gt;0,"Bought ",IF(M22&lt;0,"Sold ",""))&amp;IF(M22&lt;0,M22*-1,IF(M22&gt;0,M22,""))&amp;IF(M22&lt;&gt;0," Shares of State 2 at a cost of "&amp;ROUND($N22,5),"")</f>
        <v/>
      </c>
      <c r="R22" s="187" t="str">
        <f>P22&amp;Q22</f>
        <v>Bought 1 Shares of State 1 at a cost of 0.59387</v>
      </c>
    </row>
    <row r="23" spans="2:24" s="7" customFormat="1" ht="18.75" x14ac:dyDescent="0.3">
      <c r="B23" s="25">
        <v>3</v>
      </c>
      <c r="C23" s="457">
        <v>1</v>
      </c>
      <c r="D23" s="364">
        <v>2</v>
      </c>
      <c r="E23" s="458">
        <f t="shared" si="0"/>
        <v>0.316645529812217</v>
      </c>
      <c r="F23" s="459">
        <f t="shared" si="1"/>
        <v>0.68335447018778306</v>
      </c>
      <c r="G23" s="448">
        <f t="shared" si="2"/>
        <v>11799.746357746604</v>
      </c>
      <c r="H23" s="445">
        <f t="shared" si="3"/>
        <v>16200.253642253396</v>
      </c>
      <c r="I23" s="341">
        <f t="shared" si="4"/>
        <v>2.4949640332182721</v>
      </c>
      <c r="J23" s="208">
        <f t="shared" si="5"/>
        <v>1.0000000000000002</v>
      </c>
      <c r="K23" s="196"/>
      <c r="L23" s="116">
        <f t="shared" si="6"/>
        <v>0</v>
      </c>
      <c r="M23" s="102">
        <f t="shared" si="7"/>
        <v>2</v>
      </c>
      <c r="N23" s="184">
        <f t="shared" si="8"/>
        <v>1.0000000000000002</v>
      </c>
      <c r="P23" s="7" t="str">
        <f>IF(L23&gt;0,"Bought ",IF(L23&lt;0,"Sold ",""))&amp;IF(L23&lt;0,L23*-1,IF(L23&gt;0,L23,""))&amp;IF(L23&lt;&gt;0," Shares of State 1 at a cost of "&amp;ROUND($N23,5),"")</f>
        <v/>
      </c>
      <c r="Q23" s="7" t="str">
        <f>IF(M23&gt;0,"Bought ",IF(M23&lt;0,"Sold ",""))&amp;IF(M23&lt;0,M23*-1,IF(M23&gt;0,M23,""))&amp;IF(M23&lt;&gt;0," Shares of State 2 at a cost of "&amp;ROUND($N23,5),"")</f>
        <v>Bought 2 Shares of State 2 at a cost of 1</v>
      </c>
      <c r="R23" s="187" t="str">
        <f t="shared" ref="R23:R30" si="10">P23&amp;Q23</f>
        <v>Bought 2 Shares of State 2 at a cost of 1</v>
      </c>
    </row>
    <row r="24" spans="2:24" s="7" customFormat="1" ht="18.75" x14ac:dyDescent="0.3">
      <c r="B24" s="25">
        <v>4</v>
      </c>
      <c r="C24" s="457">
        <v>2</v>
      </c>
      <c r="D24" s="364">
        <v>2</v>
      </c>
      <c r="E24" s="458">
        <f t="shared" si="0"/>
        <v>0.5</v>
      </c>
      <c r="F24" s="459">
        <f t="shared" si="1"/>
        <v>0.5</v>
      </c>
      <c r="G24" s="448">
        <f t="shared" si="2"/>
        <v>14000</v>
      </c>
      <c r="H24" s="445">
        <f t="shared" si="3"/>
        <v>14000</v>
      </c>
      <c r="I24" s="341">
        <f t="shared" si="4"/>
        <v>2.901091334727929</v>
      </c>
      <c r="J24" s="208">
        <f t="shared" si="5"/>
        <v>0.40612730150965692</v>
      </c>
      <c r="K24" s="196"/>
      <c r="L24" s="116">
        <f t="shared" si="6"/>
        <v>1</v>
      </c>
      <c r="M24" s="102">
        <f t="shared" si="7"/>
        <v>0</v>
      </c>
      <c r="N24" s="184">
        <f t="shared" si="8"/>
        <v>0.40612730150965692</v>
      </c>
      <c r="P24" s="7" t="str">
        <f>IF(L24&gt;0,"Bought ",IF(L24&lt;0,"Sold ",""))&amp;IF(L24&lt;0,L24*-1,IF(L24&gt;0,L24,""))&amp;IF(L24&lt;&gt;0," Shares of State 1 at a cost of "&amp;ROUND($N24,5),"")</f>
        <v>Bought 1 Shares of State 1 at a cost of 0.40613</v>
      </c>
      <c r="Q24" s="7" t="str">
        <f>IF(M24&gt;0,"Bought ",IF(M24&lt;0,"Sold ",""))&amp;IF(M24&lt;0,M24*-1,IF(M24&gt;0,M24,""))&amp;IF(M24&lt;&gt;0," Shares of State 2 at a cost of "&amp;ROUND($N24,5),"")</f>
        <v/>
      </c>
      <c r="R24" s="187" t="str">
        <f t="shared" si="10"/>
        <v>Bought 1 Shares of State 1 at a cost of 0.40613</v>
      </c>
    </row>
    <row r="25" spans="2:24" s="7" customFormat="1" ht="18.75" x14ac:dyDescent="0.3">
      <c r="B25" s="25">
        <v>5</v>
      </c>
      <c r="C25" s="457">
        <v>2</v>
      </c>
      <c r="D25" s="364">
        <v>12</v>
      </c>
      <c r="E25" s="458">
        <f t="shared" si="0"/>
        <v>4.5611576405646073E-4</v>
      </c>
      <c r="F25" s="459">
        <f t="shared" si="1"/>
        <v>0.99954388423594354</v>
      </c>
      <c r="G25" s="448">
        <f t="shared" si="2"/>
        <v>8005.4733891686774</v>
      </c>
      <c r="H25" s="445">
        <f t="shared" si="3"/>
        <v>19994.526610831323</v>
      </c>
      <c r="I25" s="341">
        <f t="shared" si="4"/>
        <v>12.000593085761439</v>
      </c>
      <c r="J25" s="208">
        <f>(I25-I24)</f>
        <v>9.099501751033511</v>
      </c>
      <c r="K25" s="196"/>
      <c r="L25" s="116">
        <f t="shared" si="6"/>
        <v>0</v>
      </c>
      <c r="M25" s="102">
        <f t="shared" si="7"/>
        <v>10</v>
      </c>
      <c r="N25" s="184">
        <f t="shared" si="8"/>
        <v>9.099501751033511</v>
      </c>
      <c r="P25" s="7" t="str">
        <f t="shared" ref="P25:P29" si="11">IF(L25&gt;0,"Bought ",IF(L25&lt;0,"Sold ",""))&amp;IF(L25&lt;0,L25*-1,IF(L25&gt;0,L25,""))&amp;IF(L25&lt;&gt;0," Shares of State 1 at a cost of "&amp;ROUND($N25,5),"")</f>
        <v/>
      </c>
      <c r="Q25" s="7" t="str">
        <f t="shared" ref="Q25:Q29" si="12">IF(M25&gt;0,"Bought ",IF(M25&lt;0,"Sold ",""))&amp;IF(M25&lt;0,M25*-1,IF(M25&gt;0,M25,""))&amp;IF(M25&lt;&gt;0," Shares of State 2 at a cost of "&amp;ROUND($N25,5),"")</f>
        <v>Bought 10 Shares of State 2 at a cost of 9.0995</v>
      </c>
      <c r="R25" s="187" t="str">
        <f t="shared" ref="R25:R29" si="13">P25&amp;Q25</f>
        <v>Bought 10 Shares of State 2 at a cost of 9.0995</v>
      </c>
    </row>
    <row r="26" spans="2:24" s="7" customFormat="1" ht="18.75" x14ac:dyDescent="0.3">
      <c r="B26" s="25">
        <v>6</v>
      </c>
      <c r="C26" s="457">
        <v>12</v>
      </c>
      <c r="D26" s="364">
        <v>12</v>
      </c>
      <c r="E26" s="458">
        <f t="shared" si="0"/>
        <v>0.5</v>
      </c>
      <c r="F26" s="459">
        <f t="shared" si="1"/>
        <v>0.5</v>
      </c>
      <c r="G26" s="448">
        <f t="shared" si="2"/>
        <v>14000</v>
      </c>
      <c r="H26" s="445">
        <f t="shared" si="3"/>
        <v>14000</v>
      </c>
      <c r="I26" s="341">
        <f t="shared" si="4"/>
        <v>12.901091334727928</v>
      </c>
      <c r="J26" s="208">
        <f t="shared" si="5"/>
        <v>0.900498248966489</v>
      </c>
      <c r="K26" s="196"/>
      <c r="L26" s="116">
        <f t="shared" si="6"/>
        <v>10</v>
      </c>
      <c r="M26" s="102">
        <f t="shared" si="7"/>
        <v>0</v>
      </c>
      <c r="N26" s="184">
        <f t="shared" si="8"/>
        <v>0.900498248966489</v>
      </c>
      <c r="P26" s="7" t="str">
        <f t="shared" si="11"/>
        <v>Bought 10 Shares of State 1 at a cost of 0.9005</v>
      </c>
      <c r="Q26" s="7" t="str">
        <f t="shared" si="12"/>
        <v/>
      </c>
      <c r="R26" s="187" t="str">
        <f t="shared" si="13"/>
        <v>Bought 10 Shares of State 1 at a cost of 0.9005</v>
      </c>
    </row>
    <row r="27" spans="2:24" s="7" customFormat="1" ht="18.75" x14ac:dyDescent="0.3">
      <c r="B27" s="25">
        <v>7</v>
      </c>
      <c r="C27" s="457">
        <v>12</v>
      </c>
      <c r="D27" s="364">
        <v>10</v>
      </c>
      <c r="E27" s="458">
        <f t="shared" si="0"/>
        <v>0.82324096688122073</v>
      </c>
      <c r="F27" s="459">
        <f t="shared" si="1"/>
        <v>0.17675903311877933</v>
      </c>
      <c r="G27" s="448">
        <f t="shared" si="2"/>
        <v>17878.891602574651</v>
      </c>
      <c r="H27" s="445">
        <f t="shared" si="3"/>
        <v>10121.108397425352</v>
      </c>
      <c r="I27" s="341">
        <f t="shared" si="4"/>
        <v>12.252858229384495</v>
      </c>
      <c r="J27" s="208">
        <f t="shared" si="5"/>
        <v>-0.64823310534343292</v>
      </c>
      <c r="K27" s="196"/>
      <c r="L27" s="116">
        <f t="shared" si="6"/>
        <v>0</v>
      </c>
      <c r="M27" s="102">
        <f t="shared" si="7"/>
        <v>-2</v>
      </c>
      <c r="N27" s="184">
        <f t="shared" si="8"/>
        <v>-0.64823310534343292</v>
      </c>
      <c r="P27" s="7" t="str">
        <f t="shared" si="11"/>
        <v/>
      </c>
      <c r="Q27" s="7" t="str">
        <f t="shared" si="12"/>
        <v>Sold 2 Shares of State 2 at a cost of -0.64823</v>
      </c>
      <c r="R27" s="187" t="str">
        <f t="shared" si="13"/>
        <v>Sold 2 Shares of State 2 at a cost of -0.64823</v>
      </c>
    </row>
    <row r="28" spans="2:24" s="7" customFormat="1" ht="18.75" x14ac:dyDescent="0.3">
      <c r="B28" s="25">
        <v>8</v>
      </c>
      <c r="C28" s="457">
        <v>8</v>
      </c>
      <c r="D28" s="364">
        <v>10</v>
      </c>
      <c r="E28" s="458">
        <f t="shared" si="0"/>
        <v>0.1767590331187793</v>
      </c>
      <c r="F28" s="459">
        <f t="shared" si="1"/>
        <v>0.82324096688122073</v>
      </c>
      <c r="G28" s="448">
        <f t="shared" si="2"/>
        <v>10121.108397425352</v>
      </c>
      <c r="H28" s="445">
        <f t="shared" si="3"/>
        <v>17878.891602574651</v>
      </c>
      <c r="I28" s="341">
        <f t="shared" si="4"/>
        <v>10.252858229384497</v>
      </c>
      <c r="J28" s="208">
        <f t="shared" si="5"/>
        <v>-1.9999999999999982</v>
      </c>
      <c r="K28" s="196"/>
      <c r="L28" s="116">
        <f t="shared" si="6"/>
        <v>-4</v>
      </c>
      <c r="M28" s="102">
        <f t="shared" si="7"/>
        <v>0</v>
      </c>
      <c r="N28" s="184">
        <f t="shared" si="8"/>
        <v>-1.9999999999999982</v>
      </c>
      <c r="P28" s="7" t="str">
        <f t="shared" si="11"/>
        <v>Sold 4 Shares of State 1 at a cost of -2</v>
      </c>
      <c r="Q28" s="7" t="str">
        <f t="shared" si="12"/>
        <v/>
      </c>
      <c r="R28" s="187" t="str">
        <f t="shared" si="13"/>
        <v>Sold 4 Shares of State 1 at a cost of -2</v>
      </c>
    </row>
    <row r="29" spans="2:24" s="7" customFormat="1" ht="18.75" x14ac:dyDescent="0.3">
      <c r="B29" s="25">
        <v>9</v>
      </c>
      <c r="C29" s="457">
        <v>12</v>
      </c>
      <c r="D29" s="364">
        <v>10</v>
      </c>
      <c r="E29" s="458">
        <f t="shared" si="0"/>
        <v>0.82324096688122073</v>
      </c>
      <c r="F29" s="459">
        <f t="shared" si="1"/>
        <v>0.17675903311877933</v>
      </c>
      <c r="G29" s="448">
        <f t="shared" si="2"/>
        <v>17878.891602574651</v>
      </c>
      <c r="H29" s="445">
        <f t="shared" si="3"/>
        <v>10121.108397425352</v>
      </c>
      <c r="I29" s="341">
        <f t="shared" si="4"/>
        <v>12.252858229384495</v>
      </c>
      <c r="J29" s="208">
        <f t="shared" si="5"/>
        <v>1.9999999999999982</v>
      </c>
      <c r="K29" s="196"/>
      <c r="L29" s="116">
        <f t="shared" si="6"/>
        <v>4</v>
      </c>
      <c r="M29" s="102">
        <f t="shared" si="7"/>
        <v>0</v>
      </c>
      <c r="N29" s="184">
        <f t="shared" si="8"/>
        <v>1.9999999999999982</v>
      </c>
      <c r="P29" s="7" t="str">
        <f t="shared" si="11"/>
        <v>Bought 4 Shares of State 1 at a cost of 2</v>
      </c>
      <c r="Q29" s="7" t="str">
        <f t="shared" si="12"/>
        <v/>
      </c>
      <c r="R29" s="187" t="str">
        <f t="shared" si="13"/>
        <v>Bought 4 Shares of State 1 at a cost of 2</v>
      </c>
    </row>
    <row r="30" spans="2:24" s="7" customFormat="1" ht="19.5" thickBot="1" x14ac:dyDescent="0.35">
      <c r="B30" s="25">
        <v>10</v>
      </c>
      <c r="C30" s="249">
        <v>12</v>
      </c>
      <c r="D30" s="175">
        <v>10</v>
      </c>
      <c r="E30" s="460">
        <f>EXP(C30/$D$15)/(EXP($D30/$D$15)+EXP($C30/$D$15))</f>
        <v>0.82324096688122073</v>
      </c>
      <c r="F30" s="461">
        <f t="shared" si="1"/>
        <v>0.17675903311877933</v>
      </c>
      <c r="G30" s="449">
        <f t="shared" si="2"/>
        <v>17878.891602574651</v>
      </c>
      <c r="H30" s="446">
        <f t="shared" si="3"/>
        <v>10121.108397425352</v>
      </c>
      <c r="I30" s="342">
        <f t="shared" si="4"/>
        <v>12.252858229384495</v>
      </c>
      <c r="J30" s="435">
        <f>(I30-I29)</f>
        <v>0</v>
      </c>
      <c r="K30" s="196"/>
      <c r="L30" s="121">
        <f t="shared" si="6"/>
        <v>0</v>
      </c>
      <c r="M30" s="104">
        <f t="shared" si="7"/>
        <v>0</v>
      </c>
      <c r="N30" s="184">
        <f t="shared" si="8"/>
        <v>0</v>
      </c>
      <c r="P30" s="7" t="str">
        <f>IF(L30&gt;0,"Bought ",IF(L30&lt;0,"Sold ",""))&amp;IF(L30&lt;0,L30*-1,IF(L30&gt;0,L30,""))&amp;IF(L30&lt;&gt;0," Shares of State 1 at a cost of "&amp;ROUND($N30,5),"")</f>
        <v/>
      </c>
      <c r="Q30" s="7" t="str">
        <f>IF(M30&gt;0,"Bought ",IF(M30&lt;0,"Sold ",""))&amp;IF(M30&lt;0,M30*-1,IF(M30&gt;0,M30,""))&amp;IF(M30&lt;&gt;0," Shares of State 2 at a cost of "&amp;ROUND($N30,5),"")</f>
        <v/>
      </c>
      <c r="R30" s="187" t="str">
        <f t="shared" si="10"/>
        <v/>
      </c>
    </row>
    <row r="31" spans="2:24" s="7" customFormat="1" ht="16.5" thickTop="1" thickBot="1" x14ac:dyDescent="0.3">
      <c r="B31" s="25" t="s">
        <v>97</v>
      </c>
      <c r="C31" s="380">
        <f>C30</f>
        <v>12</v>
      </c>
      <c r="D31" s="377">
        <f>D30</f>
        <v>10</v>
      </c>
      <c r="E31" s="430">
        <f>E35</f>
        <v>0.33103416666666663</v>
      </c>
      <c r="F31" s="431">
        <f>F35</f>
        <v>0.66896583333333337</v>
      </c>
      <c r="G31" s="450">
        <f t="shared" si="2"/>
        <v>11972.41</v>
      </c>
      <c r="H31" s="451">
        <f t="shared" si="3"/>
        <v>16027.59</v>
      </c>
      <c r="I31" s="443">
        <f t="shared" si="4"/>
        <v>12.252858229384495</v>
      </c>
      <c r="J31" s="196"/>
      <c r="K31" s="8"/>
      <c r="Q31" s="8"/>
      <c r="R31" s="8"/>
      <c r="S31" s="8"/>
    </row>
    <row r="32" spans="2:24" s="7" customFormat="1" ht="19.5" thickBot="1" x14ac:dyDescent="0.35">
      <c r="B32"/>
      <c r="C32" s="33"/>
      <c r="D32" s="33"/>
      <c r="E32" s="86"/>
      <c r="F32" s="86"/>
      <c r="G32" s="33"/>
      <c r="H32" s="33"/>
      <c r="I32" s="265">
        <f>SUMPRODUCT(C31:D31,E31:F31)</f>
        <v>10.662068333333334</v>
      </c>
      <c r="J32" t="s">
        <v>110</v>
      </c>
      <c r="Q32"/>
      <c r="R32" s="187" t="str">
        <f>C31&amp;" Shares of State 1 were redeemed for "&amp;ROUND(E31,3)&amp;" each, and "&amp;D31&amp;" Shares of State 2 were redeemed for "&amp;ROUND(F31,3)&amp;" each."</f>
        <v>12 Shares of State 1 were redeemed for 0.331 each, and 10 Shares of State 2 were redeemed for 0.669 each.</v>
      </c>
      <c r="S32"/>
    </row>
    <row r="33" spans="2:19" s="7" customFormat="1" ht="19.5" thickBot="1" x14ac:dyDescent="0.35">
      <c r="C33" s="142"/>
      <c r="E33" s="18"/>
      <c r="F33" s="18"/>
      <c r="G33" s="17"/>
      <c r="H33" s="209"/>
      <c r="I33" s="265">
        <f>I31-I32</f>
        <v>1.5907898960511613</v>
      </c>
      <c r="J33" s="7" t="s">
        <v>102</v>
      </c>
      <c r="R33" s="187" t="str">
        <f>ROUND(I33,2)&amp;" from the liquidity pool was left over, it was returned to the author."</f>
        <v>1.59 from the liquidity pool was left over, it was returned to the author.</v>
      </c>
    </row>
    <row r="34" spans="2:19" s="7" customFormat="1" ht="19.5" thickBot="1" x14ac:dyDescent="0.35">
      <c r="C34" s="1"/>
      <c r="D34" s="152"/>
      <c r="E34" s="270" t="s">
        <v>171</v>
      </c>
      <c r="F34" s="432" t="s">
        <v>154</v>
      </c>
      <c r="G34" s="17"/>
      <c r="H34" s="209"/>
      <c r="I34" s="263">
        <f>I21-I33</f>
        <v>-0.68969856132323237</v>
      </c>
      <c r="J34" s="54" t="s">
        <v>103</v>
      </c>
      <c r="O34" s="8"/>
      <c r="P34" s="8"/>
      <c r="Q34" s="8"/>
      <c r="R34" s="187" t="str">
        <f>"All in all, it took "&amp;ROUND(I34,2)&amp;" to make this Market."</f>
        <v>All in all, it took -0.69 to make this Market.</v>
      </c>
      <c r="S34" s="28"/>
    </row>
    <row r="35" spans="2:19" ht="15.75" thickBot="1" x14ac:dyDescent="0.3">
      <c r="C35" s="290" t="s">
        <v>172</v>
      </c>
      <c r="D35" s="429">
        <v>16027.59</v>
      </c>
      <c r="E35" s="433">
        <f>1-F35</f>
        <v>0.33103416666666663</v>
      </c>
      <c r="F35" s="434">
        <f>(D35-D6)/D8</f>
        <v>0.66896583333333337</v>
      </c>
      <c r="H35" s="209"/>
      <c r="J35" s="190"/>
      <c r="R35" s="28" t="s">
        <v>217</v>
      </c>
    </row>
    <row r="36" spans="2:19" x14ac:dyDescent="0.25">
      <c r="C36" s="33" t="s">
        <v>215</v>
      </c>
      <c r="H36" s="209"/>
      <c r="R36" t="s">
        <v>216</v>
      </c>
    </row>
    <row r="37" spans="2:19" x14ac:dyDescent="0.25">
      <c r="C37" s="33" t="s">
        <v>221</v>
      </c>
      <c r="H37" s="209"/>
    </row>
    <row r="38" spans="2:19" x14ac:dyDescent="0.25">
      <c r="H38" s="209"/>
    </row>
    <row r="39" spans="2:19" x14ac:dyDescent="0.25">
      <c r="B39" t="s">
        <v>146</v>
      </c>
    </row>
    <row r="40" spans="2:19" x14ac:dyDescent="0.25">
      <c r="B40" s="33" t="s">
        <v>105</v>
      </c>
    </row>
    <row r="41" spans="2:19" x14ac:dyDescent="0.25">
      <c r="B41" s="33" t="s">
        <v>104</v>
      </c>
    </row>
    <row r="43" spans="2:19" x14ac:dyDescent="0.25">
      <c r="B43" s="33" t="s">
        <v>213</v>
      </c>
    </row>
    <row r="45" spans="2:19" x14ac:dyDescent="0.25">
      <c r="B45" t="s">
        <v>147</v>
      </c>
    </row>
    <row r="47" spans="2:19" x14ac:dyDescent="0.25">
      <c r="B47" t="s">
        <v>220</v>
      </c>
    </row>
    <row r="49" spans="2:5" x14ac:dyDescent="0.25">
      <c r="B49" t="s">
        <v>444</v>
      </c>
    </row>
    <row r="50" spans="2:5" x14ac:dyDescent="0.25">
      <c r="B50" s="33"/>
      <c r="C50" s="190"/>
      <c r="E50" s="7"/>
    </row>
    <row r="51" spans="2:5" x14ac:dyDescent="0.25">
      <c r="C51" s="462">
        <f>SUM(E23:F23)</f>
        <v>1</v>
      </c>
    </row>
    <row r="52" spans="2:5" x14ac:dyDescent="0.25">
      <c r="C52" s="462">
        <f t="shared" ref="C52:C53" si="14">SUM(E24:F24)</f>
        <v>1</v>
      </c>
    </row>
    <row r="53" spans="2:5" x14ac:dyDescent="0.25">
      <c r="C53" s="462">
        <f t="shared" si="14"/>
        <v>1</v>
      </c>
    </row>
    <row r="54" spans="2:5" x14ac:dyDescent="0.25">
      <c r="C54" s="462"/>
    </row>
    <row r="55" spans="2:5" x14ac:dyDescent="0.25">
      <c r="B55" t="s">
        <v>222</v>
      </c>
      <c r="C55" s="462"/>
    </row>
    <row r="57" spans="2:5" x14ac:dyDescent="0.25">
      <c r="C57" s="463">
        <f>G22-G21</f>
        <v>2200.2536422533958</v>
      </c>
      <c r="D57" s="463">
        <f t="shared" ref="C57:D60" si="15">H22-H21</f>
        <v>-2200.2536422533958</v>
      </c>
    </row>
    <row r="58" spans="2:5" x14ac:dyDescent="0.25">
      <c r="C58" s="463">
        <f t="shared" si="15"/>
        <v>-4400.5072845067916</v>
      </c>
      <c r="D58" s="463">
        <f t="shared" si="15"/>
        <v>4400.5072845067916</v>
      </c>
    </row>
    <row r="59" spans="2:5" x14ac:dyDescent="0.25">
      <c r="C59" s="463">
        <f t="shared" si="15"/>
        <v>2200.2536422533958</v>
      </c>
      <c r="D59" s="463">
        <f t="shared" si="15"/>
        <v>-2200.2536422533958</v>
      </c>
    </row>
    <row r="60" spans="2:5" x14ac:dyDescent="0.25">
      <c r="C60" s="463">
        <f t="shared" si="15"/>
        <v>-5994.5266108313226</v>
      </c>
      <c r="D60" s="463">
        <f t="shared" si="15"/>
        <v>5994.5266108313226</v>
      </c>
    </row>
    <row r="61" spans="2:5" x14ac:dyDescent="0.25">
      <c r="C61" s="463"/>
      <c r="D61" s="463"/>
    </row>
    <row r="62" spans="2:5" x14ac:dyDescent="0.25">
      <c r="C62" s="463"/>
      <c r="D62" s="463"/>
    </row>
    <row r="63" spans="2:5" x14ac:dyDescent="0.25">
      <c r="C63" s="463"/>
      <c r="D63" s="463"/>
    </row>
    <row r="64" spans="2:5" x14ac:dyDescent="0.25">
      <c r="C64" s="463"/>
      <c r="D64" s="463"/>
    </row>
    <row r="65" spans="3:4" x14ac:dyDescent="0.25">
      <c r="C65" s="463"/>
      <c r="D65" s="463"/>
    </row>
  </sheetData>
  <mergeCells count="3">
    <mergeCell ref="L19:M19"/>
    <mergeCell ref="B5:B11"/>
    <mergeCell ref="B13:B17"/>
  </mergeCells>
  <hyperlinks>
    <hyperlink ref="D9" r:id="rId1" xr:uid="{00000000-0004-0000-0300-000000000000}"/>
    <hyperlink ref="D10" r:id="rId2" xr:uid="{00000000-0004-0000-0300-000001000000}"/>
    <hyperlink ref="D11" r:id="rId3" xr:uid="{00000000-0004-0000-0300-000002000000}"/>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B2:AJ89"/>
  <sheetViews>
    <sheetView zoomScale="85" zoomScaleNormal="85" workbookViewId="0">
      <selection activeCell="BA35" sqref="BA35"/>
    </sheetView>
  </sheetViews>
  <sheetFormatPr defaultRowHeight="15" x14ac:dyDescent="0.25"/>
  <cols>
    <col min="3" max="3" width="13.28515625" customWidth="1"/>
    <col min="5" max="21" width="11.42578125" style="33" customWidth="1"/>
    <col min="22" max="23" width="12" style="33" customWidth="1"/>
    <col min="24" max="24" width="32.140625" customWidth="1"/>
    <col min="25" max="25" width="13.5703125" customWidth="1"/>
    <col min="26" max="26" width="22.140625" customWidth="1"/>
    <col min="27" max="27" width="18.140625" hidden="1" customWidth="1"/>
    <col min="28" max="28" width="61.140625" hidden="1" customWidth="1"/>
    <col min="29" max="29" width="62.140625" hidden="1" customWidth="1"/>
    <col min="30" max="30" width="156" hidden="1" customWidth="1"/>
    <col min="31" max="31" width="0" hidden="1" customWidth="1"/>
    <col min="32" max="32" width="12.140625" hidden="1" customWidth="1"/>
    <col min="33" max="33" width="10.5703125" hidden="1" customWidth="1"/>
    <col min="34" max="35" width="0" hidden="1" customWidth="1"/>
    <col min="36" max="36" width="11.140625" hidden="1" customWidth="1"/>
    <col min="37" max="45" width="0" hidden="1" customWidth="1"/>
  </cols>
  <sheetData>
    <row r="2" spans="2:13" ht="31.5" x14ac:dyDescent="0.5">
      <c r="B2" s="188" t="s">
        <v>336</v>
      </c>
      <c r="D2" s="141"/>
    </row>
    <row r="3" spans="2:13" ht="31.5" x14ac:dyDescent="0.5">
      <c r="B3" s="188"/>
      <c r="D3" s="141"/>
    </row>
    <row r="4" spans="2:13" x14ac:dyDescent="0.25">
      <c r="C4" s="1172" t="s">
        <v>163</v>
      </c>
      <c r="D4" s="152" t="s">
        <v>101</v>
      </c>
      <c r="E4" s="152" t="s">
        <v>687</v>
      </c>
      <c r="F4" s="152"/>
      <c r="G4" s="266"/>
      <c r="H4" s="266"/>
      <c r="I4" s="266"/>
      <c r="J4" s="266"/>
      <c r="K4" s="266"/>
      <c r="L4" s="266"/>
      <c r="M4" s="261"/>
    </row>
    <row r="5" spans="2:13" x14ac:dyDescent="0.25">
      <c r="C5" s="1173"/>
      <c r="D5" s="17" t="s">
        <v>149</v>
      </c>
      <c r="E5" s="18">
        <v>2</v>
      </c>
      <c r="F5" s="7" t="s">
        <v>150</v>
      </c>
      <c r="G5" s="17"/>
      <c r="H5" s="17" t="s">
        <v>250</v>
      </c>
      <c r="I5" s="17"/>
      <c r="J5" s="17"/>
      <c r="K5" s="17"/>
      <c r="L5" s="17"/>
      <c r="M5" s="241"/>
    </row>
    <row r="6" spans="2:13" x14ac:dyDescent="0.25">
      <c r="C6" s="1173"/>
      <c r="D6" s="17" t="s">
        <v>152</v>
      </c>
      <c r="E6" s="18">
        <v>50</v>
      </c>
      <c r="F6" s="7" t="s">
        <v>151</v>
      </c>
      <c r="G6" s="17"/>
      <c r="H6" s="17" t="s">
        <v>249</v>
      </c>
      <c r="I6" s="17"/>
      <c r="J6" s="17"/>
      <c r="K6" s="17"/>
      <c r="L6" s="17"/>
      <c r="M6" s="241"/>
    </row>
    <row r="7" spans="2:13" x14ac:dyDescent="0.25">
      <c r="C7" s="1173"/>
      <c r="D7" s="142" t="s">
        <v>153</v>
      </c>
      <c r="E7" s="18">
        <f>E6-E5</f>
        <v>48</v>
      </c>
      <c r="F7" s="7" t="s">
        <v>154</v>
      </c>
      <c r="G7" s="17"/>
      <c r="H7" s="17"/>
      <c r="I7" s="17"/>
      <c r="J7" s="17"/>
      <c r="K7" s="17"/>
      <c r="L7" s="17"/>
      <c r="M7" s="241"/>
    </row>
    <row r="8" spans="2:13" x14ac:dyDescent="0.25">
      <c r="C8" s="1173"/>
      <c r="D8" s="142" t="s">
        <v>157</v>
      </c>
      <c r="E8" s="192" t="s">
        <v>170</v>
      </c>
      <c r="F8" s="8" t="s">
        <v>160</v>
      </c>
      <c r="G8" s="17"/>
      <c r="H8" s="17"/>
      <c r="I8" s="17"/>
      <c r="J8" s="17"/>
      <c r="K8" s="17"/>
      <c r="L8" s="17"/>
      <c r="M8" s="241"/>
    </row>
    <row r="9" spans="2:13" x14ac:dyDescent="0.25">
      <c r="C9" s="1173"/>
      <c r="D9" s="142" t="s">
        <v>158</v>
      </c>
      <c r="E9" s="192"/>
      <c r="F9" s="8" t="s">
        <v>161</v>
      </c>
      <c r="G9" s="17"/>
      <c r="H9" s="17"/>
      <c r="I9" s="17"/>
      <c r="J9" s="17"/>
      <c r="K9" s="17"/>
      <c r="L9" s="17"/>
      <c r="M9" s="241"/>
    </row>
    <row r="10" spans="2:13" x14ac:dyDescent="0.25">
      <c r="C10" s="1174"/>
      <c r="D10" s="267" t="s">
        <v>159</v>
      </c>
      <c r="E10" s="268"/>
      <c r="F10" s="269" t="s">
        <v>162</v>
      </c>
      <c r="G10" s="259"/>
      <c r="H10" s="259"/>
      <c r="I10" s="259"/>
      <c r="J10" s="259"/>
      <c r="K10" s="259"/>
      <c r="L10" s="259"/>
      <c r="M10" s="262"/>
    </row>
    <row r="11" spans="2:13" x14ac:dyDescent="0.25">
      <c r="C11" s="258"/>
      <c r="D11" s="142"/>
      <c r="E11" s="192"/>
      <c r="F11" s="8"/>
      <c r="G11" s="17"/>
      <c r="H11" s="17"/>
      <c r="I11" s="17"/>
      <c r="J11" s="17"/>
      <c r="K11" s="17"/>
      <c r="L11" s="17"/>
    </row>
    <row r="12" spans="2:13" x14ac:dyDescent="0.25">
      <c r="C12" s="1172" t="s">
        <v>167</v>
      </c>
      <c r="D12" s="152" t="s">
        <v>4</v>
      </c>
      <c r="E12" s="266" t="s">
        <v>689</v>
      </c>
      <c r="F12" s="152"/>
      <c r="G12" s="266"/>
      <c r="H12" s="273"/>
      <c r="I12" s="266"/>
      <c r="J12" s="261"/>
      <c r="K12" s="17"/>
      <c r="L12" s="17"/>
    </row>
    <row r="13" spans="2:13" x14ac:dyDescent="0.25">
      <c r="C13" s="1173"/>
      <c r="D13" s="17" t="s">
        <v>134</v>
      </c>
      <c r="E13" s="17" t="s">
        <v>3</v>
      </c>
      <c r="F13" s="7"/>
      <c r="G13" s="17"/>
      <c r="H13" s="191"/>
      <c r="I13" s="17"/>
      <c r="J13" s="241"/>
      <c r="K13" s="17"/>
      <c r="L13" s="17"/>
    </row>
    <row r="14" spans="2:13" x14ac:dyDescent="0.25">
      <c r="C14" s="1174"/>
      <c r="D14" s="259" t="s">
        <v>135</v>
      </c>
      <c r="E14" s="259" t="s">
        <v>2</v>
      </c>
      <c r="F14" s="247"/>
      <c r="G14" s="259"/>
      <c r="H14" s="274"/>
      <c r="I14" s="259"/>
      <c r="J14" s="262"/>
      <c r="K14" s="17"/>
      <c r="L14" s="17"/>
    </row>
    <row r="15" spans="2:13" ht="15.75" thickBot="1" x14ac:dyDescent="0.3">
      <c r="C15" s="258"/>
      <c r="D15" s="142"/>
      <c r="E15" s="192"/>
      <c r="F15" s="8"/>
      <c r="G15" s="17"/>
      <c r="H15" s="17"/>
      <c r="I15" s="17"/>
      <c r="J15" s="17"/>
      <c r="K15" s="17"/>
      <c r="L15" s="17"/>
    </row>
    <row r="16" spans="2:13" x14ac:dyDescent="0.25">
      <c r="C16" s="1175" t="s">
        <v>152</v>
      </c>
      <c r="D16" s="275" t="s">
        <v>164</v>
      </c>
      <c r="E16" s="276" t="s">
        <v>168</v>
      </c>
      <c r="F16" s="253" t="s">
        <v>166</v>
      </c>
      <c r="G16" s="253"/>
      <c r="H16" s="253"/>
      <c r="I16" s="251"/>
    </row>
    <row r="17" spans="2:36" x14ac:dyDescent="0.25">
      <c r="C17" s="1176"/>
      <c r="D17" s="17" t="s">
        <v>139</v>
      </c>
      <c r="E17" s="256">
        <v>4</v>
      </c>
      <c r="F17" s="17" t="s">
        <v>140</v>
      </c>
      <c r="G17" s="17"/>
      <c r="H17" s="17"/>
      <c r="I17" s="197"/>
    </row>
    <row r="18" spans="2:36" x14ac:dyDescent="0.25">
      <c r="C18" s="1176"/>
      <c r="D18" s="17" t="s">
        <v>5</v>
      </c>
      <c r="E18" s="18">
        <v>166</v>
      </c>
      <c r="F18" s="17" t="s">
        <v>143</v>
      </c>
      <c r="G18" s="17"/>
      <c r="H18" s="17"/>
      <c r="I18" s="197"/>
    </row>
    <row r="19" spans="2:36" x14ac:dyDescent="0.25">
      <c r="C19" s="1176"/>
      <c r="D19" s="142" t="s">
        <v>155</v>
      </c>
      <c r="E19" s="18">
        <f>E7</f>
        <v>48</v>
      </c>
      <c r="F19" s="142" t="s">
        <v>156</v>
      </c>
      <c r="G19" s="17"/>
      <c r="H19" s="17"/>
      <c r="I19" s="197"/>
    </row>
    <row r="20" spans="2:36" ht="15.75" thickBot="1" x14ac:dyDescent="0.3">
      <c r="C20" s="1177"/>
      <c r="D20" s="168" t="s">
        <v>141</v>
      </c>
      <c r="E20" s="277">
        <f>E18*E19*LN(E17)</f>
        <v>11045.993469403287</v>
      </c>
      <c r="F20" s="168" t="s">
        <v>142</v>
      </c>
      <c r="G20" s="254"/>
      <c r="H20" s="254"/>
      <c r="I20" s="252"/>
      <c r="S20" s="33" t="s">
        <v>688</v>
      </c>
    </row>
    <row r="21" spans="2:36" x14ac:dyDescent="0.25">
      <c r="B21" s="7"/>
    </row>
    <row r="22" spans="2:3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c r="Y22"/>
      <c r="Z22"/>
      <c r="AA22"/>
      <c r="AB22"/>
      <c r="AC22"/>
      <c r="AD22"/>
      <c r="AE22" t="s">
        <v>694</v>
      </c>
      <c r="AF22" s="8" t="s">
        <v>695</v>
      </c>
      <c r="AG22" s="7" t="s">
        <v>696</v>
      </c>
      <c r="AH22" s="8" t="s">
        <v>697</v>
      </c>
    </row>
    <row r="23" spans="2:36" s="7" customFormat="1" ht="24.75" customHeight="1" thickBot="1" x14ac:dyDescent="0.35">
      <c r="D23"/>
      <c r="E23" s="61" t="s">
        <v>12</v>
      </c>
      <c r="F23" s="62"/>
      <c r="G23" s="62"/>
      <c r="H23" s="63"/>
      <c r="I23" s="62" t="s">
        <v>13</v>
      </c>
      <c r="J23" s="62"/>
      <c r="K23" s="62"/>
      <c r="L23" s="62"/>
      <c r="M23" s="61" t="s">
        <v>698</v>
      </c>
      <c r="N23" s="62"/>
      <c r="O23" s="62"/>
      <c r="P23" s="239"/>
      <c r="Q23" s="1154" t="s">
        <v>701</v>
      </c>
      <c r="R23" s="1155"/>
      <c r="S23" s="62" t="s">
        <v>706</v>
      </c>
      <c r="T23" s="62"/>
      <c r="U23" s="61" t="s">
        <v>36</v>
      </c>
      <c r="V23" s="63" t="s">
        <v>35</v>
      </c>
      <c r="W23" s="195"/>
      <c r="X23" s="1178" t="s">
        <v>98</v>
      </c>
      <c r="Y23" s="1179"/>
      <c r="Z23" s="185" t="s">
        <v>99</v>
      </c>
      <c r="AB23" s="7" t="s">
        <v>100</v>
      </c>
      <c r="AC23" s="20"/>
      <c r="AD23" s="186" t="s">
        <v>100</v>
      </c>
      <c r="AE23" s="1216" t="s">
        <v>684</v>
      </c>
      <c r="AF23" s="1216"/>
      <c r="AG23" s="1216" t="s">
        <v>683</v>
      </c>
      <c r="AH23" s="1216"/>
    </row>
    <row r="24" spans="2:36" s="7" customFormat="1" ht="16.5" thickTop="1" thickBot="1" x14ac:dyDescent="0.3">
      <c r="C24" s="32"/>
      <c r="D24" s="117" t="s">
        <v>45</v>
      </c>
      <c r="E24" s="174" t="str">
        <f>"i="&amp;$E$5&amp;", 0"</f>
        <v>i=2, 0</v>
      </c>
      <c r="F24" s="178" t="str">
        <f>"i="&amp;$E$5&amp;", 1"</f>
        <v>i=2, 1</v>
      </c>
      <c r="G24" s="175" t="str">
        <f>"i="&amp;$E$6&amp;", 0"</f>
        <v>i=50, 0</v>
      </c>
      <c r="H24" s="179" t="str">
        <f>"i="&amp;$E$6&amp;", 1"</f>
        <v>i=50, 1</v>
      </c>
      <c r="I24" s="176" t="str">
        <f>"i="&amp;$E$5&amp;", 0"</f>
        <v>i=2, 0</v>
      </c>
      <c r="J24" s="178" t="str">
        <f>"i="&amp;$E$5&amp;", 1"</f>
        <v>i=2, 1</v>
      </c>
      <c r="K24" s="175" t="str">
        <f>"i="&amp;$E$6&amp;", 0"</f>
        <v>i=50, 0</v>
      </c>
      <c r="L24" s="238" t="str">
        <f>"i="&amp;$E$6&amp;", 1"</f>
        <v>i=50, 1</v>
      </c>
      <c r="M24" s="1149" t="s">
        <v>699</v>
      </c>
      <c r="N24" s="178" t="s">
        <v>700</v>
      </c>
      <c r="O24" s="1132" t="s">
        <v>704</v>
      </c>
      <c r="P24" s="1145" t="s">
        <v>705</v>
      </c>
      <c r="Q24" s="1156" t="s">
        <v>702</v>
      </c>
      <c r="R24" s="194" t="s">
        <v>703</v>
      </c>
      <c r="S24" s="193" t="s">
        <v>702</v>
      </c>
      <c r="T24" s="194" t="s">
        <v>703</v>
      </c>
      <c r="U24" s="42">
        <v>0</v>
      </c>
      <c r="V24" s="43"/>
      <c r="W24" s="142"/>
      <c r="X24" s="182" t="str">
        <f>E24</f>
        <v>i=2, 0</v>
      </c>
      <c r="Y24" s="183" t="str">
        <f>H24</f>
        <v>i=50, 1</v>
      </c>
      <c r="AD24"/>
      <c r="AE24" s="1110" t="s">
        <v>3</v>
      </c>
      <c r="AF24" s="1110" t="s">
        <v>2</v>
      </c>
      <c r="AG24" s="1110" t="s">
        <v>686</v>
      </c>
      <c r="AH24" s="1110" t="s">
        <v>685</v>
      </c>
    </row>
    <row r="25" spans="2:36" s="7" customFormat="1" ht="18" customHeight="1" thickTop="1" x14ac:dyDescent="0.25">
      <c r="D25" s="25">
        <v>1</v>
      </c>
      <c r="E25" s="217">
        <v>0</v>
      </c>
      <c r="F25" s="216">
        <v>0</v>
      </c>
      <c r="G25" s="215">
        <v>0</v>
      </c>
      <c r="H25" s="214">
        <v>0</v>
      </c>
      <c r="I25" s="213">
        <f t="shared" ref="I25:I49" si="0">EXP(E25/$E$18)/(EXP($E25/$E$18)+EXP($F25/$E$18)+EXP($G25/$E$18)+EXP($H25/$E$18))</f>
        <v>0.25</v>
      </c>
      <c r="J25" s="212">
        <f t="shared" ref="J25:J49" si="1">EXP(F25/$E$18)/(EXP($E25/$E$18)+EXP($F25/$E$18)+EXP($G25/$E$18)+EXP($H25/$E$18))</f>
        <v>0.25</v>
      </c>
      <c r="K25" s="211">
        <f t="shared" ref="K25:K49" si="2">EXP(G25/$E$18)/(EXP($E25/$E$18)+EXP($F25/$E$18)+EXP($G25/$E$18)+EXP($H25/$E$18))</f>
        <v>0.25</v>
      </c>
      <c r="L25" s="210">
        <f t="shared" ref="L25:L49" si="3">EXP(H25/$E$18)/(EXP($E25/$E$18)+EXP($F25/$E$18)+EXP($G25/$E$18)+EXP($H25/$E$18))</f>
        <v>0.25</v>
      </c>
      <c r="M25" s="1150">
        <f>SUM(I25,J25)</f>
        <v>0.5</v>
      </c>
      <c r="N25" s="237">
        <f>SUM(K25:L25)</f>
        <v>0.5</v>
      </c>
      <c r="O25" s="1133">
        <f>SUM(I25,K25)</f>
        <v>0.5</v>
      </c>
      <c r="P25" s="1146">
        <f>SUM(J25,L25)</f>
        <v>0.5</v>
      </c>
      <c r="Q25" s="1141">
        <f>K25/O25</f>
        <v>0.5</v>
      </c>
      <c r="R25" s="1157">
        <f>L25/P25</f>
        <v>0.5</v>
      </c>
      <c r="S25" s="1141">
        <f>(Q25*$E$7)+$E$5</f>
        <v>26</v>
      </c>
      <c r="T25" s="1158">
        <f t="shared" ref="T25:T49" si="4">(R25*$E$7)+$E$5</f>
        <v>26</v>
      </c>
      <c r="U25" s="81">
        <f>$E$18*$E$19*LN(EXP($E25/$E$18) + EXP($F25/$E$18) + EXP($G25/$E$18) +EXP($H25/$E$18) )</f>
        <v>11045.993469403287</v>
      </c>
      <c r="V25" s="46">
        <f>(U25-U24)</f>
        <v>11045.993469403287</v>
      </c>
      <c r="W25" s="196"/>
      <c r="X25" s="116"/>
      <c r="Y25" s="102"/>
      <c r="AD25"/>
      <c r="AE25" s="189">
        <f>SUM(I25,K25)</f>
        <v>0.5</v>
      </c>
      <c r="AF25" s="189">
        <f>SUM(J25,L25)</f>
        <v>0.5</v>
      </c>
      <c r="AG25" s="189">
        <f>SUM(I25:J25)</f>
        <v>0.5</v>
      </c>
      <c r="AH25" s="189">
        <f>SUM(K25:L25)</f>
        <v>0.5</v>
      </c>
      <c r="AJ25" s="189"/>
    </row>
    <row r="26" spans="2:36" s="7" customFormat="1" ht="18.75" x14ac:dyDescent="0.3">
      <c r="D26" s="25">
        <v>2</v>
      </c>
      <c r="E26" s="235">
        <v>23.397544976303106</v>
      </c>
      <c r="F26" s="234">
        <v>26.692999397169718</v>
      </c>
      <c r="G26" s="233">
        <v>0</v>
      </c>
      <c r="H26" s="232">
        <v>56.507625494558695</v>
      </c>
      <c r="I26" s="231">
        <f t="shared" si="0"/>
        <v>0.24334894653594114</v>
      </c>
      <c r="J26" s="230">
        <f t="shared" si="1"/>
        <v>0.2482282143876261</v>
      </c>
      <c r="K26" s="229">
        <f t="shared" si="2"/>
        <v>0.21135672402273042</v>
      </c>
      <c r="L26" s="228">
        <f t="shared" si="3"/>
        <v>0.2970661150537024</v>
      </c>
      <c r="M26" s="1151">
        <f t="shared" ref="M26:M50" si="5">SUM(I26,J26)</f>
        <v>0.49157716092356724</v>
      </c>
      <c r="N26" s="219">
        <f t="shared" ref="N26:N50" si="6">SUM(K26:L26)</f>
        <v>0.50842283907643282</v>
      </c>
      <c r="O26" s="1134">
        <f t="shared" ref="O26:O50" si="7">SUM(I26,K26)</f>
        <v>0.45470567055867156</v>
      </c>
      <c r="P26" s="1147">
        <f t="shared" ref="P26:P50" si="8">SUM(J26,L26)</f>
        <v>0.5452943294413285</v>
      </c>
      <c r="Q26" s="1142">
        <f t="shared" ref="Q26:Q49" si="9">K26/O26</f>
        <v>0.46482095497742126</v>
      </c>
      <c r="R26" s="1159">
        <f t="shared" ref="R26:R49" si="10">L26/P26</f>
        <v>0.5447812291722457</v>
      </c>
      <c r="S26" s="1142">
        <f t="shared" ref="S26:S49" si="11">(Q26*$E$7)+$E$5</f>
        <v>24.311405838916222</v>
      </c>
      <c r="T26" s="1138">
        <f t="shared" si="4"/>
        <v>28.149499000267795</v>
      </c>
      <c r="U26" s="82">
        <f t="shared" ref="U26:U50" si="12">$E$18*$E$7*LN(EXP($E26/$E$18) + EXP($F26/$E$18) + EXP($G26/$E$18) +EXP($H26/$E$18) )</f>
        <v>12383.928848726617</v>
      </c>
      <c r="V26" s="49">
        <f t="shared" ref="V26:V27" si="13">(U26-U25)</f>
        <v>1337.9353793233295</v>
      </c>
      <c r="W26" s="196"/>
      <c r="X26" s="116">
        <f>E26-E25</f>
        <v>23.397544976303106</v>
      </c>
      <c r="Y26" s="102">
        <f>H26-H25</f>
        <v>56.507625494558695</v>
      </c>
      <c r="Z26" s="184">
        <f t="shared" ref="Z26:Z49" si="14">V26</f>
        <v>1337.9353793233295</v>
      </c>
      <c r="AB26" s="7" t="str">
        <f t="shared" ref="AB26:AB49" si="15">IF(X26&gt;0,"Bought ",IF(X26&lt;0,"Sold ",""))&amp;IF(X26&lt;0,X26*-1,IF(X26&gt;0,X26,""))&amp;IF(X26&lt;&gt;0," Shares of State 1 at a cost of "&amp;ROUND($Z26,5),"")</f>
        <v>Bought 23.3975449763031 Shares of State 1 at a cost of 1337.93538</v>
      </c>
      <c r="AC26" s="7" t="str">
        <f t="shared" ref="AC26:AC49" si="16">IF(Y26&gt;0,"Bought ",IF(Y26&lt;0,"Sold ",""))&amp;IF(Y26&lt;0,Y26*-1,IF(Y26&gt;0,Y26,""))&amp;IF(Y26&lt;&gt;0," Shares of State 2 at a cost of "&amp;ROUND($Z26,5),"")</f>
        <v>Bought 56.5076254945587 Shares of State 2 at a cost of 1337.93538</v>
      </c>
      <c r="AD26" s="187" t="str">
        <f t="shared" ref="AD26:AD49" si="17">AB26&amp;AC26</f>
        <v>Bought 23.3975449763031 Shares of State 1 at a cost of 1337.93538Bought 56.5076254945587 Shares of State 2 at a cost of 1337.93538</v>
      </c>
      <c r="AE26" s="189">
        <f t="shared" ref="AE26:AE49" si="18">SUM(I26,K26)</f>
        <v>0.45470567055867156</v>
      </c>
      <c r="AF26" s="189">
        <f t="shared" ref="AF26:AF49" si="19">SUM(J26,L26)</f>
        <v>0.5452943294413285</v>
      </c>
      <c r="AG26" s="189">
        <f t="shared" ref="AG26:AG49" si="20">SUM(I26:J26)</f>
        <v>0.49157716092356724</v>
      </c>
      <c r="AH26" s="189">
        <f t="shared" ref="AH26:AH49" si="21">SUM(K26:L26)</f>
        <v>0.50842283907643282</v>
      </c>
    </row>
    <row r="27" spans="2:36" s="7" customFormat="1" ht="18.75" x14ac:dyDescent="0.3">
      <c r="C27" s="21" t="s">
        <v>111</v>
      </c>
      <c r="D27" s="25">
        <v>3</v>
      </c>
      <c r="E27" s="235">
        <v>56.629100148813436</v>
      </c>
      <c r="F27" s="234">
        <v>106.45075353280974</v>
      </c>
      <c r="G27" s="233">
        <v>0</v>
      </c>
      <c r="H27" s="232">
        <v>103.48452164486052</v>
      </c>
      <c r="I27" s="231">
        <f t="shared" si="0"/>
        <v>0.22793994792762146</v>
      </c>
      <c r="J27" s="230">
        <f t="shared" si="1"/>
        <v>0.30772688422309236</v>
      </c>
      <c r="K27" s="229">
        <f t="shared" si="2"/>
        <v>0.16205617760461571</v>
      </c>
      <c r="L27" s="228">
        <f t="shared" si="3"/>
        <v>0.30227699024467053</v>
      </c>
      <c r="M27" s="1151">
        <f t="shared" si="5"/>
        <v>0.53566683215071387</v>
      </c>
      <c r="N27" s="219">
        <f t="shared" si="6"/>
        <v>0.46433316784928624</v>
      </c>
      <c r="O27" s="1134">
        <f t="shared" si="7"/>
        <v>0.38999612553223717</v>
      </c>
      <c r="P27" s="1147">
        <f t="shared" si="8"/>
        <v>0.61000387446776294</v>
      </c>
      <c r="Q27" s="1142">
        <f t="shared" si="9"/>
        <v>0.41553278864874288</v>
      </c>
      <c r="R27" s="1159">
        <f t="shared" si="10"/>
        <v>0.49553290216133711</v>
      </c>
      <c r="S27" s="1142">
        <f t="shared" si="11"/>
        <v>21.945573855139656</v>
      </c>
      <c r="T27" s="1138">
        <f t="shared" si="4"/>
        <v>25.785579303744182</v>
      </c>
      <c r="U27" s="82">
        <f t="shared" si="12"/>
        <v>14500.263836889508</v>
      </c>
      <c r="V27" s="49">
        <f t="shared" si="13"/>
        <v>2116.334988162891</v>
      </c>
      <c r="W27" s="196"/>
      <c r="X27" s="116">
        <f>E27-E26</f>
        <v>33.231555172510326</v>
      </c>
      <c r="Y27" s="102">
        <f>H27-H26</f>
        <v>46.976896150301826</v>
      </c>
      <c r="Z27" s="184">
        <f t="shared" si="14"/>
        <v>2116.334988162891</v>
      </c>
      <c r="AB27" s="7" t="str">
        <f t="shared" si="15"/>
        <v>Bought 33.2315551725103 Shares of State 1 at a cost of 2116.33499</v>
      </c>
      <c r="AC27" s="7" t="str">
        <f t="shared" si="16"/>
        <v>Bought 46.9768961503018 Shares of State 2 at a cost of 2116.33499</v>
      </c>
      <c r="AD27" s="187" t="str">
        <f t="shared" si="17"/>
        <v>Bought 33.2315551725103 Shares of State 1 at a cost of 2116.33499Bought 46.9768961503018 Shares of State 2 at a cost of 2116.33499</v>
      </c>
      <c r="AE27" s="189">
        <f t="shared" si="18"/>
        <v>0.38999612553223717</v>
      </c>
      <c r="AF27" s="189">
        <f t="shared" si="19"/>
        <v>0.61000387446776294</v>
      </c>
      <c r="AG27" s="189">
        <f t="shared" si="20"/>
        <v>0.53566683215071387</v>
      </c>
      <c r="AH27" s="189">
        <f t="shared" si="21"/>
        <v>0.46433316784928624</v>
      </c>
    </row>
    <row r="28" spans="2:36" s="7" customFormat="1" ht="18.75" x14ac:dyDescent="0.3">
      <c r="C28" s="21"/>
      <c r="D28" s="25">
        <v>4</v>
      </c>
      <c r="E28" s="235">
        <v>80.365453576023796</v>
      </c>
      <c r="F28" s="234">
        <v>214.55946851684183</v>
      </c>
      <c r="G28" s="233">
        <v>0</v>
      </c>
      <c r="H28" s="232">
        <v>188.85149887182058</v>
      </c>
      <c r="I28" s="231">
        <f t="shared" si="0"/>
        <v>0.17292487697672193</v>
      </c>
      <c r="J28" s="230">
        <f t="shared" si="1"/>
        <v>0.38809685836350272</v>
      </c>
      <c r="K28" s="229">
        <f t="shared" si="2"/>
        <v>0.10656211181196996</v>
      </c>
      <c r="L28" s="228">
        <f t="shared" si="3"/>
        <v>0.3324161528478054</v>
      </c>
      <c r="M28" s="1151">
        <f t="shared" si="5"/>
        <v>0.5610217353402247</v>
      </c>
      <c r="N28" s="219">
        <f t="shared" si="6"/>
        <v>0.43897826465977535</v>
      </c>
      <c r="O28" s="1134">
        <f t="shared" si="7"/>
        <v>0.27948698878869188</v>
      </c>
      <c r="P28" s="1147">
        <f t="shared" si="8"/>
        <v>0.72051301121130806</v>
      </c>
      <c r="Q28" s="1142">
        <f t="shared" si="9"/>
        <v>0.38127754094677019</v>
      </c>
      <c r="R28" s="1159">
        <f t="shared" si="10"/>
        <v>0.46136037472655195</v>
      </c>
      <c r="S28" s="1142">
        <f t="shared" si="11"/>
        <v>20.30132196544497</v>
      </c>
      <c r="T28" s="1138">
        <f t="shared" si="4"/>
        <v>24.145297986874493</v>
      </c>
      <c r="U28" s="82">
        <f t="shared" si="12"/>
        <v>17840.569162510677</v>
      </c>
      <c r="V28" s="49">
        <f>(U28-U27)</f>
        <v>3340.3053256211697</v>
      </c>
      <c r="W28" s="196"/>
      <c r="X28" s="116">
        <f>E28-E27</f>
        <v>23.736353427210361</v>
      </c>
      <c r="Y28" s="102">
        <f>H28-H27</f>
        <v>85.36697722696006</v>
      </c>
      <c r="Z28" s="184">
        <f t="shared" si="14"/>
        <v>3340.3053256211697</v>
      </c>
      <c r="AB28" s="7" t="str">
        <f t="shared" si="15"/>
        <v>Bought 23.7363534272104 Shares of State 1 at a cost of 3340.30533</v>
      </c>
      <c r="AC28" s="7" t="str">
        <f t="shared" si="16"/>
        <v>Bought 85.3669772269601 Shares of State 2 at a cost of 3340.30533</v>
      </c>
      <c r="AD28" s="187" t="str">
        <f t="shared" si="17"/>
        <v>Bought 23.7363534272104 Shares of State 1 at a cost of 3340.30533Bought 85.3669772269601 Shares of State 2 at a cost of 3340.30533</v>
      </c>
      <c r="AE28" s="189">
        <f t="shared" si="18"/>
        <v>0.27948698878869188</v>
      </c>
      <c r="AF28" s="189">
        <f t="shared" si="19"/>
        <v>0.72051301121130806</v>
      </c>
      <c r="AG28" s="189">
        <f t="shared" si="20"/>
        <v>0.5610217353402247</v>
      </c>
      <c r="AH28" s="189">
        <f t="shared" si="21"/>
        <v>0.43897826465977535</v>
      </c>
    </row>
    <row r="29" spans="2:36" s="7" customFormat="1" ht="18.75" x14ac:dyDescent="0.3">
      <c r="C29" s="21"/>
      <c r="D29" s="25">
        <v>5</v>
      </c>
      <c r="E29" s="235">
        <v>123.987040014944</v>
      </c>
      <c r="F29" s="234">
        <v>190.43408707024</v>
      </c>
      <c r="G29" s="233">
        <v>0</v>
      </c>
      <c r="H29" s="232">
        <v>124.15777302452528</v>
      </c>
      <c r="I29" s="231">
        <f t="shared" si="0"/>
        <v>0.25207297977239274</v>
      </c>
      <c r="J29" s="230">
        <f t="shared" si="1"/>
        <v>0.376155290152763</v>
      </c>
      <c r="K29" s="229">
        <f t="shared" si="2"/>
        <v>0.11943935681937996</v>
      </c>
      <c r="L29" s="228">
        <f t="shared" si="3"/>
        <v>0.25233237325546426</v>
      </c>
      <c r="M29" s="1151">
        <f t="shared" si="5"/>
        <v>0.62822826992515579</v>
      </c>
      <c r="N29" s="219">
        <f t="shared" si="6"/>
        <v>0.37177173007484421</v>
      </c>
      <c r="O29" s="1134">
        <f t="shared" si="7"/>
        <v>0.37151233659177268</v>
      </c>
      <c r="P29" s="1147">
        <f t="shared" si="8"/>
        <v>0.62848766340822726</v>
      </c>
      <c r="Q29" s="1142">
        <f t="shared" si="9"/>
        <v>0.32149499506559592</v>
      </c>
      <c r="R29" s="1159">
        <f t="shared" si="10"/>
        <v>0.40149137039077337</v>
      </c>
      <c r="S29" s="1142">
        <f t="shared" si="11"/>
        <v>17.431759763148605</v>
      </c>
      <c r="T29" s="1138">
        <f t="shared" si="4"/>
        <v>21.271585778757121</v>
      </c>
      <c r="U29" s="82">
        <f t="shared" si="12"/>
        <v>16931.573797528941</v>
      </c>
      <c r="V29" s="49">
        <f t="shared" ref="V29:V46" si="22">(U29-U28)</f>
        <v>-908.9953649817362</v>
      </c>
      <c r="W29" s="196"/>
      <c r="X29" s="116">
        <f>E29-E28</f>
        <v>43.621586438920204</v>
      </c>
      <c r="Y29" s="102">
        <f>H29-H28</f>
        <v>-64.693725847295298</v>
      </c>
      <c r="Z29" s="184">
        <f t="shared" si="14"/>
        <v>-908.9953649817362</v>
      </c>
      <c r="AB29" s="7" t="str">
        <f t="shared" si="15"/>
        <v>Bought 43.6215864389202 Shares of State 1 at a cost of -908.99536</v>
      </c>
      <c r="AC29" s="7" t="str">
        <f t="shared" si="16"/>
        <v>Sold 64.6937258472953 Shares of State 2 at a cost of -908.99536</v>
      </c>
      <c r="AD29" s="187" t="str">
        <f t="shared" si="17"/>
        <v>Bought 43.6215864389202 Shares of State 1 at a cost of -908.99536Sold 64.6937258472953 Shares of State 2 at a cost of -908.99536</v>
      </c>
      <c r="AE29" s="189">
        <f t="shared" si="18"/>
        <v>0.37151233659177268</v>
      </c>
      <c r="AF29" s="189">
        <f t="shared" si="19"/>
        <v>0.62848766340822726</v>
      </c>
      <c r="AG29" s="189">
        <f t="shared" si="20"/>
        <v>0.62822826992515579</v>
      </c>
      <c r="AH29" s="189">
        <f t="shared" si="21"/>
        <v>0.37177173007484421</v>
      </c>
    </row>
    <row r="30" spans="2:36" s="7" customFormat="1" ht="18.75" x14ac:dyDescent="0.3">
      <c r="C30" s="21" t="s">
        <v>169</v>
      </c>
      <c r="D30" s="25">
        <v>6</v>
      </c>
      <c r="E30" s="235">
        <v>211.79602378038607</v>
      </c>
      <c r="F30" s="234">
        <v>806.48141341785742</v>
      </c>
      <c r="G30" s="233">
        <v>27.712139575358215</v>
      </c>
      <c r="H30" s="232">
        <v>687.53892678139255</v>
      </c>
      <c r="I30" s="231">
        <f t="shared" si="0"/>
        <v>1.8229417238400471E-2</v>
      </c>
      <c r="J30" s="230">
        <f t="shared" si="1"/>
        <v>0.65555272008520193</v>
      </c>
      <c r="K30" s="229">
        <f t="shared" si="2"/>
        <v>6.0140449545909372E-3</v>
      </c>
      <c r="L30" s="228">
        <f t="shared" si="3"/>
        <v>0.32020381772180678</v>
      </c>
      <c r="M30" s="1151">
        <f t="shared" si="5"/>
        <v>0.67378213732360237</v>
      </c>
      <c r="N30" s="219">
        <f t="shared" si="6"/>
        <v>0.32621786267639774</v>
      </c>
      <c r="O30" s="1134">
        <f t="shared" si="7"/>
        <v>2.4243462192991408E-2</v>
      </c>
      <c r="P30" s="1147">
        <f t="shared" si="8"/>
        <v>0.97575653780700877</v>
      </c>
      <c r="Q30" s="1142">
        <f t="shared" si="9"/>
        <v>0.24806873319973044</v>
      </c>
      <c r="R30" s="1159">
        <f t="shared" si="10"/>
        <v>0.32815954115096968</v>
      </c>
      <c r="S30" s="1142">
        <f t="shared" si="11"/>
        <v>13.907299193587061</v>
      </c>
      <c r="T30" s="1138">
        <f t="shared" si="4"/>
        <v>17.751657975246545</v>
      </c>
      <c r="U30" s="82">
        <f t="shared" si="12"/>
        <v>42075.807408223147</v>
      </c>
      <c r="V30" s="49">
        <f t="shared" si="22"/>
        <v>25144.233610694206</v>
      </c>
      <c r="W30" s="196"/>
      <c r="X30" s="116">
        <f>E30-E27</f>
        <v>155.16692363157262</v>
      </c>
      <c r="Y30" s="102">
        <f>H30-H27</f>
        <v>584.05440513653207</v>
      </c>
      <c r="Z30" s="184">
        <f t="shared" si="14"/>
        <v>25144.233610694206</v>
      </c>
      <c r="AB30" s="7" t="str">
        <f t="shared" ref="AB30:AB33" si="23">IF(X30&gt;0,"Bought ",IF(X30&lt;0,"Sold ",""))&amp;IF(X30&lt;0,X30*-1,IF(X30&gt;0,X30,""))&amp;IF(X30&lt;&gt;0," Shares of State 1 at a cost of "&amp;ROUND($Z30,5),"")</f>
        <v>Bought 155.166923631573 Shares of State 1 at a cost of 25144.23361</v>
      </c>
      <c r="AC30" s="7" t="str">
        <f t="shared" ref="AC30:AC33" si="24">IF(Y30&gt;0,"Bought ",IF(Y30&lt;0,"Sold ",""))&amp;IF(Y30&lt;0,Y30*-1,IF(Y30&gt;0,Y30,""))&amp;IF(Y30&lt;&gt;0," Shares of State 2 at a cost of "&amp;ROUND($Z30,5),"")</f>
        <v>Bought 584.054405136532 Shares of State 2 at a cost of 25144.23361</v>
      </c>
      <c r="AD30" s="187" t="str">
        <f t="shared" ref="AD30:AD33" si="25">AB30&amp;AC30</f>
        <v>Bought 155.166923631573 Shares of State 1 at a cost of 25144.23361Bought 584.054405136532 Shares of State 2 at a cost of 25144.23361</v>
      </c>
      <c r="AE30" s="189">
        <f t="shared" si="18"/>
        <v>2.4243462192991408E-2</v>
      </c>
      <c r="AF30" s="189">
        <f t="shared" si="19"/>
        <v>0.97575653780700877</v>
      </c>
      <c r="AG30" s="189">
        <f t="shared" si="20"/>
        <v>0.67378213732360237</v>
      </c>
      <c r="AH30" s="189">
        <f t="shared" si="21"/>
        <v>0.32621786267639774</v>
      </c>
    </row>
    <row r="31" spans="2:36" s="7" customFormat="1" ht="18.75" x14ac:dyDescent="0.3">
      <c r="C31" s="21" t="s">
        <v>169</v>
      </c>
      <c r="D31" s="25">
        <v>7</v>
      </c>
      <c r="E31" s="235">
        <v>240.95183645465283</v>
      </c>
      <c r="F31" s="234">
        <v>940.43441410191974</v>
      </c>
      <c r="G31" s="233">
        <v>21.46732376852118</v>
      </c>
      <c r="H31" s="232">
        <v>792.2059270236864</v>
      </c>
      <c r="I31" s="231">
        <f t="shared" si="0"/>
        <v>1.035637477435211E-2</v>
      </c>
      <c r="J31" s="230">
        <f t="shared" si="1"/>
        <v>0.70019069410392676</v>
      </c>
      <c r="K31" s="229">
        <f t="shared" si="2"/>
        <v>2.760485005116936E-3</v>
      </c>
      <c r="L31" s="228">
        <f t="shared" si="3"/>
        <v>0.2866924461166041</v>
      </c>
      <c r="M31" s="1151">
        <f t="shared" si="5"/>
        <v>0.7105470688782789</v>
      </c>
      <c r="N31" s="219">
        <f t="shared" si="6"/>
        <v>0.28945293112172105</v>
      </c>
      <c r="O31" s="1134">
        <f t="shared" si="7"/>
        <v>1.3116859779469046E-2</v>
      </c>
      <c r="P31" s="1147">
        <f t="shared" si="8"/>
        <v>0.98688314022053092</v>
      </c>
      <c r="Q31" s="1142">
        <f t="shared" si="9"/>
        <v>0.21045319165778845</v>
      </c>
      <c r="R31" s="1159">
        <f t="shared" si="10"/>
        <v>0.29050293234570734</v>
      </c>
      <c r="S31" s="1142">
        <f t="shared" si="11"/>
        <v>12.101753199573846</v>
      </c>
      <c r="T31" s="1138">
        <f t="shared" si="4"/>
        <v>15.944140752593952</v>
      </c>
      <c r="U31" s="82">
        <f t="shared" si="12"/>
        <v>47980.66748206284</v>
      </c>
      <c r="V31" s="49">
        <f t="shared" si="22"/>
        <v>5904.8600738396926</v>
      </c>
      <c r="W31" s="196"/>
      <c r="X31" s="116">
        <f>E31-E26</f>
        <v>217.55429147834974</v>
      </c>
      <c r="Y31" s="102">
        <f>H31-H26</f>
        <v>735.69830152912766</v>
      </c>
      <c r="Z31" s="184">
        <f t="shared" si="14"/>
        <v>5904.8600738396926</v>
      </c>
      <c r="AB31" s="7" t="str">
        <f t="shared" si="23"/>
        <v>Bought 217.55429147835 Shares of State 1 at a cost of 5904.86007</v>
      </c>
      <c r="AC31" s="7" t="str">
        <f t="shared" si="24"/>
        <v>Bought 735.698301529128 Shares of State 2 at a cost of 5904.86007</v>
      </c>
      <c r="AD31" s="187" t="str">
        <f t="shared" si="25"/>
        <v>Bought 217.55429147835 Shares of State 1 at a cost of 5904.86007Bought 735.698301529128 Shares of State 2 at a cost of 5904.86007</v>
      </c>
      <c r="AE31" s="189">
        <f t="shared" si="18"/>
        <v>1.3116859779469046E-2</v>
      </c>
      <c r="AF31" s="189">
        <f t="shared" si="19"/>
        <v>0.98688314022053092</v>
      </c>
      <c r="AG31" s="189">
        <f t="shared" si="20"/>
        <v>0.7105470688782789</v>
      </c>
      <c r="AH31" s="189">
        <f t="shared" si="21"/>
        <v>0.28945293112172105</v>
      </c>
    </row>
    <row r="32" spans="2:36" s="7" customFormat="1" ht="18.75" x14ac:dyDescent="0.3">
      <c r="C32" s="21" t="s">
        <v>169</v>
      </c>
      <c r="D32" s="25">
        <v>8</v>
      </c>
      <c r="E32" s="235">
        <v>220.1971463147411</v>
      </c>
      <c r="F32" s="234">
        <v>904.56508093815796</v>
      </c>
      <c r="G32" s="233">
        <v>13.731366373815204</v>
      </c>
      <c r="H32" s="232">
        <v>766.93566124706763</v>
      </c>
      <c r="I32" s="231">
        <f t="shared" si="0"/>
        <v>1.1116830833350546E-2</v>
      </c>
      <c r="J32" s="230">
        <f t="shared" si="1"/>
        <v>0.68619281011899036</v>
      </c>
      <c r="K32" s="229">
        <f t="shared" si="2"/>
        <v>3.2049307796360575E-3</v>
      </c>
      <c r="L32" s="228">
        <f t="shared" si="3"/>
        <v>0.29948542826802294</v>
      </c>
      <c r="M32" s="1151">
        <f t="shared" si="5"/>
        <v>0.69730964095234094</v>
      </c>
      <c r="N32" s="219">
        <f t="shared" si="6"/>
        <v>0.30269035904765901</v>
      </c>
      <c r="O32" s="1134">
        <f t="shared" si="7"/>
        <v>1.4321761612986603E-2</v>
      </c>
      <c r="P32" s="1147">
        <f t="shared" si="8"/>
        <v>0.98567823838701329</v>
      </c>
      <c r="Q32" s="1142">
        <f t="shared" si="9"/>
        <v>0.22378048638443396</v>
      </c>
      <c r="R32" s="1159">
        <f t="shared" si="10"/>
        <v>0.30383690803411451</v>
      </c>
      <c r="S32" s="1142">
        <f t="shared" si="11"/>
        <v>12.74146334645283</v>
      </c>
      <c r="T32" s="1138">
        <f t="shared" si="4"/>
        <v>16.584171585637495</v>
      </c>
      <c r="U32" s="82">
        <f t="shared" si="12"/>
        <v>46419.845804457924</v>
      </c>
      <c r="V32" s="49">
        <f t="shared" si="22"/>
        <v>-1560.8216776049157</v>
      </c>
      <c r="W32" s="196"/>
      <c r="X32" s="116">
        <f>E32-E27</f>
        <v>163.56804616592768</v>
      </c>
      <c r="Y32" s="102">
        <f>H32-H27</f>
        <v>663.45113960220715</v>
      </c>
      <c r="Z32" s="184">
        <f t="shared" si="14"/>
        <v>-1560.8216776049157</v>
      </c>
      <c r="AB32" s="7" t="str">
        <f t="shared" si="23"/>
        <v>Bought 163.568046165928 Shares of State 1 at a cost of -1560.82168</v>
      </c>
      <c r="AC32" s="7" t="str">
        <f t="shared" si="24"/>
        <v>Bought 663.451139602207 Shares of State 2 at a cost of -1560.82168</v>
      </c>
      <c r="AD32" s="187" t="str">
        <f t="shared" si="25"/>
        <v>Bought 163.568046165928 Shares of State 1 at a cost of -1560.82168Bought 663.451139602207 Shares of State 2 at a cost of -1560.82168</v>
      </c>
      <c r="AE32" s="189">
        <f t="shared" si="18"/>
        <v>1.4321761612986603E-2</v>
      </c>
      <c r="AF32" s="189">
        <f t="shared" si="19"/>
        <v>0.98567823838701329</v>
      </c>
      <c r="AG32" s="189">
        <f t="shared" si="20"/>
        <v>0.69730964095234094</v>
      </c>
      <c r="AH32" s="189">
        <f t="shared" si="21"/>
        <v>0.30269035904765901</v>
      </c>
    </row>
    <row r="33" spans="3:34" s="7" customFormat="1" ht="18.75" x14ac:dyDescent="0.3">
      <c r="C33" s="21" t="s">
        <v>169</v>
      </c>
      <c r="D33" s="25">
        <v>9</v>
      </c>
      <c r="E33" s="235">
        <v>227.83342978688435</v>
      </c>
      <c r="F33" s="234">
        <v>891.26263480613522</v>
      </c>
      <c r="G33" s="233">
        <v>24.752112805701671</v>
      </c>
      <c r="H33" s="232">
        <v>756.43409005445324</v>
      </c>
      <c r="I33" s="231">
        <f t="shared" si="0"/>
        <v>1.2522486591187227E-2</v>
      </c>
      <c r="J33" s="230">
        <f t="shared" si="1"/>
        <v>0.68135770426913678</v>
      </c>
      <c r="K33" s="229">
        <f t="shared" si="2"/>
        <v>3.6845357274765921E-3</v>
      </c>
      <c r="L33" s="228">
        <f t="shared" si="3"/>
        <v>0.30243527341219939</v>
      </c>
      <c r="M33" s="1151">
        <f t="shared" si="5"/>
        <v>0.69388019086032404</v>
      </c>
      <c r="N33" s="219">
        <f t="shared" si="6"/>
        <v>0.30611980913967596</v>
      </c>
      <c r="O33" s="1134">
        <f t="shared" si="7"/>
        <v>1.6207022318663819E-2</v>
      </c>
      <c r="P33" s="1147">
        <f t="shared" si="8"/>
        <v>0.98379297768133611</v>
      </c>
      <c r="Q33" s="1142">
        <f t="shared" si="9"/>
        <v>0.2273419296296966</v>
      </c>
      <c r="R33" s="1159">
        <f t="shared" si="10"/>
        <v>0.30741759727234225</v>
      </c>
      <c r="S33" s="1142">
        <f t="shared" si="11"/>
        <v>12.912412622225437</v>
      </c>
      <c r="T33" s="1138">
        <f t="shared" si="4"/>
        <v>16.756044669072427</v>
      </c>
      <c r="U33" s="82">
        <f t="shared" si="12"/>
        <v>45837.671879503694</v>
      </c>
      <c r="V33" s="49">
        <f t="shared" si="22"/>
        <v>-582.17392495422973</v>
      </c>
      <c r="W33" s="196"/>
      <c r="X33" s="116">
        <f>E33-E26</f>
        <v>204.43588481058126</v>
      </c>
      <c r="Y33" s="102">
        <f>H33-H26</f>
        <v>699.9264645598945</v>
      </c>
      <c r="Z33" s="184">
        <f t="shared" si="14"/>
        <v>-582.17392495422973</v>
      </c>
      <c r="AB33" s="7" t="str">
        <f t="shared" si="23"/>
        <v>Bought 204.435884810581 Shares of State 1 at a cost of -582.17392</v>
      </c>
      <c r="AC33" s="7" t="str">
        <f t="shared" si="24"/>
        <v>Bought 699.926464559894 Shares of State 2 at a cost of -582.17392</v>
      </c>
      <c r="AD33" s="187" t="str">
        <f t="shared" si="25"/>
        <v>Bought 204.435884810581 Shares of State 1 at a cost of -582.17392Bought 699.926464559894 Shares of State 2 at a cost of -582.17392</v>
      </c>
      <c r="AE33" s="189">
        <f t="shared" si="18"/>
        <v>1.6207022318663819E-2</v>
      </c>
      <c r="AF33" s="189">
        <f t="shared" si="19"/>
        <v>0.98379297768133611</v>
      </c>
      <c r="AG33" s="189">
        <f t="shared" si="20"/>
        <v>0.69388019086032404</v>
      </c>
      <c r="AH33" s="189">
        <f t="shared" si="21"/>
        <v>0.30611980913967596</v>
      </c>
    </row>
    <row r="34" spans="3:34" s="7" customFormat="1" ht="18.75" x14ac:dyDescent="0.3">
      <c r="C34" s="21" t="s">
        <v>169</v>
      </c>
      <c r="D34" s="25">
        <v>10</v>
      </c>
      <c r="E34" s="235">
        <v>171.93435253978853</v>
      </c>
      <c r="F34" s="234">
        <v>344.26665829665961</v>
      </c>
      <c r="G34" s="233">
        <v>9.7977600436447071E-2</v>
      </c>
      <c r="H34" s="232">
        <v>235.70651015988011</v>
      </c>
      <c r="I34" s="231">
        <f t="shared" si="0"/>
        <v>0.17706817876115152</v>
      </c>
      <c r="J34" s="230">
        <f t="shared" si="1"/>
        <v>0.50003658681243601</v>
      </c>
      <c r="K34" s="229">
        <f t="shared" si="2"/>
        <v>6.2889295347638402E-2</v>
      </c>
      <c r="L34" s="228">
        <f t="shared" si="3"/>
        <v>0.26000593907877412</v>
      </c>
      <c r="M34" s="1151">
        <f t="shared" si="5"/>
        <v>0.67710476557358756</v>
      </c>
      <c r="N34" s="219">
        <f t="shared" si="6"/>
        <v>0.32289523442641255</v>
      </c>
      <c r="O34" s="1134">
        <f t="shared" si="7"/>
        <v>0.23995747410878993</v>
      </c>
      <c r="P34" s="1147">
        <f t="shared" si="8"/>
        <v>0.76004252589121013</v>
      </c>
      <c r="Q34" s="1142">
        <f t="shared" si="9"/>
        <v>0.26208516980440533</v>
      </c>
      <c r="R34" s="1159">
        <f t="shared" si="10"/>
        <v>0.34209393582799402</v>
      </c>
      <c r="S34" s="1142">
        <f t="shared" si="11"/>
        <v>14.580088150611456</v>
      </c>
      <c r="T34" s="1138">
        <f t="shared" si="4"/>
        <v>18.420508919743714</v>
      </c>
      <c r="U34" s="82">
        <f t="shared" si="12"/>
        <v>22047.213306829133</v>
      </c>
      <c r="V34" s="49">
        <f t="shared" si="22"/>
        <v>-23790.458572674561</v>
      </c>
      <c r="W34" s="196"/>
      <c r="X34" s="116">
        <f>E34-E29</f>
        <v>47.947312524844534</v>
      </c>
      <c r="Y34" s="102">
        <f>H34-H29</f>
        <v>111.54873713535483</v>
      </c>
      <c r="Z34" s="184">
        <f t="shared" si="14"/>
        <v>-23790.458572674561</v>
      </c>
      <c r="AB34" s="7" t="str">
        <f t="shared" si="15"/>
        <v>Bought 47.9473125248445 Shares of State 1 at a cost of -23790.45857</v>
      </c>
      <c r="AC34" s="7" t="str">
        <f t="shared" si="16"/>
        <v>Bought 111.548737135355 Shares of State 2 at a cost of -23790.45857</v>
      </c>
      <c r="AD34" s="187" t="str">
        <f t="shared" si="17"/>
        <v>Bought 47.9473125248445 Shares of State 1 at a cost of -23790.45857Bought 111.548737135355 Shares of State 2 at a cost of -23790.45857</v>
      </c>
      <c r="AE34" s="189">
        <f t="shared" si="18"/>
        <v>0.23995747410878993</v>
      </c>
      <c r="AF34" s="189">
        <f t="shared" si="19"/>
        <v>0.76004252589121013</v>
      </c>
      <c r="AG34" s="189">
        <f t="shared" si="20"/>
        <v>0.67710476557358756</v>
      </c>
      <c r="AH34" s="189">
        <f t="shared" si="21"/>
        <v>0.32289523442641255</v>
      </c>
    </row>
    <row r="35" spans="3:34" s="7" customFormat="1" ht="18.75" x14ac:dyDescent="0.3">
      <c r="C35" s="21" t="s">
        <v>169</v>
      </c>
      <c r="D35" s="25">
        <v>11</v>
      </c>
      <c r="E35" s="235">
        <v>329.55800826017463</v>
      </c>
      <c r="F35" s="234">
        <v>146.7087899766629</v>
      </c>
      <c r="G35" s="233">
        <v>71.836624008097957</v>
      </c>
      <c r="H35" s="232">
        <v>1.8946147960723456</v>
      </c>
      <c r="I35" s="231">
        <f t="shared" si="0"/>
        <v>0.5941774266214459</v>
      </c>
      <c r="J35" s="230">
        <f t="shared" si="1"/>
        <v>0.1974877698900174</v>
      </c>
      <c r="K35" s="229">
        <f t="shared" si="2"/>
        <v>0.12579322826271661</v>
      </c>
      <c r="L35" s="228">
        <f t="shared" si="3"/>
        <v>8.2541575225820091E-2</v>
      </c>
      <c r="M35" s="1151">
        <f t="shared" si="5"/>
        <v>0.79166519651146328</v>
      </c>
      <c r="N35" s="219">
        <f t="shared" si="6"/>
        <v>0.2083348034885367</v>
      </c>
      <c r="O35" s="1134">
        <f t="shared" si="7"/>
        <v>0.71997065488416245</v>
      </c>
      <c r="P35" s="1147">
        <f t="shared" si="8"/>
        <v>0.28002934511583749</v>
      </c>
      <c r="Q35" s="1142">
        <f t="shared" si="9"/>
        <v>0.17471993811047165</v>
      </c>
      <c r="R35" s="1159">
        <f t="shared" si="10"/>
        <v>0.29476044802260198</v>
      </c>
      <c r="S35" s="1142">
        <f t="shared" si="11"/>
        <v>10.38655702930264</v>
      </c>
      <c r="T35" s="1138">
        <f t="shared" si="4"/>
        <v>16.148501505084894</v>
      </c>
      <c r="U35" s="82">
        <f t="shared" si="12"/>
        <v>19966.744372329511</v>
      </c>
      <c r="V35" s="49">
        <f t="shared" si="22"/>
        <v>-2080.4689344996223</v>
      </c>
      <c r="W35" s="196"/>
      <c r="X35" s="116">
        <f>E35-E28</f>
        <v>249.19255468415082</v>
      </c>
      <c r="Y35" s="102">
        <f>H35-H28</f>
        <v>-186.95688407574823</v>
      </c>
      <c r="Z35" s="184">
        <f t="shared" si="14"/>
        <v>-2080.4689344996223</v>
      </c>
      <c r="AB35" s="7" t="str">
        <f t="shared" ref="AB35:AB41" si="26">IF(X35&gt;0,"Bought ",IF(X35&lt;0,"Sold ",""))&amp;IF(X35&lt;0,X35*-1,IF(X35&gt;0,X35,""))&amp;IF(X35&lt;&gt;0," Shares of State 1 at a cost of "&amp;ROUND($Z35,5),"")</f>
        <v>Bought 249.192554684151 Shares of State 1 at a cost of -2080.46893</v>
      </c>
      <c r="AC35" s="7" t="str">
        <f t="shared" ref="AC35:AC41" si="27">IF(Y35&gt;0,"Bought ",IF(Y35&lt;0,"Sold ",""))&amp;IF(Y35&lt;0,Y35*-1,IF(Y35&gt;0,Y35,""))&amp;IF(Y35&lt;&gt;0," Shares of State 2 at a cost of "&amp;ROUND($Z35,5),"")</f>
        <v>Sold 186.956884075748 Shares of State 2 at a cost of -2080.46893</v>
      </c>
      <c r="AD35" s="187" t="str">
        <f t="shared" ref="AD35:AD41" si="28">AB35&amp;AC35</f>
        <v>Bought 249.192554684151 Shares of State 1 at a cost of -2080.46893Sold 186.956884075748 Shares of State 2 at a cost of -2080.46893</v>
      </c>
      <c r="AE35" s="189">
        <f t="shared" si="18"/>
        <v>0.71997065488416245</v>
      </c>
      <c r="AF35" s="189">
        <f t="shared" si="19"/>
        <v>0.28002934511583749</v>
      </c>
      <c r="AG35" s="189">
        <f t="shared" si="20"/>
        <v>0.79166519651146328</v>
      </c>
      <c r="AH35" s="189">
        <f t="shared" si="21"/>
        <v>0.2083348034885367</v>
      </c>
    </row>
    <row r="36" spans="3:34" s="7" customFormat="1" ht="18.75" x14ac:dyDescent="0.3">
      <c r="C36" s="21" t="s">
        <v>169</v>
      </c>
      <c r="D36" s="25">
        <v>12</v>
      </c>
      <c r="E36" s="235">
        <v>330.11426887338052</v>
      </c>
      <c r="F36" s="234">
        <v>155.75975268738583</v>
      </c>
      <c r="G36" s="233">
        <v>59.001331618064135</v>
      </c>
      <c r="H36" s="232">
        <v>1.9055003725742854</v>
      </c>
      <c r="I36" s="231">
        <f t="shared" si="0"/>
        <v>0.59397020231267139</v>
      </c>
      <c r="J36" s="230">
        <f t="shared" si="1"/>
        <v>0.20778434581530103</v>
      </c>
      <c r="K36" s="229">
        <f t="shared" si="2"/>
        <v>0.11600330571624022</v>
      </c>
      <c r="L36" s="228">
        <f t="shared" si="3"/>
        <v>8.2242146155787302E-2</v>
      </c>
      <c r="M36" s="1151">
        <f t="shared" si="5"/>
        <v>0.80175454812797242</v>
      </c>
      <c r="N36" s="219">
        <f t="shared" si="6"/>
        <v>0.19824545187202752</v>
      </c>
      <c r="O36" s="1134">
        <f t="shared" si="7"/>
        <v>0.70997350802891157</v>
      </c>
      <c r="P36" s="1147">
        <f t="shared" si="8"/>
        <v>0.29002649197108832</v>
      </c>
      <c r="Q36" s="1142">
        <f t="shared" si="9"/>
        <v>0.16339103417858281</v>
      </c>
      <c r="R36" s="1159">
        <f t="shared" si="10"/>
        <v>0.28356770306343504</v>
      </c>
      <c r="S36" s="1142">
        <f t="shared" si="11"/>
        <v>9.8427696405719747</v>
      </c>
      <c r="T36" s="1138">
        <f t="shared" si="4"/>
        <v>15.611249747044882</v>
      </c>
      <c r="U36" s="82">
        <f t="shared" si="12"/>
        <v>19996.224272587981</v>
      </c>
      <c r="V36" s="49">
        <f t="shared" si="22"/>
        <v>29.47990025846957</v>
      </c>
      <c r="W36" s="196"/>
      <c r="X36" s="116">
        <f>E36-E27</f>
        <v>273.48516872456707</v>
      </c>
      <c r="Y36" s="102">
        <f>H36-H27</f>
        <v>-101.57902127228624</v>
      </c>
      <c r="Z36" s="184">
        <f t="shared" si="14"/>
        <v>29.47990025846957</v>
      </c>
      <c r="AB36" s="7" t="str">
        <f t="shared" si="26"/>
        <v>Bought 273.485168724567 Shares of State 1 at a cost of 29.4799</v>
      </c>
      <c r="AC36" s="7" t="str">
        <f t="shared" si="27"/>
        <v>Sold 101.579021272286 Shares of State 2 at a cost of 29.4799</v>
      </c>
      <c r="AD36" s="187" t="str">
        <f t="shared" si="28"/>
        <v>Bought 273.485168724567 Shares of State 1 at a cost of 29.4799Sold 101.579021272286 Shares of State 2 at a cost of 29.4799</v>
      </c>
      <c r="AE36" s="189">
        <f t="shared" si="18"/>
        <v>0.70997350802891157</v>
      </c>
      <c r="AF36" s="189">
        <f t="shared" si="19"/>
        <v>0.29002649197108832</v>
      </c>
      <c r="AG36" s="189">
        <f t="shared" si="20"/>
        <v>0.80175454812797242</v>
      </c>
      <c r="AH36" s="189">
        <f t="shared" si="21"/>
        <v>0.19824545187202752</v>
      </c>
    </row>
    <row r="37" spans="3:34" s="7" customFormat="1" ht="18.75" x14ac:dyDescent="0.3">
      <c r="C37" s="21" t="s">
        <v>169</v>
      </c>
      <c r="D37" s="25">
        <v>13</v>
      </c>
      <c r="E37" s="235">
        <v>304.33689895216855</v>
      </c>
      <c r="F37" s="234">
        <v>145.59789160083494</v>
      </c>
      <c r="G37" s="233">
        <v>49.877151087413267</v>
      </c>
      <c r="H37" s="232">
        <v>3.3661151683711972</v>
      </c>
      <c r="I37" s="231">
        <f t="shared" si="0"/>
        <v>0.56708950789553991</v>
      </c>
      <c r="J37" s="230">
        <f t="shared" si="1"/>
        <v>0.21794834236672639</v>
      </c>
      <c r="K37" s="229">
        <f t="shared" si="2"/>
        <v>0.12244073367041533</v>
      </c>
      <c r="L37" s="228">
        <f t="shared" si="3"/>
        <v>9.2521416067318299E-2</v>
      </c>
      <c r="M37" s="1151">
        <f t="shared" si="5"/>
        <v>0.78503785026226636</v>
      </c>
      <c r="N37" s="219">
        <f t="shared" si="6"/>
        <v>0.21496214973773364</v>
      </c>
      <c r="O37" s="1134">
        <f t="shared" si="7"/>
        <v>0.68953024156595522</v>
      </c>
      <c r="P37" s="1147">
        <f t="shared" si="8"/>
        <v>0.31046975843404467</v>
      </c>
      <c r="Q37" s="1142">
        <f t="shared" si="9"/>
        <v>0.17757123080250511</v>
      </c>
      <c r="R37" s="1159">
        <f t="shared" si="10"/>
        <v>0.29800459965563214</v>
      </c>
      <c r="S37" s="1142">
        <f t="shared" si="11"/>
        <v>10.523419078520245</v>
      </c>
      <c r="T37" s="1138">
        <f t="shared" si="4"/>
        <v>16.304220783470342</v>
      </c>
      <c r="U37" s="82">
        <f t="shared" si="12"/>
        <v>19127.924533398767</v>
      </c>
      <c r="V37" s="49">
        <f t="shared" si="22"/>
        <v>-868.29973918921314</v>
      </c>
      <c r="W37" s="196"/>
      <c r="X37" s="116">
        <f>E37-E29</f>
        <v>180.34985893722455</v>
      </c>
      <c r="Y37" s="102">
        <f>H37-H29</f>
        <v>-120.79165785615409</v>
      </c>
      <c r="Z37" s="184">
        <f t="shared" si="14"/>
        <v>-868.29973918921314</v>
      </c>
      <c r="AB37" s="7" t="str">
        <f t="shared" ref="AB37:AB39" si="29">IF(X37&gt;0,"Bought ",IF(X37&lt;0,"Sold ",""))&amp;IF(X37&lt;0,X37*-1,IF(X37&gt;0,X37,""))&amp;IF(X37&lt;&gt;0," Shares of State 1 at a cost of "&amp;ROUND($Z37,5),"")</f>
        <v>Bought 180.349858937225 Shares of State 1 at a cost of -868.29974</v>
      </c>
      <c r="AC37" s="7" t="str">
        <f t="shared" ref="AC37:AC39" si="30">IF(Y37&gt;0,"Bought ",IF(Y37&lt;0,"Sold ",""))&amp;IF(Y37&lt;0,Y37*-1,IF(Y37&gt;0,Y37,""))&amp;IF(Y37&lt;&gt;0," Shares of State 2 at a cost of "&amp;ROUND($Z37,5),"")</f>
        <v>Sold 120.791657856154 Shares of State 2 at a cost of -868.29974</v>
      </c>
      <c r="AD37" s="187" t="str">
        <f t="shared" ref="AD37:AD39" si="31">AB37&amp;AC37</f>
        <v>Bought 180.349858937225 Shares of State 1 at a cost of -868.29974Sold 120.791657856154 Shares of State 2 at a cost of -868.29974</v>
      </c>
      <c r="AE37" s="189">
        <f t="shared" si="18"/>
        <v>0.68953024156595522</v>
      </c>
      <c r="AF37" s="189">
        <f t="shared" si="19"/>
        <v>0.31046975843404467</v>
      </c>
      <c r="AG37" s="189">
        <f t="shared" si="20"/>
        <v>0.78503785026226636</v>
      </c>
      <c r="AH37" s="189">
        <f t="shared" si="21"/>
        <v>0.21496214973773364</v>
      </c>
    </row>
    <row r="38" spans="3:34" s="7" customFormat="1" ht="18.75" x14ac:dyDescent="0.3">
      <c r="C38" s="21" t="s">
        <v>169</v>
      </c>
      <c r="D38" s="25">
        <v>14</v>
      </c>
      <c r="E38" s="235">
        <v>304.03434237496708</v>
      </c>
      <c r="F38" s="234">
        <v>110.95663605745747</v>
      </c>
      <c r="G38" s="233">
        <v>107.36349686706801</v>
      </c>
      <c r="H38" s="232">
        <v>11.382548852612899</v>
      </c>
      <c r="I38" s="231">
        <f t="shared" si="0"/>
        <v>0.55870158837779915</v>
      </c>
      <c r="J38" s="230">
        <f t="shared" si="1"/>
        <v>0.17459985041818382</v>
      </c>
      <c r="K38" s="229">
        <f t="shared" si="2"/>
        <v>0.17086117247279226</v>
      </c>
      <c r="L38" s="228">
        <f t="shared" si="3"/>
        <v>9.5837388731224771E-2</v>
      </c>
      <c r="M38" s="1151">
        <f t="shared" si="5"/>
        <v>0.73330143879598297</v>
      </c>
      <c r="N38" s="219">
        <f t="shared" si="6"/>
        <v>0.26669856120401703</v>
      </c>
      <c r="O38" s="1134">
        <f t="shared" si="7"/>
        <v>0.72956276085059146</v>
      </c>
      <c r="P38" s="1147">
        <f t="shared" si="8"/>
        <v>0.27043723914940859</v>
      </c>
      <c r="Q38" s="1142">
        <f t="shared" si="9"/>
        <v>0.23419667455831567</v>
      </c>
      <c r="R38" s="1159">
        <f t="shared" si="10"/>
        <v>0.35437940807507445</v>
      </c>
      <c r="S38" s="1142">
        <f t="shared" si="11"/>
        <v>13.241440378799151</v>
      </c>
      <c r="T38" s="1138">
        <f t="shared" si="4"/>
        <v>19.010211587603575</v>
      </c>
      <c r="U38" s="82">
        <f t="shared" si="12"/>
        <v>19232.138197312212</v>
      </c>
      <c r="V38" s="49">
        <f t="shared" si="22"/>
        <v>104.21366391344418</v>
      </c>
      <c r="W38" s="196"/>
      <c r="X38" s="116">
        <f>E38-E28</f>
        <v>223.66888879894327</v>
      </c>
      <c r="Y38" s="102">
        <f>H38-H28</f>
        <v>-177.46895001920768</v>
      </c>
      <c r="Z38" s="184">
        <f t="shared" si="14"/>
        <v>104.21366391344418</v>
      </c>
      <c r="AB38" s="7" t="str">
        <f t="shared" si="29"/>
        <v>Bought 223.668888798943 Shares of State 1 at a cost of 104.21366</v>
      </c>
      <c r="AC38" s="7" t="str">
        <f t="shared" si="30"/>
        <v>Sold 177.468950019208 Shares of State 2 at a cost of 104.21366</v>
      </c>
      <c r="AD38" s="187" t="str">
        <f t="shared" si="31"/>
        <v>Bought 223.668888798943 Shares of State 1 at a cost of 104.21366Sold 177.468950019208 Shares of State 2 at a cost of 104.21366</v>
      </c>
      <c r="AE38" s="189">
        <f t="shared" si="18"/>
        <v>0.72956276085059146</v>
      </c>
      <c r="AF38" s="189">
        <f t="shared" si="19"/>
        <v>0.27043723914940859</v>
      </c>
      <c r="AG38" s="189">
        <f t="shared" si="20"/>
        <v>0.73330143879598297</v>
      </c>
      <c r="AH38" s="189">
        <f t="shared" si="21"/>
        <v>0.26669856120401703</v>
      </c>
    </row>
    <row r="39" spans="3:34" s="7" customFormat="1" ht="18.75" x14ac:dyDescent="0.3">
      <c r="C39" s="21" t="s">
        <v>169</v>
      </c>
      <c r="D39" s="25">
        <v>15</v>
      </c>
      <c r="E39" s="235">
        <v>293.29156054384515</v>
      </c>
      <c r="F39" s="234">
        <v>62.085084788307128</v>
      </c>
      <c r="G39" s="233">
        <v>145.35472005516647</v>
      </c>
      <c r="H39" s="232">
        <v>2.1992942351090741</v>
      </c>
      <c r="I39" s="231">
        <f t="shared" si="0"/>
        <v>0.54594078051628248</v>
      </c>
      <c r="J39" s="230">
        <f t="shared" si="1"/>
        <v>0.13559878487358118</v>
      </c>
      <c r="K39" s="229">
        <f t="shared" si="2"/>
        <v>0.22392803394278199</v>
      </c>
      <c r="L39" s="228">
        <f t="shared" si="3"/>
        <v>9.4532400667354327E-2</v>
      </c>
      <c r="M39" s="1151">
        <f t="shared" si="5"/>
        <v>0.68153956538986371</v>
      </c>
      <c r="N39" s="219">
        <f t="shared" si="6"/>
        <v>0.31846043461013629</v>
      </c>
      <c r="O39" s="1134">
        <f t="shared" si="7"/>
        <v>0.76986881445906441</v>
      </c>
      <c r="P39" s="1147">
        <f t="shared" si="8"/>
        <v>0.23013118554093551</v>
      </c>
      <c r="Q39" s="1142">
        <f t="shared" si="9"/>
        <v>0.29086518344053375</v>
      </c>
      <c r="R39" s="1159">
        <f t="shared" si="10"/>
        <v>0.4107761425082434</v>
      </c>
      <c r="S39" s="1142">
        <f t="shared" si="11"/>
        <v>15.961528805145619</v>
      </c>
      <c r="T39" s="1138">
        <f t="shared" si="4"/>
        <v>21.717254840395682</v>
      </c>
      <c r="U39" s="82">
        <f t="shared" si="12"/>
        <v>18900.585231172943</v>
      </c>
      <c r="V39" s="49">
        <f t="shared" si="22"/>
        <v>-331.55296613926839</v>
      </c>
      <c r="W39" s="196"/>
      <c r="X39" s="116">
        <f>E39-E27</f>
        <v>236.6624603950317</v>
      </c>
      <c r="Y39" s="102">
        <f>H39-H27</f>
        <v>-101.28522740975144</v>
      </c>
      <c r="Z39" s="184">
        <f t="shared" si="14"/>
        <v>-331.55296613926839</v>
      </c>
      <c r="AB39" s="7" t="str">
        <f t="shared" si="29"/>
        <v>Bought 236.662460395032 Shares of State 1 at a cost of -331.55297</v>
      </c>
      <c r="AC39" s="7" t="str">
        <f t="shared" si="30"/>
        <v>Sold 101.285227409751 Shares of State 2 at a cost of -331.55297</v>
      </c>
      <c r="AD39" s="187" t="str">
        <f t="shared" si="31"/>
        <v>Bought 236.662460395032 Shares of State 1 at a cost of -331.55297Sold 101.285227409751 Shares of State 2 at a cost of -331.55297</v>
      </c>
      <c r="AE39" s="189">
        <f t="shared" si="18"/>
        <v>0.76986881445906441</v>
      </c>
      <c r="AF39" s="189">
        <f t="shared" si="19"/>
        <v>0.23013118554093551</v>
      </c>
      <c r="AG39" s="189">
        <f t="shared" si="20"/>
        <v>0.68153956538986371</v>
      </c>
      <c r="AH39" s="189">
        <f t="shared" si="21"/>
        <v>0.31846043461013629</v>
      </c>
    </row>
    <row r="40" spans="3:34" s="7" customFormat="1" ht="18.75" x14ac:dyDescent="0.3">
      <c r="C40" s="21" t="s">
        <v>169</v>
      </c>
      <c r="D40" s="25">
        <v>16</v>
      </c>
      <c r="E40" s="235">
        <v>287.922370712234</v>
      </c>
      <c r="F40" s="234">
        <v>75.655125856017278</v>
      </c>
      <c r="G40" s="233">
        <v>122.83145747004673</v>
      </c>
      <c r="H40" s="232">
        <v>1.4054579756790007</v>
      </c>
      <c r="I40" s="231">
        <f t="shared" si="0"/>
        <v>0.5475589142001337</v>
      </c>
      <c r="J40" s="230">
        <f t="shared" si="1"/>
        <v>0.15243704928308308</v>
      </c>
      <c r="K40" s="229">
        <f t="shared" si="2"/>
        <v>0.20254184111606752</v>
      </c>
      <c r="L40" s="228">
        <f t="shared" si="3"/>
        <v>9.7462195400715684E-2</v>
      </c>
      <c r="M40" s="1151">
        <f t="shared" si="5"/>
        <v>0.6999959634832168</v>
      </c>
      <c r="N40" s="219">
        <f t="shared" si="6"/>
        <v>0.3000040365167832</v>
      </c>
      <c r="O40" s="1134">
        <f t="shared" si="7"/>
        <v>0.75010075531620124</v>
      </c>
      <c r="P40" s="1147">
        <f t="shared" si="8"/>
        <v>0.24989924468379876</v>
      </c>
      <c r="Q40" s="1142">
        <f t="shared" si="9"/>
        <v>0.27001951361945636</v>
      </c>
      <c r="R40" s="1159">
        <f t="shared" si="10"/>
        <v>0.39000596229906997</v>
      </c>
      <c r="S40" s="1142">
        <f t="shared" si="11"/>
        <v>14.960936653733906</v>
      </c>
      <c r="T40" s="1138">
        <f t="shared" si="4"/>
        <v>20.72028619035536</v>
      </c>
      <c r="U40" s="82">
        <f t="shared" si="12"/>
        <v>18619.282405120346</v>
      </c>
      <c r="V40" s="49">
        <f t="shared" si="22"/>
        <v>-281.30282605259708</v>
      </c>
      <c r="W40" s="196"/>
      <c r="X40" s="116">
        <f>E40-E36</f>
        <v>-42.191898161146526</v>
      </c>
      <c r="Y40" s="102">
        <f>H40-H36</f>
        <v>-0.50004239689528474</v>
      </c>
      <c r="Z40" s="184">
        <f t="shared" si="14"/>
        <v>-281.30282605259708</v>
      </c>
      <c r="AB40" s="7" t="str">
        <f t="shared" si="26"/>
        <v>Sold 42.1918981611465 Shares of State 1 at a cost of -281.30283</v>
      </c>
      <c r="AC40" s="7" t="str">
        <f t="shared" si="27"/>
        <v>Sold 0.500042396895285 Shares of State 2 at a cost of -281.30283</v>
      </c>
      <c r="AD40" s="187" t="str">
        <f t="shared" si="28"/>
        <v>Sold 42.1918981611465 Shares of State 1 at a cost of -281.30283Sold 0.500042396895285 Shares of State 2 at a cost of -281.30283</v>
      </c>
      <c r="AE40" s="189">
        <f t="shared" si="18"/>
        <v>0.75010075531620124</v>
      </c>
      <c r="AF40" s="189">
        <f t="shared" si="19"/>
        <v>0.24989924468379876</v>
      </c>
      <c r="AG40" s="189">
        <f t="shared" si="20"/>
        <v>0.6999959634832168</v>
      </c>
      <c r="AH40" s="189">
        <f t="shared" si="21"/>
        <v>0.3000040365167832</v>
      </c>
    </row>
    <row r="41" spans="3:34" s="7" customFormat="1" ht="18.75" x14ac:dyDescent="0.3">
      <c r="C41" s="21" t="s">
        <v>169</v>
      </c>
      <c r="D41" s="25">
        <v>17</v>
      </c>
      <c r="E41" s="235">
        <v>358.89938129951986</v>
      </c>
      <c r="F41" s="234">
        <v>329.62968565802134</v>
      </c>
      <c r="G41" s="233">
        <v>17.581022359015144</v>
      </c>
      <c r="H41" s="232">
        <v>199.40288911772831</v>
      </c>
      <c r="I41" s="231">
        <f t="shared" si="0"/>
        <v>0.4257361743896183</v>
      </c>
      <c r="J41" s="230">
        <f t="shared" si="1"/>
        <v>0.35691454299261055</v>
      </c>
      <c r="K41" s="229">
        <f t="shared" si="2"/>
        <v>5.4471909842403549E-2</v>
      </c>
      <c r="L41" s="228">
        <f t="shared" si="3"/>
        <v>0.1628773727753676</v>
      </c>
      <c r="M41" s="1151">
        <f t="shared" si="5"/>
        <v>0.7826507173822288</v>
      </c>
      <c r="N41" s="219">
        <f t="shared" si="6"/>
        <v>0.21734928261777114</v>
      </c>
      <c r="O41" s="1134">
        <f t="shared" si="7"/>
        <v>0.48020808423202188</v>
      </c>
      <c r="P41" s="1147">
        <f t="shared" si="8"/>
        <v>0.51979191576797812</v>
      </c>
      <c r="Q41" s="1142">
        <f t="shared" si="9"/>
        <v>0.11343397087851688</v>
      </c>
      <c r="R41" s="1159">
        <f t="shared" si="10"/>
        <v>0.31335110807700961</v>
      </c>
      <c r="S41" s="1142">
        <f t="shared" si="11"/>
        <v>7.4448306021688104</v>
      </c>
      <c r="T41" s="1138">
        <f t="shared" si="4"/>
        <v>17.040853187696463</v>
      </c>
      <c r="U41" s="82">
        <f t="shared" si="12"/>
        <v>24031.327836571269</v>
      </c>
      <c r="V41" s="49">
        <f t="shared" si="22"/>
        <v>5412.0454314509225</v>
      </c>
      <c r="W41" s="196"/>
      <c r="X41" s="116">
        <f>E41-E35</f>
        <v>29.341373039345228</v>
      </c>
      <c r="Y41" s="102">
        <f>H41-H35</f>
        <v>197.50827432165596</v>
      </c>
      <c r="Z41" s="184">
        <f t="shared" si="14"/>
        <v>5412.0454314509225</v>
      </c>
      <c r="AB41" s="7" t="str">
        <f t="shared" si="26"/>
        <v>Bought 29.3413730393452 Shares of State 1 at a cost of 5412.04543</v>
      </c>
      <c r="AC41" s="7" t="str">
        <f t="shared" si="27"/>
        <v>Bought 197.508274321656 Shares of State 2 at a cost of 5412.04543</v>
      </c>
      <c r="AD41" s="187" t="str">
        <f t="shared" si="28"/>
        <v>Bought 29.3413730393452 Shares of State 1 at a cost of 5412.04543Bought 197.508274321656 Shares of State 2 at a cost of 5412.04543</v>
      </c>
      <c r="AE41" s="189">
        <f t="shared" si="18"/>
        <v>0.48020808423202188</v>
      </c>
      <c r="AF41" s="189">
        <f t="shared" si="19"/>
        <v>0.51979191576797812</v>
      </c>
      <c r="AG41" s="189">
        <f t="shared" si="20"/>
        <v>0.7826507173822288</v>
      </c>
      <c r="AH41" s="189">
        <f t="shared" si="21"/>
        <v>0.21734928261777114</v>
      </c>
    </row>
    <row r="42" spans="3:34" s="7" customFormat="1" ht="18.75" x14ac:dyDescent="0.3">
      <c r="C42" s="21" t="s">
        <v>169</v>
      </c>
      <c r="D42" s="25">
        <v>18</v>
      </c>
      <c r="E42" s="235">
        <v>586.30708878271764</v>
      </c>
      <c r="F42" s="234">
        <v>757.38965793792534</v>
      </c>
      <c r="G42" s="233">
        <v>0</v>
      </c>
      <c r="H42" s="232">
        <v>549.29024948204483</v>
      </c>
      <c r="I42" s="231">
        <f t="shared" si="0"/>
        <v>0.2158817845739576</v>
      </c>
      <c r="J42" s="230">
        <f t="shared" si="1"/>
        <v>0.6050728419510264</v>
      </c>
      <c r="K42" s="229">
        <f t="shared" si="2"/>
        <v>6.3139441828181141E-3</v>
      </c>
      <c r="L42" s="228">
        <f t="shared" si="3"/>
        <v>0.17273142929219792</v>
      </c>
      <c r="M42" s="1151">
        <f t="shared" si="5"/>
        <v>0.82095462652498397</v>
      </c>
      <c r="N42" s="219">
        <f t="shared" si="6"/>
        <v>0.17904537347501603</v>
      </c>
      <c r="O42" s="1134">
        <f t="shared" si="7"/>
        <v>0.22219572875677571</v>
      </c>
      <c r="P42" s="1147">
        <f t="shared" si="8"/>
        <v>0.77780427124322427</v>
      </c>
      <c r="Q42" s="1142">
        <f t="shared" si="9"/>
        <v>2.8416136611381981E-2</v>
      </c>
      <c r="R42" s="1159">
        <f t="shared" si="10"/>
        <v>0.22207570166220356</v>
      </c>
      <c r="S42" s="1142">
        <f t="shared" si="11"/>
        <v>3.3639745573463351</v>
      </c>
      <c r="T42" s="1138">
        <f t="shared" si="4"/>
        <v>12.65963367978577</v>
      </c>
      <c r="U42" s="82">
        <f t="shared" si="12"/>
        <v>40357.878001553327</v>
      </c>
      <c r="V42" s="49">
        <f t="shared" si="22"/>
        <v>16326.550164982058</v>
      </c>
      <c r="W42" s="196"/>
      <c r="X42" s="116">
        <f>E42-E34</f>
        <v>414.37273624292914</v>
      </c>
      <c r="Y42" s="102">
        <f>H42-H34</f>
        <v>313.58373932216472</v>
      </c>
      <c r="Z42" s="184">
        <f t="shared" si="14"/>
        <v>16326.550164982058</v>
      </c>
      <c r="AB42" s="7" t="str">
        <f t="shared" si="15"/>
        <v>Bought 414.372736242929 Shares of State 1 at a cost of 16326.55016</v>
      </c>
      <c r="AC42" s="7" t="str">
        <f t="shared" si="16"/>
        <v>Bought 313.583739322165 Shares of State 2 at a cost of 16326.55016</v>
      </c>
      <c r="AD42" s="187" t="str">
        <f t="shared" si="17"/>
        <v>Bought 414.372736242929 Shares of State 1 at a cost of 16326.55016Bought 313.583739322165 Shares of State 2 at a cost of 16326.55016</v>
      </c>
      <c r="AE42" s="189">
        <f t="shared" si="18"/>
        <v>0.22219572875677571</v>
      </c>
      <c r="AF42" s="189">
        <f t="shared" si="19"/>
        <v>0.77780427124322427</v>
      </c>
      <c r="AG42" s="189">
        <f t="shared" si="20"/>
        <v>0.82095462652498397</v>
      </c>
      <c r="AH42" s="189">
        <f t="shared" si="21"/>
        <v>0.17904537347501603</v>
      </c>
    </row>
    <row r="43" spans="3:34" s="7" customFormat="1" ht="18.75" x14ac:dyDescent="0.3">
      <c r="C43" s="21" t="s">
        <v>169</v>
      </c>
      <c r="D43" s="25">
        <v>19</v>
      </c>
      <c r="E43" s="235">
        <v>658.19746818570889</v>
      </c>
      <c r="F43" s="234">
        <v>869.89542727231128</v>
      </c>
      <c r="G43" s="233">
        <v>0</v>
      </c>
      <c r="H43" s="232">
        <v>642.77510659253358</v>
      </c>
      <c r="I43" s="231">
        <f t="shared" si="0"/>
        <v>0.18148879577867977</v>
      </c>
      <c r="J43" s="230">
        <f t="shared" si="1"/>
        <v>0.64968188195586607</v>
      </c>
      <c r="K43" s="229">
        <f t="shared" si="2"/>
        <v>3.4423312523085836E-3</v>
      </c>
      <c r="L43" s="228">
        <f t="shared" si="3"/>
        <v>0.16538699101314563</v>
      </c>
      <c r="M43" s="1151">
        <f t="shared" si="5"/>
        <v>0.83117067773454578</v>
      </c>
      <c r="N43" s="219">
        <f t="shared" si="6"/>
        <v>0.16882932226545422</v>
      </c>
      <c r="O43" s="1134">
        <f t="shared" si="7"/>
        <v>0.18493112703098835</v>
      </c>
      <c r="P43" s="1147">
        <f t="shared" si="8"/>
        <v>0.81506887296901165</v>
      </c>
      <c r="Q43" s="1142">
        <f t="shared" si="9"/>
        <v>1.8614125742778622E-2</v>
      </c>
      <c r="R43" s="1159">
        <f t="shared" si="10"/>
        <v>0.2029116759307695</v>
      </c>
      <c r="S43" s="1142">
        <f t="shared" si="11"/>
        <v>2.8934780356533736</v>
      </c>
      <c r="T43" s="1138">
        <f t="shared" si="4"/>
        <v>11.739760444676936</v>
      </c>
      <c r="U43" s="82">
        <f t="shared" si="12"/>
        <v>45191.359376881293</v>
      </c>
      <c r="V43" s="49">
        <f t="shared" si="22"/>
        <v>4833.4813753279668</v>
      </c>
      <c r="W43" s="196"/>
      <c r="X43" s="116">
        <f>E43-E42</f>
        <v>71.890379402991243</v>
      </c>
      <c r="Y43" s="102">
        <f>H43-H42</f>
        <v>93.484857110488747</v>
      </c>
      <c r="Z43" s="184">
        <f t="shared" si="14"/>
        <v>4833.4813753279668</v>
      </c>
      <c r="AB43" s="7" t="str">
        <f t="shared" ref="AB43:AB44" si="32">IF(X43&gt;0,"Bought ",IF(X43&lt;0,"Sold ",""))&amp;IF(X43&lt;0,X43*-1,IF(X43&gt;0,X43,""))&amp;IF(X43&lt;&gt;0," Shares of State 1 at a cost of "&amp;ROUND($Z43,5),"")</f>
        <v>Bought 71.8903794029912 Shares of State 1 at a cost of 4833.48138</v>
      </c>
      <c r="AC43" s="7" t="str">
        <f t="shared" ref="AC43:AC44" si="33">IF(Y43&gt;0,"Bought ",IF(Y43&lt;0,"Sold ",""))&amp;IF(Y43&lt;0,Y43*-1,IF(Y43&gt;0,Y43,""))&amp;IF(Y43&lt;&gt;0," Shares of State 2 at a cost of "&amp;ROUND($Z43,5),"")</f>
        <v>Bought 93.4848571104887 Shares of State 2 at a cost of 4833.48138</v>
      </c>
      <c r="AD43" s="187" t="str">
        <f t="shared" ref="AD43:AD44" si="34">AB43&amp;AC43</f>
        <v>Bought 71.8903794029912 Shares of State 1 at a cost of 4833.48138Bought 93.4848571104887 Shares of State 2 at a cost of 4833.48138</v>
      </c>
      <c r="AE43" s="189">
        <f t="shared" si="18"/>
        <v>0.18493112703098835</v>
      </c>
      <c r="AF43" s="189">
        <f t="shared" si="19"/>
        <v>0.81506887296901165</v>
      </c>
      <c r="AG43" s="189">
        <f t="shared" si="20"/>
        <v>0.83117067773454578</v>
      </c>
      <c r="AH43" s="189">
        <f t="shared" si="21"/>
        <v>0.16882932226545422</v>
      </c>
    </row>
    <row r="44" spans="3:34" s="7" customFormat="1" ht="18.75" x14ac:dyDescent="0.3">
      <c r="C44" s="21" t="s">
        <v>169</v>
      </c>
      <c r="D44" s="25">
        <v>20</v>
      </c>
      <c r="E44" s="235">
        <v>728.21351420508313</v>
      </c>
      <c r="F44" s="234">
        <v>1062.0893788940514</v>
      </c>
      <c r="G44" s="233">
        <v>0</v>
      </c>
      <c r="H44" s="232">
        <v>801.55283306940419</v>
      </c>
      <c r="I44" s="231">
        <f t="shared" si="0"/>
        <v>9.9591887646672345E-2</v>
      </c>
      <c r="J44" s="230">
        <f t="shared" si="1"/>
        <v>0.74425305272586184</v>
      </c>
      <c r="K44" s="229">
        <f t="shared" si="2"/>
        <v>1.2389352149660962E-3</v>
      </c>
      <c r="L44" s="228">
        <f t="shared" si="3"/>
        <v>0.15491612441249972</v>
      </c>
      <c r="M44" s="1151">
        <f t="shared" si="5"/>
        <v>0.84384494037253421</v>
      </c>
      <c r="N44" s="219">
        <f t="shared" si="6"/>
        <v>0.15615505962746581</v>
      </c>
      <c r="O44" s="1134">
        <f t="shared" si="7"/>
        <v>0.10083082286163844</v>
      </c>
      <c r="P44" s="1147">
        <f t="shared" si="8"/>
        <v>0.89916917713836153</v>
      </c>
      <c r="Q44" s="1142">
        <f t="shared" si="9"/>
        <v>1.2287266728609183E-2</v>
      </c>
      <c r="R44" s="1159">
        <f t="shared" si="10"/>
        <v>0.17228807253549983</v>
      </c>
      <c r="S44" s="1142">
        <f t="shared" si="11"/>
        <v>2.5897888029732408</v>
      </c>
      <c r="T44" s="1138">
        <f t="shared" si="4"/>
        <v>10.269827481703992</v>
      </c>
      <c r="U44" s="82">
        <f t="shared" si="12"/>
        <v>53333.831632013615</v>
      </c>
      <c r="V44" s="49">
        <f t="shared" si="22"/>
        <v>8142.4722551323212</v>
      </c>
      <c r="W44" s="196"/>
      <c r="X44" s="116">
        <f>E44-E43</f>
        <v>70.016046019374244</v>
      </c>
      <c r="Y44" s="102">
        <f>H44-H43</f>
        <v>158.77772647687061</v>
      </c>
      <c r="Z44" s="184">
        <f t="shared" si="14"/>
        <v>8142.4722551323212</v>
      </c>
      <c r="AB44" s="7" t="str">
        <f t="shared" si="32"/>
        <v>Bought 70.0160460193742 Shares of State 1 at a cost of 8142.47226</v>
      </c>
      <c r="AC44" s="7" t="str">
        <f t="shared" si="33"/>
        <v>Bought 158.777726476871 Shares of State 2 at a cost of 8142.47226</v>
      </c>
      <c r="AD44" s="187" t="str">
        <f t="shared" si="34"/>
        <v>Bought 70.0160460193742 Shares of State 1 at a cost of 8142.47226Bought 158.777726476871 Shares of State 2 at a cost of 8142.47226</v>
      </c>
      <c r="AE44" s="189">
        <f t="shared" si="18"/>
        <v>0.10083082286163844</v>
      </c>
      <c r="AF44" s="189">
        <f t="shared" si="19"/>
        <v>0.89916917713836153</v>
      </c>
      <c r="AG44" s="189">
        <f t="shared" si="20"/>
        <v>0.84384494037253421</v>
      </c>
      <c r="AH44" s="189">
        <f t="shared" si="21"/>
        <v>0.15615505962746581</v>
      </c>
    </row>
    <row r="45" spans="3:34" s="7" customFormat="1" ht="18.75" x14ac:dyDescent="0.3">
      <c r="C45" s="21" t="s">
        <v>169</v>
      </c>
      <c r="D45" s="25">
        <v>21</v>
      </c>
      <c r="E45" s="235">
        <v>901.50594784393945</v>
      </c>
      <c r="F45" s="234">
        <v>1290.707514426897</v>
      </c>
      <c r="G45" s="233">
        <v>0</v>
      </c>
      <c r="H45" s="232">
        <v>1116.4620322406329</v>
      </c>
      <c r="I45" s="231">
        <f t="shared" si="0"/>
        <v>6.6295226877183297E-2</v>
      </c>
      <c r="J45" s="230">
        <f t="shared" si="1"/>
        <v>0.69139109815077826</v>
      </c>
      <c r="K45" s="229">
        <f t="shared" si="2"/>
        <v>2.9035794612013632E-4</v>
      </c>
      <c r="L45" s="228">
        <f t="shared" si="3"/>
        <v>0.24202331702591839</v>
      </c>
      <c r="M45" s="1151">
        <f t="shared" si="5"/>
        <v>0.75768632502796152</v>
      </c>
      <c r="N45" s="219">
        <f t="shared" si="6"/>
        <v>0.24231367497203854</v>
      </c>
      <c r="O45" s="1134">
        <f t="shared" si="7"/>
        <v>6.6585584823303429E-2</v>
      </c>
      <c r="P45" s="1147">
        <f t="shared" si="8"/>
        <v>0.93341441517669665</v>
      </c>
      <c r="Q45" s="1142">
        <f t="shared" si="9"/>
        <v>4.3606727625904651E-3</v>
      </c>
      <c r="R45" s="1159">
        <f t="shared" si="10"/>
        <v>0.25928817156750578</v>
      </c>
      <c r="S45" s="1142">
        <f t="shared" si="11"/>
        <v>2.2093122926043423</v>
      </c>
      <c r="T45" s="1138">
        <f t="shared" si="4"/>
        <v>14.445832235240278</v>
      </c>
      <c r="U45" s="82">
        <f t="shared" si="12"/>
        <v>64894.548117915925</v>
      </c>
      <c r="V45" s="49">
        <f t="shared" si="22"/>
        <v>11560.716485902311</v>
      </c>
      <c r="W45" s="196"/>
      <c r="X45" s="116">
        <f>E45-E42</f>
        <v>315.19885906122181</v>
      </c>
      <c r="Y45" s="102">
        <f>H45-H42</f>
        <v>567.17178275858805</v>
      </c>
      <c r="Z45" s="184">
        <f t="shared" si="14"/>
        <v>11560.716485902311</v>
      </c>
      <c r="AB45" s="7" t="str">
        <f t="shared" ref="AB45:AB46" si="35">IF(X45&gt;0,"Bought ",IF(X45&lt;0,"Sold ",""))&amp;IF(X45&lt;0,X45*-1,IF(X45&gt;0,X45,""))&amp;IF(X45&lt;&gt;0," Shares of State 1 at a cost of "&amp;ROUND($Z45,5),"")</f>
        <v>Bought 315.198859061222 Shares of State 1 at a cost of 11560.71649</v>
      </c>
      <c r="AC45" s="7" t="str">
        <f t="shared" ref="AC45:AC46" si="36">IF(Y45&gt;0,"Bought ",IF(Y45&lt;0,"Sold ",""))&amp;IF(Y45&lt;0,Y45*-1,IF(Y45&gt;0,Y45,""))&amp;IF(Y45&lt;&gt;0," Shares of State 2 at a cost of "&amp;ROUND($Z45,5),"")</f>
        <v>Bought 567.171782758588 Shares of State 2 at a cost of 11560.71649</v>
      </c>
      <c r="AD45" s="187" t="str">
        <f t="shared" ref="AD45:AD46" si="37">AB45&amp;AC45</f>
        <v>Bought 315.198859061222 Shares of State 1 at a cost of 11560.71649Bought 567.171782758588 Shares of State 2 at a cost of 11560.71649</v>
      </c>
      <c r="AE45" s="189">
        <f t="shared" si="18"/>
        <v>6.6585584823303429E-2</v>
      </c>
      <c r="AF45" s="189">
        <f t="shared" si="19"/>
        <v>0.93341441517669665</v>
      </c>
      <c r="AG45" s="189">
        <f t="shared" si="20"/>
        <v>0.75768632502796152</v>
      </c>
      <c r="AH45" s="189">
        <f t="shared" si="21"/>
        <v>0.24231367497203854</v>
      </c>
    </row>
    <row r="46" spans="3:34" s="7" customFormat="1" ht="18.75" x14ac:dyDescent="0.3">
      <c r="C46" s="21" t="s">
        <v>175</v>
      </c>
      <c r="D46" s="25">
        <v>22</v>
      </c>
      <c r="E46" s="235">
        <v>885.34253920199694</v>
      </c>
      <c r="F46" s="234">
        <v>1167.1893031193376</v>
      </c>
      <c r="G46" s="233">
        <v>0</v>
      </c>
      <c r="H46" s="232">
        <v>1009.235230295761</v>
      </c>
      <c r="I46" s="231">
        <f t="shared" si="0"/>
        <v>0.11659892447423695</v>
      </c>
      <c r="J46" s="230">
        <f t="shared" si="1"/>
        <v>0.63689965876473331</v>
      </c>
      <c r="K46" s="229">
        <f t="shared" si="2"/>
        <v>5.6290255892072405E-4</v>
      </c>
      <c r="L46" s="228">
        <f t="shared" si="3"/>
        <v>0.24593851420210899</v>
      </c>
      <c r="M46" s="1151">
        <f t="shared" si="5"/>
        <v>0.75349858323897023</v>
      </c>
      <c r="N46" s="219">
        <f t="shared" si="6"/>
        <v>0.24650141676102971</v>
      </c>
      <c r="O46" s="1134">
        <f t="shared" si="7"/>
        <v>0.11716182703315767</v>
      </c>
      <c r="P46" s="1147">
        <f t="shared" si="8"/>
        <v>0.88283817296684231</v>
      </c>
      <c r="Q46" s="1142">
        <f t="shared" si="9"/>
        <v>4.8044877173297959E-3</v>
      </c>
      <c r="R46" s="1159">
        <f t="shared" si="10"/>
        <v>0.27857711835863941</v>
      </c>
      <c r="S46" s="1142">
        <f t="shared" si="11"/>
        <v>2.2306154104318301</v>
      </c>
      <c r="T46" s="1138">
        <f t="shared" si="4"/>
        <v>15.371701681214692</v>
      </c>
      <c r="U46" s="82">
        <f t="shared" si="12"/>
        <v>59619.795227733848</v>
      </c>
      <c r="V46" s="49">
        <f t="shared" si="22"/>
        <v>-5274.752890182077</v>
      </c>
      <c r="W46" s="196"/>
      <c r="X46" s="116">
        <f>E46-E45</f>
        <v>-16.16340864194251</v>
      </c>
      <c r="Y46" s="102">
        <f>H46-H45</f>
        <v>-107.22680194487191</v>
      </c>
      <c r="Z46" s="184">
        <f t="shared" si="14"/>
        <v>-5274.752890182077</v>
      </c>
      <c r="AB46" s="7" t="str">
        <f t="shared" si="35"/>
        <v>Sold 16.1634086419425 Shares of State 1 at a cost of -5274.75289</v>
      </c>
      <c r="AC46" s="7" t="str">
        <f t="shared" si="36"/>
        <v>Sold 107.226801944872 Shares of State 2 at a cost of -5274.75289</v>
      </c>
      <c r="AD46" s="187" t="str">
        <f t="shared" si="37"/>
        <v>Sold 16.1634086419425 Shares of State 1 at a cost of -5274.75289Sold 107.226801944872 Shares of State 2 at a cost of -5274.75289</v>
      </c>
      <c r="AE46" s="189">
        <f t="shared" si="18"/>
        <v>0.11716182703315767</v>
      </c>
      <c r="AF46" s="189">
        <f t="shared" si="19"/>
        <v>0.88283817296684231</v>
      </c>
      <c r="AG46" s="189">
        <f t="shared" si="20"/>
        <v>0.75349858323897023</v>
      </c>
      <c r="AH46" s="189">
        <f t="shared" si="21"/>
        <v>0.24650141676102971</v>
      </c>
    </row>
    <row r="47" spans="3:34" s="7" customFormat="1" ht="18.75" x14ac:dyDescent="0.3">
      <c r="C47" s="21" t="s">
        <v>169</v>
      </c>
      <c r="D47" s="25">
        <v>23</v>
      </c>
      <c r="E47" s="235">
        <v>907.36769431793448</v>
      </c>
      <c r="F47" s="234">
        <v>1220.9733319254351</v>
      </c>
      <c r="G47" s="233">
        <v>0</v>
      </c>
      <c r="H47" s="232">
        <v>1052.7883760624388</v>
      </c>
      <c r="I47" s="231">
        <f t="shared" si="0"/>
        <v>9.980454318987296E-2</v>
      </c>
      <c r="J47" s="230">
        <f t="shared" si="1"/>
        <v>0.66010855133943136</v>
      </c>
      <c r="K47" s="229">
        <f t="shared" si="2"/>
        <v>4.2195494228948764E-4</v>
      </c>
      <c r="L47" s="228">
        <f t="shared" si="3"/>
        <v>0.23966495052840611</v>
      </c>
      <c r="M47" s="1151">
        <f t="shared" si="5"/>
        <v>0.75991309452930433</v>
      </c>
      <c r="N47" s="219">
        <f t="shared" si="6"/>
        <v>0.24008690547069561</v>
      </c>
      <c r="O47" s="1134">
        <f t="shared" si="7"/>
        <v>0.10022649813216244</v>
      </c>
      <c r="P47" s="1147">
        <f t="shared" si="8"/>
        <v>0.89977350186783744</v>
      </c>
      <c r="Q47" s="1142">
        <f t="shared" si="9"/>
        <v>4.2100138202282788E-3</v>
      </c>
      <c r="R47" s="1159">
        <f t="shared" si="10"/>
        <v>0.26636142321471601</v>
      </c>
      <c r="S47" s="1142">
        <f t="shared" si="11"/>
        <v>2.2020806633709573</v>
      </c>
      <c r="T47" s="1138">
        <f t="shared" si="4"/>
        <v>14.785348314306368</v>
      </c>
      <c r="U47" s="82">
        <f t="shared" si="12"/>
        <v>61916.236586950552</v>
      </c>
      <c r="V47" s="49">
        <f t="shared" ref="V47:V49" si="38">(U47-U46)</f>
        <v>2296.4413592167039</v>
      </c>
      <c r="W47" s="196"/>
      <c r="X47" s="116">
        <f>E47-E42</f>
        <v>321.06060553521684</v>
      </c>
      <c r="Y47" s="102">
        <f>H47-H42</f>
        <v>503.498126580394</v>
      </c>
      <c r="Z47" s="184">
        <f t="shared" si="14"/>
        <v>2296.4413592167039</v>
      </c>
      <c r="AB47" s="7" t="str">
        <f t="shared" si="15"/>
        <v>Bought 321.060605535217 Shares of State 1 at a cost of 2296.44136</v>
      </c>
      <c r="AC47" s="7" t="str">
        <f t="shared" si="16"/>
        <v>Bought 503.498126580394 Shares of State 2 at a cost of 2296.44136</v>
      </c>
      <c r="AD47" s="187" t="str">
        <f t="shared" si="17"/>
        <v>Bought 321.060605535217 Shares of State 1 at a cost of 2296.44136Bought 503.498126580394 Shares of State 2 at a cost of 2296.44136</v>
      </c>
      <c r="AE47" s="189">
        <f t="shared" si="18"/>
        <v>0.10022649813216244</v>
      </c>
      <c r="AF47" s="189">
        <f t="shared" si="19"/>
        <v>0.89977350186783744</v>
      </c>
      <c r="AG47" s="189">
        <f t="shared" si="20"/>
        <v>0.75991309452930433</v>
      </c>
      <c r="AH47" s="189">
        <f t="shared" si="21"/>
        <v>0.24008690547069561</v>
      </c>
    </row>
    <row r="48" spans="3:34" s="7" customFormat="1" ht="18.75" x14ac:dyDescent="0.3">
      <c r="C48" s="21" t="s">
        <v>169</v>
      </c>
      <c r="D48" s="25">
        <v>24</v>
      </c>
      <c r="E48" s="235">
        <v>924.42140600689493</v>
      </c>
      <c r="F48" s="234">
        <v>1219.7073739331827</v>
      </c>
      <c r="G48" s="233">
        <v>0</v>
      </c>
      <c r="H48" s="232">
        <v>1044.4301297458805</v>
      </c>
      <c r="I48" s="231">
        <f t="shared" si="0"/>
        <v>0.11126892865953956</v>
      </c>
      <c r="J48" s="230">
        <f t="shared" si="1"/>
        <v>0.65903799205703983</v>
      </c>
      <c r="K48" s="229">
        <f t="shared" si="2"/>
        <v>4.2449561681152752E-4</v>
      </c>
      <c r="L48" s="228">
        <f t="shared" si="3"/>
        <v>0.22926858366660893</v>
      </c>
      <c r="M48" s="1151">
        <f t="shared" si="5"/>
        <v>0.77030692071657936</v>
      </c>
      <c r="N48" s="219">
        <f t="shared" si="6"/>
        <v>0.22969307928342045</v>
      </c>
      <c r="O48" s="1134">
        <f t="shared" si="7"/>
        <v>0.11169342427635109</v>
      </c>
      <c r="P48" s="1147">
        <f t="shared" si="8"/>
        <v>0.88830657572364879</v>
      </c>
      <c r="Q48" s="1142">
        <f t="shared" si="9"/>
        <v>3.8005425973980655E-3</v>
      </c>
      <c r="R48" s="1159">
        <f t="shared" si="10"/>
        <v>0.25809623606561494</v>
      </c>
      <c r="S48" s="1142">
        <f t="shared" si="11"/>
        <v>2.1824260446751071</v>
      </c>
      <c r="T48" s="1138">
        <f t="shared" si="4"/>
        <v>14.388619331149517</v>
      </c>
      <c r="U48" s="82">
        <f t="shared" si="12"/>
        <v>61868.403538298502</v>
      </c>
      <c r="V48" s="49">
        <f t="shared" si="38"/>
        <v>-47.833048652049911</v>
      </c>
      <c r="W48" s="196"/>
      <c r="X48" s="116">
        <f>E48-E47</f>
        <v>17.053711688960448</v>
      </c>
      <c r="Y48" s="102">
        <f>H48-H47</f>
        <v>-8.3582463165582794</v>
      </c>
      <c r="Z48" s="184">
        <f t="shared" si="14"/>
        <v>-47.833048652049911</v>
      </c>
      <c r="AB48" s="7" t="str">
        <f t="shared" si="15"/>
        <v>Bought 17.0537116889604 Shares of State 1 at a cost of -47.83305</v>
      </c>
      <c r="AC48" s="7" t="str">
        <f t="shared" si="16"/>
        <v>Sold 8.35824631655828 Shares of State 2 at a cost of -47.83305</v>
      </c>
      <c r="AD48" s="187" t="str">
        <f t="shared" si="17"/>
        <v>Bought 17.0537116889604 Shares of State 1 at a cost of -47.83305Sold 8.35824631655828 Shares of State 2 at a cost of -47.83305</v>
      </c>
      <c r="AE48" s="189">
        <f t="shared" si="18"/>
        <v>0.11169342427635109</v>
      </c>
      <c r="AF48" s="189">
        <f t="shared" si="19"/>
        <v>0.88830657572364879</v>
      </c>
      <c r="AG48" s="189">
        <f t="shared" si="20"/>
        <v>0.77030692071657936</v>
      </c>
      <c r="AH48" s="189">
        <f t="shared" si="21"/>
        <v>0.22969307928342045</v>
      </c>
    </row>
    <row r="49" spans="3:34" s="7" customFormat="1" ht="19.5" thickBot="1" x14ac:dyDescent="0.35">
      <c r="C49" s="21" t="s">
        <v>169</v>
      </c>
      <c r="D49" s="25">
        <v>25</v>
      </c>
      <c r="E49" s="227">
        <v>933.43672883384318</v>
      </c>
      <c r="F49" s="226">
        <v>1236.0391790474396</v>
      </c>
      <c r="G49" s="225">
        <v>0</v>
      </c>
      <c r="H49" s="224">
        <v>1053.707972580542</v>
      </c>
      <c r="I49" s="223">
        <f t="shared" si="0"/>
        <v>0.10802417502524053</v>
      </c>
      <c r="J49" s="222">
        <f t="shared" si="1"/>
        <v>0.6686504126712346</v>
      </c>
      <c r="K49" s="221">
        <f t="shared" si="2"/>
        <v>3.9033193775899795E-4</v>
      </c>
      <c r="L49" s="220">
        <f t="shared" si="3"/>
        <v>0.22293508036576601</v>
      </c>
      <c r="M49" s="1152">
        <f t="shared" si="5"/>
        <v>0.77667458769647513</v>
      </c>
      <c r="N49" s="285">
        <f t="shared" si="6"/>
        <v>0.22332541230352501</v>
      </c>
      <c r="O49" s="1135">
        <f t="shared" si="7"/>
        <v>0.10841450696299954</v>
      </c>
      <c r="P49" s="1137">
        <f t="shared" si="8"/>
        <v>0.89158549303700063</v>
      </c>
      <c r="Q49" s="1160">
        <f t="shared" si="9"/>
        <v>3.6003663042272855E-3</v>
      </c>
      <c r="R49" s="1161">
        <f t="shared" si="10"/>
        <v>0.25004341379129441</v>
      </c>
      <c r="S49" s="1143">
        <f t="shared" si="11"/>
        <v>2.1728175826029097</v>
      </c>
      <c r="T49" s="1139">
        <f t="shared" si="4"/>
        <v>14.002083861982133</v>
      </c>
      <c r="U49" s="114">
        <f t="shared" si="12"/>
        <v>62536.952049179359</v>
      </c>
      <c r="V49" s="115">
        <f t="shared" si="38"/>
        <v>668.54851088085707</v>
      </c>
      <c r="W49" s="196"/>
      <c r="X49" s="121">
        <f>E49-E48</f>
        <v>9.0153228269482497</v>
      </c>
      <c r="Y49" s="104">
        <f>H49-H48</f>
        <v>9.2778428346614419</v>
      </c>
      <c r="Z49" s="184">
        <f t="shared" si="14"/>
        <v>668.54851088085707</v>
      </c>
      <c r="AB49" s="7" t="str">
        <f t="shared" si="15"/>
        <v>Bought 9.01532282694825 Shares of State 1 at a cost of 668.54851</v>
      </c>
      <c r="AC49" s="7" t="str">
        <f t="shared" si="16"/>
        <v>Bought 9.27784283466144 Shares of State 2 at a cost of 668.54851</v>
      </c>
      <c r="AD49" s="187" t="str">
        <f t="shared" si="17"/>
        <v>Bought 9.01532282694825 Shares of State 1 at a cost of 668.54851Bought 9.27784283466144 Shares of State 2 at a cost of 668.54851</v>
      </c>
      <c r="AE49" s="189">
        <f t="shared" si="18"/>
        <v>0.10841450696299954</v>
      </c>
      <c r="AF49" s="189">
        <f t="shared" si="19"/>
        <v>0.89158549303700063</v>
      </c>
      <c r="AG49" s="189">
        <f t="shared" si="20"/>
        <v>0.77667458769647513</v>
      </c>
      <c r="AH49" s="189">
        <f t="shared" si="21"/>
        <v>0.22332541230352501</v>
      </c>
    </row>
    <row r="50" spans="3:34" s="7" customFormat="1" ht="16.5" thickTop="1" thickBot="1" x14ac:dyDescent="0.3">
      <c r="D50" s="25" t="s">
        <v>97</v>
      </c>
      <c r="E50" s="217">
        <v>510</v>
      </c>
      <c r="F50" s="216">
        <f t="shared" ref="F50:H50" si="39">F49</f>
        <v>1236.0391790474396</v>
      </c>
      <c r="G50" s="215">
        <f t="shared" si="39"/>
        <v>0</v>
      </c>
      <c r="H50" s="214">
        <f t="shared" si="39"/>
        <v>1053.707972580542</v>
      </c>
      <c r="I50" s="433">
        <f>F54*F53</f>
        <v>0</v>
      </c>
      <c r="J50" s="433">
        <f>F53*E54</f>
        <v>0.48531250000000004</v>
      </c>
      <c r="K50" s="433">
        <f>E53*F54</f>
        <v>0</v>
      </c>
      <c r="L50" s="433">
        <f>E53*E54</f>
        <v>0.51468749999999996</v>
      </c>
      <c r="M50" s="1153">
        <f t="shared" si="5"/>
        <v>0.48531250000000004</v>
      </c>
      <c r="N50" s="282">
        <f t="shared" si="6"/>
        <v>0.51468749999999996</v>
      </c>
      <c r="O50" s="1136">
        <f t="shared" si="7"/>
        <v>0</v>
      </c>
      <c r="P50" s="1148">
        <f t="shared" si="8"/>
        <v>1</v>
      </c>
      <c r="Q50" s="1162"/>
      <c r="R50" s="1163"/>
      <c r="S50" s="1144"/>
      <c r="T50" s="1140"/>
      <c r="U50" s="83">
        <f t="shared" si="12"/>
        <v>61701.011758549241</v>
      </c>
      <c r="V50" s="8" t="s">
        <v>109</v>
      </c>
      <c r="AC50" s="8"/>
      <c r="AD50" s="8"/>
      <c r="AE50" s="8"/>
    </row>
    <row r="51" spans="3:34" s="7" customFormat="1" ht="15.75" thickBot="1" x14ac:dyDescent="0.3">
      <c r="C51"/>
      <c r="D51"/>
      <c r="E51" s="33"/>
      <c r="F51" s="33"/>
      <c r="G51" s="33"/>
      <c r="H51" s="33"/>
      <c r="I51" s="33"/>
      <c r="J51" s="33"/>
      <c r="K51" s="33"/>
      <c r="L51" s="33"/>
      <c r="M51" s="33"/>
      <c r="N51" s="33"/>
      <c r="O51" s="33"/>
      <c r="P51" s="33"/>
      <c r="Q51" s="33"/>
      <c r="R51" s="33"/>
      <c r="S51" s="33"/>
      <c r="T51" s="33"/>
      <c r="U51" s="246">
        <f>SUMPRODUCT(E50:H50,M50:P50)</f>
        <v>1937.3912625465209</v>
      </c>
      <c r="V51" t="s">
        <v>110</v>
      </c>
      <c r="AC51"/>
      <c r="AD51"/>
      <c r="AE51"/>
    </row>
    <row r="52" spans="3:34" s="7" customFormat="1" ht="15.75" thickBot="1" x14ac:dyDescent="0.3">
      <c r="C52" s="1"/>
      <c r="D52" s="152" t="s">
        <v>174</v>
      </c>
      <c r="E52" s="289" t="s">
        <v>154</v>
      </c>
      <c r="F52" s="239" t="s">
        <v>171</v>
      </c>
      <c r="G52" s="142"/>
      <c r="H52" s="17"/>
      <c r="I52" s="468">
        <f>F53*F54</f>
        <v>0</v>
      </c>
      <c r="J52" s="468">
        <f>F53*E54</f>
        <v>0.48531250000000004</v>
      </c>
      <c r="K52" s="468">
        <f>E53*F54</f>
        <v>0</v>
      </c>
      <c r="L52" s="468">
        <f>E53*E54</f>
        <v>0.51468749999999996</v>
      </c>
      <c r="M52" s="17"/>
      <c r="N52" s="17"/>
      <c r="O52" s="17" t="s">
        <v>130</v>
      </c>
      <c r="P52" s="209">
        <f>SUM(M48:P48)</f>
        <v>1.9999999999999996</v>
      </c>
      <c r="Q52" s="209"/>
      <c r="R52" s="209"/>
      <c r="S52" s="17"/>
      <c r="T52" s="17"/>
      <c r="U52" s="246">
        <f>U50-U51</f>
        <v>59763.620496002717</v>
      </c>
      <c r="V52" s="7" t="s">
        <v>102</v>
      </c>
    </row>
    <row r="53" spans="3:34" s="7" customFormat="1" ht="15.75" thickBot="1" x14ac:dyDescent="0.3">
      <c r="C53" s="5" t="s">
        <v>172</v>
      </c>
      <c r="D53" s="466">
        <v>26.704999999999998</v>
      </c>
      <c r="E53" s="510">
        <f>(D53-E5)/(E6-E5)</f>
        <v>0.51468749999999996</v>
      </c>
      <c r="F53" s="511">
        <f>1-E53</f>
        <v>0.48531250000000004</v>
      </c>
      <c r="H53" s="33"/>
      <c r="J53" s="33"/>
      <c r="K53" s="33"/>
      <c r="L53" s="33"/>
      <c r="M53" s="17"/>
      <c r="N53" s="17"/>
      <c r="O53" s="17"/>
      <c r="P53" s="209">
        <f>SUM(M49:P49)</f>
        <v>2.0000000000000004</v>
      </c>
      <c r="Q53" s="209"/>
      <c r="R53" s="209"/>
      <c r="S53" s="17"/>
      <c r="T53" s="17"/>
      <c r="U53" s="248">
        <f>U25-U52</f>
        <v>-48717.627026599432</v>
      </c>
      <c r="V53" s="54" t="s">
        <v>103</v>
      </c>
      <c r="AA53" s="8"/>
      <c r="AB53" s="8"/>
      <c r="AC53" s="8"/>
      <c r="AD53" s="28"/>
      <c r="AE53" s="28"/>
    </row>
    <row r="54" spans="3:34" ht="15.75" thickBot="1" x14ac:dyDescent="0.3">
      <c r="C54" s="290" t="s">
        <v>173</v>
      </c>
      <c r="D54" s="467">
        <v>1</v>
      </c>
      <c r="E54" s="512">
        <v>1</v>
      </c>
      <c r="F54" s="513">
        <v>0</v>
      </c>
      <c r="G54" s="17"/>
      <c r="P54" s="209">
        <f>SUM(M50:P50)</f>
        <v>2</v>
      </c>
      <c r="Q54" s="209"/>
      <c r="R54" s="209"/>
      <c r="V54" s="190"/>
    </row>
    <row r="55" spans="3:34" x14ac:dyDescent="0.25">
      <c r="C55" s="17"/>
      <c r="D55" s="209"/>
      <c r="E55" s="17"/>
      <c r="F55" s="7"/>
      <c r="G55" s="17"/>
    </row>
    <row r="56" spans="3:34" hidden="1" x14ac:dyDescent="0.25">
      <c r="G56" s="190"/>
      <c r="H56" s="190"/>
      <c r="S56" s="190"/>
    </row>
    <row r="57" spans="3:34" hidden="1" x14ac:dyDescent="0.25">
      <c r="D57" s="33"/>
      <c r="E57" s="33" t="s">
        <v>568</v>
      </c>
      <c r="F57" s="190"/>
      <c r="G57" s="190"/>
      <c r="J57" s="33" t="s">
        <v>690</v>
      </c>
      <c r="O57" s="33" t="s">
        <v>708</v>
      </c>
      <c r="S57" s="190"/>
    </row>
    <row r="58" spans="3:34" hidden="1" x14ac:dyDescent="0.25">
      <c r="D58" s="33"/>
      <c r="E58" s="190" t="s">
        <v>691</v>
      </c>
      <c r="F58" s="33" t="s">
        <v>707</v>
      </c>
      <c r="G58" s="33" t="s">
        <v>709</v>
      </c>
      <c r="H58" s="33" t="s">
        <v>549</v>
      </c>
      <c r="J58" s="33" t="s">
        <v>691</v>
      </c>
      <c r="K58" s="33" t="s">
        <v>691</v>
      </c>
      <c r="L58" s="33" t="s">
        <v>176</v>
      </c>
      <c r="M58" s="190" t="s">
        <v>549</v>
      </c>
      <c r="O58" s="33" t="s">
        <v>693</v>
      </c>
      <c r="P58" s="33" t="s">
        <v>691</v>
      </c>
      <c r="Q58" s="33" t="s">
        <v>549</v>
      </c>
      <c r="V58" s="33" t="s">
        <v>713</v>
      </c>
      <c r="W58" s="33" t="s">
        <v>712</v>
      </c>
    </row>
    <row r="59" spans="3:34" hidden="1" x14ac:dyDescent="0.25">
      <c r="D59" s="33">
        <v>1</v>
      </c>
      <c r="E59" s="33">
        <v>0.61</v>
      </c>
      <c r="F59" s="1094">
        <f t="shared" ref="F59:F83" si="40">SUM(J25,L25)</f>
        <v>0.5</v>
      </c>
      <c r="G59" s="33">
        <v>0.01</v>
      </c>
      <c r="H59" s="1164">
        <f>((E59-F59)*100)^2 *G59</f>
        <v>1.2099999999999995</v>
      </c>
      <c r="J59" s="33">
        <v>28</v>
      </c>
      <c r="K59" s="33">
        <f>(J59-2)/48</f>
        <v>0.54166666666666663</v>
      </c>
      <c r="L59" s="1094">
        <f t="shared" ref="L59:L83" si="41">N25</f>
        <v>0.5</v>
      </c>
      <c r="M59" s="1164">
        <f>((K59-L59)*100)^2</f>
        <v>17.361111111111075</v>
      </c>
      <c r="O59" s="1094">
        <f>R25-Q25</f>
        <v>0</v>
      </c>
      <c r="P59" s="33">
        <v>0.08</v>
      </c>
      <c r="Q59" s="1164">
        <f t="shared" ref="Q59:Q83" si="42">((O59-P59)*100)^2</f>
        <v>64</v>
      </c>
      <c r="V59" s="33">
        <f t="shared" ref="V59:V79" si="43">I25/M25</f>
        <v>0.5</v>
      </c>
      <c r="W59" s="33">
        <f t="shared" ref="W59:W79" si="44">K25/N25</f>
        <v>0.5</v>
      </c>
    </row>
    <row r="60" spans="3:34" hidden="1" x14ac:dyDescent="0.25">
      <c r="D60" s="33">
        <v>2</v>
      </c>
      <c r="E60" s="33">
        <v>0.56000000000000005</v>
      </c>
      <c r="F60" s="1094">
        <f t="shared" si="40"/>
        <v>0.5452943294413285</v>
      </c>
      <c r="G60" s="33">
        <v>0.01</v>
      </c>
      <c r="H60" s="1164">
        <f t="shared" ref="H60:H83" si="45">((E60-F60)*100)^2 *G60</f>
        <v>2.1625674658017943E-2</v>
      </c>
      <c r="J60" s="33">
        <v>26.400000000000002</v>
      </c>
      <c r="K60" s="33">
        <f>(J60-$E$5)/$E$7</f>
        <v>0.50833333333333341</v>
      </c>
      <c r="L60" s="1094">
        <f t="shared" si="41"/>
        <v>0.50842283907643282</v>
      </c>
      <c r="M60" s="1164">
        <f t="shared" ref="M60:M83" si="46">((K60-L60)*100)^2</f>
        <v>8.0112780477766977E-5</v>
      </c>
      <c r="O60" s="1094">
        <f t="shared" ref="O60" si="47">R26-Q26</f>
        <v>7.9960274194824432E-2</v>
      </c>
      <c r="P60" s="33">
        <v>0.08</v>
      </c>
      <c r="Q60" s="1164">
        <f t="shared" si="42"/>
        <v>1.5781395968473007E-5</v>
      </c>
      <c r="V60" s="33">
        <f t="shared" si="43"/>
        <v>0.49503712922451698</v>
      </c>
      <c r="W60" s="33">
        <f t="shared" si="44"/>
        <v>0.41571052238067635</v>
      </c>
    </row>
    <row r="61" spans="3:34" hidden="1" x14ac:dyDescent="0.25">
      <c r="D61" s="33">
        <v>3</v>
      </c>
      <c r="E61" s="33">
        <v>0.61</v>
      </c>
      <c r="F61" s="1094">
        <f t="shared" si="40"/>
        <v>0.61000387446776294</v>
      </c>
      <c r="G61" s="33">
        <v>0.1</v>
      </c>
      <c r="H61" s="1164">
        <f t="shared" si="45"/>
        <v>1.5011500446172125E-8</v>
      </c>
      <c r="J61" s="33">
        <v>24.288000000000004</v>
      </c>
      <c r="K61" s="33">
        <f t="shared" ref="K61:K83" si="48">(J61-$E$5)/$E$7</f>
        <v>0.46433333333333343</v>
      </c>
      <c r="L61" s="1094">
        <f t="shared" si="41"/>
        <v>0.46433316784928624</v>
      </c>
      <c r="M61" s="1164">
        <f t="shared" si="46"/>
        <v>2.7384969873599807E-10</v>
      </c>
      <c r="O61" s="1094">
        <f t="shared" ref="O61:O63" si="49">R27-Q27</f>
        <v>8.0000113512594229E-2</v>
      </c>
      <c r="P61" s="33">
        <v>0.08</v>
      </c>
      <c r="Q61" s="1164">
        <f t="shared" si="42"/>
        <v>1.2885109048139748E-10</v>
      </c>
      <c r="V61" s="33">
        <f t="shared" si="43"/>
        <v>0.42552559584926636</v>
      </c>
      <c r="W61" s="33">
        <f t="shared" si="44"/>
        <v>0.34900840350309864</v>
      </c>
    </row>
    <row r="62" spans="3:34" hidden="1" x14ac:dyDescent="0.25">
      <c r="D62" s="33">
        <v>4</v>
      </c>
      <c r="E62" s="33">
        <v>0.72</v>
      </c>
      <c r="F62" s="1094">
        <f t="shared" si="40"/>
        <v>0.72051301121130806</v>
      </c>
      <c r="G62" s="33">
        <v>0.1</v>
      </c>
      <c r="H62" s="1164">
        <f t="shared" si="45"/>
        <v>2.6318050292779355E-4</v>
      </c>
      <c r="J62" s="33">
        <v>23.073600000000003</v>
      </c>
      <c r="K62" s="33">
        <f t="shared" si="48"/>
        <v>0.43903333333333339</v>
      </c>
      <c r="L62" s="1094">
        <f t="shared" si="41"/>
        <v>0.43897826465977535</v>
      </c>
      <c r="M62" s="1164">
        <f t="shared" si="46"/>
        <v>3.0325588074413275E-5</v>
      </c>
      <c r="O62" s="1094">
        <f t="shared" si="49"/>
        <v>8.0082833779781759E-2</v>
      </c>
      <c r="P62" s="33">
        <v>0.08</v>
      </c>
      <c r="Q62" s="1164">
        <f t="shared" si="42"/>
        <v>6.8614350729326865E-5</v>
      </c>
      <c r="V62" s="33">
        <f t="shared" si="43"/>
        <v>0.30823204536247384</v>
      </c>
      <c r="W62" s="33">
        <f t="shared" si="44"/>
        <v>0.24275031451627702</v>
      </c>
    </row>
    <row r="63" spans="3:34" hidden="1" x14ac:dyDescent="0.25">
      <c r="D63" s="33">
        <v>5</v>
      </c>
      <c r="E63" s="33">
        <v>0.63</v>
      </c>
      <c r="F63" s="1094">
        <f t="shared" si="40"/>
        <v>0.62848766340822726</v>
      </c>
      <c r="G63" s="33">
        <v>0.01</v>
      </c>
      <c r="H63" s="1164">
        <f t="shared" si="45"/>
        <v>2.2871619668148022E-4</v>
      </c>
      <c r="J63" s="33">
        <v>19.843296000000002</v>
      </c>
      <c r="K63" s="33">
        <f t="shared" si="48"/>
        <v>0.37173533333333336</v>
      </c>
      <c r="L63" s="1094">
        <f t="shared" si="41"/>
        <v>0.37177173007484421</v>
      </c>
      <c r="M63" s="1164">
        <f t="shared" si="46"/>
        <v>1.3247227926074001E-5</v>
      </c>
      <c r="O63" s="1094">
        <f t="shared" si="49"/>
        <v>7.9996375325177449E-2</v>
      </c>
      <c r="P63" s="33">
        <v>0.08</v>
      </c>
      <c r="Q63" s="1164">
        <f t="shared" si="42"/>
        <v>1.3138267569247354E-7</v>
      </c>
      <c r="V63" s="33">
        <f t="shared" si="43"/>
        <v>0.40124424805401315</v>
      </c>
      <c r="W63" s="33">
        <f t="shared" si="44"/>
        <v>0.32127068078935078</v>
      </c>
    </row>
    <row r="64" spans="3:34" hidden="1" x14ac:dyDescent="0.25">
      <c r="D64" s="33">
        <v>6</v>
      </c>
      <c r="E64" s="33">
        <v>0.72</v>
      </c>
      <c r="F64" s="1094">
        <f t="shared" si="40"/>
        <v>0.97575653780700877</v>
      </c>
      <c r="G64" s="33">
        <v>0.01</v>
      </c>
      <c r="H64" s="1164">
        <f t="shared" si="45"/>
        <v>6.5411406631027926</v>
      </c>
      <c r="J64" s="33">
        <v>17.660533440000002</v>
      </c>
      <c r="K64" s="33">
        <f t="shared" si="48"/>
        <v>0.32626111333333335</v>
      </c>
      <c r="L64" s="1094">
        <f t="shared" si="41"/>
        <v>0.32621786267639774</v>
      </c>
      <c r="M64" s="1164">
        <f t="shared" si="46"/>
        <v>1.8706193253619762E-5</v>
      </c>
      <c r="O64" s="1094">
        <f t="shared" ref="O64:O83" si="50">R30-Q30</f>
        <v>8.009080795123924E-2</v>
      </c>
      <c r="P64" s="33">
        <v>0.08</v>
      </c>
      <c r="Q64" s="1164">
        <f t="shared" si="42"/>
        <v>8.2460840082679101E-5</v>
      </c>
      <c r="V64" s="33">
        <f t="shared" si="43"/>
        <v>2.7055358443919823E-2</v>
      </c>
      <c r="W64" s="33">
        <f t="shared" si="44"/>
        <v>1.8435670276451911E-2</v>
      </c>
    </row>
    <row r="65" spans="4:34" hidden="1" x14ac:dyDescent="0.25">
      <c r="D65" s="33">
        <v>7</v>
      </c>
      <c r="E65" s="33">
        <v>0.74</v>
      </c>
      <c r="F65" s="1094">
        <f t="shared" si="40"/>
        <v>0.98688314022053092</v>
      </c>
      <c r="G65" s="33">
        <v>0.01</v>
      </c>
      <c r="H65" s="1164">
        <f t="shared" si="45"/>
        <v>6.0951284925150331</v>
      </c>
      <c r="J65" s="33">
        <v>15.894480096000002</v>
      </c>
      <c r="K65" s="33">
        <f t="shared" si="48"/>
        <v>0.28946833533333338</v>
      </c>
      <c r="L65" s="1094">
        <f t="shared" si="41"/>
        <v>0.28945293112172105</v>
      </c>
      <c r="M65" s="1164">
        <f t="shared" si="46"/>
        <v>2.3728973539760896E-6</v>
      </c>
      <c r="O65" s="1094">
        <f t="shared" si="50"/>
        <v>8.0049740687918897E-2</v>
      </c>
      <c r="P65" s="33">
        <v>0.08</v>
      </c>
      <c r="Q65" s="1164">
        <f t="shared" si="42"/>
        <v>2.4741360346449036E-5</v>
      </c>
      <c r="V65" s="33">
        <f t="shared" si="43"/>
        <v>1.4575212857751188E-2</v>
      </c>
      <c r="W65" s="33">
        <f t="shared" si="44"/>
        <v>9.5369046511955824E-3</v>
      </c>
      <c r="AH65" t="s">
        <v>710</v>
      </c>
    </row>
    <row r="66" spans="4:34" hidden="1" x14ac:dyDescent="0.25">
      <c r="D66" s="33">
        <v>8</v>
      </c>
      <c r="E66" s="33">
        <v>0.73</v>
      </c>
      <c r="F66" s="1094">
        <f t="shared" si="40"/>
        <v>0.98567823838701329</v>
      </c>
      <c r="G66" s="33">
        <v>0.01</v>
      </c>
      <c r="H66" s="1164">
        <f t="shared" si="45"/>
        <v>6.5371361584686394</v>
      </c>
      <c r="J66" s="33">
        <v>16.530259299840004</v>
      </c>
      <c r="K66" s="33">
        <f t="shared" si="48"/>
        <v>0.30271373541333341</v>
      </c>
      <c r="L66" s="1094">
        <f t="shared" si="41"/>
        <v>0.30269035904765901</v>
      </c>
      <c r="M66" s="1164">
        <f t="shared" si="46"/>
        <v>5.4645447214322196E-6</v>
      </c>
      <c r="O66" s="1094">
        <f t="shared" si="50"/>
        <v>8.0056421649680548E-2</v>
      </c>
      <c r="P66" s="33">
        <v>0.08</v>
      </c>
      <c r="Q66" s="1164">
        <f t="shared" si="42"/>
        <v>3.1834025526743033E-5</v>
      </c>
      <c r="V66" s="33">
        <f t="shared" si="43"/>
        <v>1.5942459677121185E-2</v>
      </c>
      <c r="W66" s="33">
        <f t="shared" si="44"/>
        <v>1.0588149519263138E-2</v>
      </c>
      <c r="AH66" t="s">
        <v>711</v>
      </c>
    </row>
    <row r="67" spans="4:34" hidden="1" x14ac:dyDescent="0.25">
      <c r="D67" s="33">
        <v>9</v>
      </c>
      <c r="E67" s="33">
        <v>0.72</v>
      </c>
      <c r="F67" s="1094">
        <f t="shared" si="40"/>
        <v>0.98379297768133611</v>
      </c>
      <c r="G67" s="33">
        <v>0.01</v>
      </c>
      <c r="H67" s="1164">
        <f t="shared" si="45"/>
        <v>6.9586735073985917</v>
      </c>
      <c r="J67" s="33">
        <v>16.695561892838406</v>
      </c>
      <c r="K67" s="33">
        <f t="shared" si="48"/>
        <v>0.30615753943413343</v>
      </c>
      <c r="L67" s="1094">
        <f t="shared" si="41"/>
        <v>0.30611980913967596</v>
      </c>
      <c r="M67" s="1164">
        <f t="shared" si="46"/>
        <v>1.4235751198475425E-5</v>
      </c>
      <c r="O67" s="1094">
        <f t="shared" si="50"/>
        <v>8.0075667642645648E-2</v>
      </c>
      <c r="P67" s="33">
        <v>0.08</v>
      </c>
      <c r="Q67" s="1164">
        <f t="shared" si="42"/>
        <v>5.7255921435492631E-5</v>
      </c>
      <c r="V67" s="33">
        <f t="shared" si="43"/>
        <v>1.8047044368943464E-2</v>
      </c>
      <c r="W67" s="33">
        <f t="shared" si="44"/>
        <v>1.2036253837449039E-2</v>
      </c>
    </row>
    <row r="68" spans="4:34" hidden="1" x14ac:dyDescent="0.25">
      <c r="D68" s="33">
        <v>10</v>
      </c>
      <c r="E68" s="33">
        <v>0.76</v>
      </c>
      <c r="F68" s="1094">
        <f t="shared" si="40"/>
        <v>0.76004252589121013</v>
      </c>
      <c r="G68" s="33">
        <v>0.1</v>
      </c>
      <c r="H68" s="1164">
        <f t="shared" si="45"/>
        <v>1.8084514232150621E-6</v>
      </c>
      <c r="J68" s="33">
        <v>17.5</v>
      </c>
      <c r="K68" s="33">
        <f t="shared" si="48"/>
        <v>0.32291666666666669</v>
      </c>
      <c r="L68" s="1094">
        <f t="shared" si="41"/>
        <v>0.32289523442641255</v>
      </c>
      <c r="M68" s="1164">
        <f t="shared" si="46"/>
        <v>4.5934092231108529E-6</v>
      </c>
      <c r="O68" s="1094">
        <f t="shared" si="50"/>
        <v>8.0008766023588695E-2</v>
      </c>
      <c r="P68" s="33">
        <v>0.08</v>
      </c>
      <c r="Q68" s="1164">
        <f t="shared" si="42"/>
        <v>7.684316955753661E-7</v>
      </c>
      <c r="V68" s="33">
        <f t="shared" si="43"/>
        <v>0.26150780169321935</v>
      </c>
      <c r="W68" s="33">
        <f t="shared" si="44"/>
        <v>0.19476687371789256</v>
      </c>
    </row>
    <row r="69" spans="4:34" hidden="1" x14ac:dyDescent="0.25">
      <c r="D69" s="33">
        <v>11</v>
      </c>
      <c r="E69" s="33">
        <v>0.28000000000000003</v>
      </c>
      <c r="F69" s="1094">
        <f t="shared" si="40"/>
        <v>0.28002934511583749</v>
      </c>
      <c r="G69" s="33">
        <v>1</v>
      </c>
      <c r="H69" s="1164">
        <f t="shared" si="45"/>
        <v>8.611358235142208E-6</v>
      </c>
      <c r="J69" s="33">
        <v>12</v>
      </c>
      <c r="K69" s="33">
        <f t="shared" si="48"/>
        <v>0.20833333333333334</v>
      </c>
      <c r="L69" s="1094">
        <f t="shared" si="41"/>
        <v>0.2083348034885367</v>
      </c>
      <c r="M69" s="1164">
        <f t="shared" si="46"/>
        <v>2.16135632194762E-8</v>
      </c>
      <c r="O69" s="1094">
        <f t="shared" si="50"/>
        <v>0.12004050991213033</v>
      </c>
      <c r="P69" s="33">
        <v>0.12</v>
      </c>
      <c r="Q69" s="1164">
        <f t="shared" si="42"/>
        <v>1.6410529808076744E-5</v>
      </c>
      <c r="V69" s="33">
        <f t="shared" si="43"/>
        <v>0.75054130109513062</v>
      </c>
      <c r="W69" s="33">
        <f t="shared" si="44"/>
        <v>0.60380323477559616</v>
      </c>
    </row>
    <row r="70" spans="4:34" hidden="1" x14ac:dyDescent="0.25">
      <c r="D70" s="33">
        <v>12</v>
      </c>
      <c r="E70" s="33">
        <v>0.28999999999999998</v>
      </c>
      <c r="F70" s="1094">
        <f t="shared" si="40"/>
        <v>0.29002649197108832</v>
      </c>
      <c r="G70" s="33">
        <v>1</v>
      </c>
      <c r="H70" s="1164">
        <f t="shared" si="45"/>
        <v>7.0182453214534857E-6</v>
      </c>
      <c r="J70" s="33">
        <v>11.5</v>
      </c>
      <c r="K70" s="33">
        <f t="shared" si="48"/>
        <v>0.19791666666666666</v>
      </c>
      <c r="L70" s="1094">
        <f t="shared" si="41"/>
        <v>0.19824545187202752</v>
      </c>
      <c r="M70" s="1164">
        <f t="shared" si="46"/>
        <v>1.0809971126418637E-3</v>
      </c>
      <c r="O70" s="1094">
        <f t="shared" si="50"/>
        <v>0.12017666888485223</v>
      </c>
      <c r="P70" s="33">
        <v>0.12</v>
      </c>
      <c r="Q70" s="1164">
        <f t="shared" si="42"/>
        <v>3.1211894874933317E-4</v>
      </c>
      <c r="V70" s="33">
        <f t="shared" si="43"/>
        <v>0.74083795807524944</v>
      </c>
      <c r="W70" s="33">
        <f t="shared" si="44"/>
        <v>0.58514989686181196</v>
      </c>
    </row>
    <row r="71" spans="4:34" hidden="1" x14ac:dyDescent="0.25">
      <c r="D71" s="33">
        <v>13</v>
      </c>
      <c r="E71" s="33">
        <v>0.31</v>
      </c>
      <c r="F71" s="1094">
        <f t="shared" si="40"/>
        <v>0.31046975843404467</v>
      </c>
      <c r="G71" s="33">
        <v>1</v>
      </c>
      <c r="H71" s="1164">
        <f t="shared" si="45"/>
        <v>2.2067298635610609E-3</v>
      </c>
      <c r="J71" s="33">
        <v>12.3</v>
      </c>
      <c r="K71" s="33">
        <f t="shared" si="48"/>
        <v>0.21458333333333335</v>
      </c>
      <c r="L71" s="1094">
        <f t="shared" si="41"/>
        <v>0.21496214973773364</v>
      </c>
      <c r="M71" s="1164">
        <f t="shared" si="46"/>
        <v>1.435018682427679E-3</v>
      </c>
      <c r="O71" s="1094">
        <f t="shared" si="50"/>
        <v>0.12043336885312703</v>
      </c>
      <c r="P71" s="33">
        <v>0.12</v>
      </c>
      <c r="Q71" s="1164">
        <f t="shared" si="42"/>
        <v>1.8780856286063797E-3</v>
      </c>
      <c r="V71" s="33">
        <f t="shared" si="43"/>
        <v>0.72237218588388574</v>
      </c>
      <c r="W71" s="33">
        <f t="shared" si="44"/>
        <v>0.56959205990356987</v>
      </c>
    </row>
    <row r="72" spans="4:34" hidden="1" x14ac:dyDescent="0.25">
      <c r="D72" s="33">
        <v>14</v>
      </c>
      <c r="E72" s="33">
        <v>0.27</v>
      </c>
      <c r="F72" s="1094">
        <f t="shared" si="40"/>
        <v>0.27043723914940859</v>
      </c>
      <c r="G72" s="33">
        <v>1</v>
      </c>
      <c r="H72" s="1164">
        <f t="shared" si="45"/>
        <v>1.9117807377553398E-3</v>
      </c>
      <c r="J72" s="33">
        <v>14.8</v>
      </c>
      <c r="K72" s="33">
        <f t="shared" si="48"/>
        <v>0.26666666666666666</v>
      </c>
      <c r="L72" s="1094">
        <f t="shared" si="41"/>
        <v>0.26669856120401703</v>
      </c>
      <c r="M72" s="1164">
        <f t="shared" si="46"/>
        <v>1.0172615127937121E-5</v>
      </c>
      <c r="O72" s="1094">
        <f t="shared" si="50"/>
        <v>0.12018273351675879</v>
      </c>
      <c r="P72" s="33">
        <v>0.12</v>
      </c>
      <c r="Q72" s="1164">
        <f t="shared" si="42"/>
        <v>3.3391538147036046E-4</v>
      </c>
      <c r="V72" s="33">
        <f t="shared" si="43"/>
        <v>0.76189893926178365</v>
      </c>
      <c r="W72" s="33">
        <f t="shared" si="44"/>
        <v>0.64065277180887448</v>
      </c>
    </row>
    <row r="73" spans="4:34" hidden="1" x14ac:dyDescent="0.25">
      <c r="D73" s="33">
        <v>15</v>
      </c>
      <c r="E73" s="33">
        <v>0.23</v>
      </c>
      <c r="F73" s="1094">
        <f t="shared" si="40"/>
        <v>0.23013118554093551</v>
      </c>
      <c r="G73" s="33">
        <v>1</v>
      </c>
      <c r="H73" s="1164">
        <f t="shared" si="45"/>
        <v>1.7209646150538886E-4</v>
      </c>
      <c r="J73" s="33">
        <v>17.3</v>
      </c>
      <c r="K73" s="33">
        <f t="shared" si="48"/>
        <v>0.31875000000000003</v>
      </c>
      <c r="L73" s="1094">
        <f t="shared" si="41"/>
        <v>0.31846043461013629</v>
      </c>
      <c r="M73" s="1164">
        <f t="shared" si="46"/>
        <v>8.3848115006942073E-4</v>
      </c>
      <c r="O73" s="1094">
        <f t="shared" si="50"/>
        <v>0.11991095906770965</v>
      </c>
      <c r="P73" s="33">
        <v>0.12</v>
      </c>
      <c r="Q73" s="1164">
        <f t="shared" si="42"/>
        <v>7.928287623133039E-5</v>
      </c>
      <c r="V73" s="33">
        <f t="shared" si="43"/>
        <v>0.80104047987879601</v>
      </c>
      <c r="W73" s="33">
        <f t="shared" si="44"/>
        <v>0.70315809942581353</v>
      </c>
    </row>
    <row r="74" spans="4:34" hidden="1" x14ac:dyDescent="0.25">
      <c r="D74" s="33">
        <v>16</v>
      </c>
      <c r="E74" s="33">
        <v>0.25</v>
      </c>
      <c r="F74" s="1094">
        <f t="shared" si="40"/>
        <v>0.24989924468379876</v>
      </c>
      <c r="G74" s="33">
        <v>1</v>
      </c>
      <c r="H74" s="1164">
        <f t="shared" si="45"/>
        <v>1.0151633742811813E-4</v>
      </c>
      <c r="J74" s="33">
        <v>16.399999999999999</v>
      </c>
      <c r="K74" s="33">
        <f t="shared" si="48"/>
        <v>0.3</v>
      </c>
      <c r="L74" s="1094">
        <f t="shared" si="41"/>
        <v>0.3000040365167832</v>
      </c>
      <c r="M74" s="1164">
        <f t="shared" si="46"/>
        <v>1.629346774115517E-7</v>
      </c>
      <c r="O74" s="1094">
        <f t="shared" si="50"/>
        <v>0.11998644867961361</v>
      </c>
      <c r="P74" s="33">
        <v>0.12</v>
      </c>
      <c r="Q74" s="1164">
        <f t="shared" si="42"/>
        <v>1.8363828421444353E-6</v>
      </c>
      <c r="V74" s="33">
        <f t="shared" si="43"/>
        <v>0.78223153098690978</v>
      </c>
      <c r="W74" s="33">
        <f t="shared" si="44"/>
        <v>0.6751303864697723</v>
      </c>
    </row>
    <row r="75" spans="4:34" hidden="1" x14ac:dyDescent="0.25">
      <c r="D75" s="33">
        <v>17</v>
      </c>
      <c r="E75" s="33">
        <v>0.52</v>
      </c>
      <c r="F75" s="1094">
        <f t="shared" si="40"/>
        <v>0.51979191576797812</v>
      </c>
      <c r="G75" s="33">
        <v>1</v>
      </c>
      <c r="H75" s="1164">
        <f t="shared" si="45"/>
        <v>4.3299047616143484E-4</v>
      </c>
      <c r="J75" s="33">
        <v>12.4</v>
      </c>
      <c r="K75" s="33">
        <f t="shared" si="48"/>
        <v>0.21666666666666667</v>
      </c>
      <c r="L75" s="1094">
        <f t="shared" si="41"/>
        <v>0.21734928261777114</v>
      </c>
      <c r="M75" s="1164">
        <f t="shared" si="46"/>
        <v>4.6596453670226081E-3</v>
      </c>
      <c r="O75" s="1094">
        <f t="shared" si="50"/>
        <v>0.19991713719849274</v>
      </c>
      <c r="P75" s="33">
        <v>0.2</v>
      </c>
      <c r="Q75" s="1164">
        <f t="shared" si="42"/>
        <v>6.8662438736326187E-5</v>
      </c>
      <c r="V75" s="33">
        <f t="shared" si="43"/>
        <v>0.54396701483082965</v>
      </c>
      <c r="W75" s="33">
        <f t="shared" si="44"/>
        <v>0.25061922996174524</v>
      </c>
    </row>
    <row r="76" spans="4:34" hidden="1" x14ac:dyDescent="0.25">
      <c r="D76" s="33">
        <v>18</v>
      </c>
      <c r="E76" s="33">
        <v>0.78</v>
      </c>
      <c r="F76" s="1094">
        <f t="shared" si="40"/>
        <v>0.77780427124322427</v>
      </c>
      <c r="G76" s="33">
        <v>1</v>
      </c>
      <c r="H76" s="1164">
        <f t="shared" si="45"/>
        <v>4.8212247733320293E-2</v>
      </c>
      <c r="J76" s="33">
        <v>10.199999999999999</v>
      </c>
      <c r="K76" s="33">
        <f t="shared" si="48"/>
        <v>0.17083333333333331</v>
      </c>
      <c r="L76" s="1094">
        <f t="shared" si="41"/>
        <v>0.17904537347501603</v>
      </c>
      <c r="M76" s="1164">
        <f t="shared" si="46"/>
        <v>0.67437603288608428</v>
      </c>
      <c r="O76" s="1094">
        <f t="shared" si="50"/>
        <v>0.19365956505082157</v>
      </c>
      <c r="P76" s="33">
        <v>0.2</v>
      </c>
      <c r="Q76" s="1164">
        <f t="shared" si="42"/>
        <v>0.40201115344763361</v>
      </c>
      <c r="V76" s="33">
        <f t="shared" si="43"/>
        <v>0.26296433152190501</v>
      </c>
      <c r="W76" s="33">
        <f t="shared" si="44"/>
        <v>3.5264492236093223E-2</v>
      </c>
    </row>
    <row r="77" spans="4:34" hidden="1" x14ac:dyDescent="0.25">
      <c r="D77" s="33">
        <v>19</v>
      </c>
      <c r="E77" s="33">
        <v>0.82</v>
      </c>
      <c r="F77" s="1094">
        <f t="shared" si="40"/>
        <v>0.81506887296901165</v>
      </c>
      <c r="G77" s="33">
        <v>1</v>
      </c>
      <c r="H77" s="1164">
        <f t="shared" si="45"/>
        <v>0.24316013795743513</v>
      </c>
      <c r="J77" s="33">
        <v>9.1999999999999993</v>
      </c>
      <c r="K77" s="33">
        <f t="shared" si="48"/>
        <v>0.15</v>
      </c>
      <c r="L77" s="1094">
        <f t="shared" si="41"/>
        <v>0.16882932226545422</v>
      </c>
      <c r="M77" s="1164">
        <f t="shared" si="46"/>
        <v>3.5454337697633012</v>
      </c>
      <c r="O77" s="1094">
        <f t="shared" si="50"/>
        <v>0.18429755018799088</v>
      </c>
      <c r="P77" s="33">
        <v>0.2</v>
      </c>
      <c r="Q77" s="1164">
        <f t="shared" si="42"/>
        <v>2.4656693009866566</v>
      </c>
      <c r="V77" s="33">
        <f t="shared" si="43"/>
        <v>0.21835322231692411</v>
      </c>
      <c r="W77" s="33">
        <f t="shared" si="44"/>
        <v>2.0389415808328173E-2</v>
      </c>
    </row>
    <row r="78" spans="4:34" hidden="1" x14ac:dyDescent="0.25">
      <c r="D78" s="33">
        <v>20</v>
      </c>
      <c r="E78" s="33">
        <v>0.91</v>
      </c>
      <c r="F78" s="1094">
        <f t="shared" si="40"/>
        <v>0.89916917713836153</v>
      </c>
      <c r="G78" s="33">
        <v>1</v>
      </c>
      <c r="H78" s="1164">
        <f t="shared" si="45"/>
        <v>1.1730672386019119</v>
      </c>
      <c r="J78" s="33">
        <v>7.4</v>
      </c>
      <c r="K78" s="33">
        <f t="shared" si="48"/>
        <v>0.1125</v>
      </c>
      <c r="L78" s="1094">
        <f t="shared" si="41"/>
        <v>0.15615505962746581</v>
      </c>
      <c r="M78" s="1164">
        <f t="shared" si="46"/>
        <v>19.05764231077595</v>
      </c>
      <c r="O78" s="1094">
        <f t="shared" si="50"/>
        <v>0.16000080580689063</v>
      </c>
      <c r="P78" s="33">
        <v>0.2</v>
      </c>
      <c r="Q78" s="1164">
        <f t="shared" si="42"/>
        <v>15.999355360980749</v>
      </c>
      <c r="V78" s="33">
        <f t="shared" si="43"/>
        <v>0.11802154979172511</v>
      </c>
      <c r="W78" s="33">
        <f t="shared" si="44"/>
        <v>7.9340062238251186E-3</v>
      </c>
    </row>
    <row r="79" spans="4:34" hidden="1" x14ac:dyDescent="0.25">
      <c r="D79" s="33">
        <v>21</v>
      </c>
      <c r="E79" s="33">
        <v>0.98</v>
      </c>
      <c r="F79" s="1094">
        <f t="shared" si="40"/>
        <v>0.93341441517669665</v>
      </c>
      <c r="G79" s="33">
        <v>1</v>
      </c>
      <c r="H79" s="1164">
        <f t="shared" si="45"/>
        <v>21.702167133291898</v>
      </c>
      <c r="J79" s="33">
        <v>6.2</v>
      </c>
      <c r="K79" s="33">
        <f t="shared" si="48"/>
        <v>8.7500000000000008E-2</v>
      </c>
      <c r="L79" s="1094">
        <f t="shared" si="41"/>
        <v>0.24231367497203854</v>
      </c>
      <c r="M79" s="1164">
        <f t="shared" si="46"/>
        <v>239.67273958347985</v>
      </c>
      <c r="O79" s="1094">
        <f t="shared" si="50"/>
        <v>0.25492749880491533</v>
      </c>
      <c r="P79" s="33">
        <v>0.4</v>
      </c>
      <c r="Q79" s="1164">
        <f t="shared" si="42"/>
        <v>210.46030602997851</v>
      </c>
      <c r="V79" s="33">
        <f t="shared" si="43"/>
        <v>8.749692938530565E-2</v>
      </c>
      <c r="W79" s="33">
        <f t="shared" si="44"/>
        <v>1.1982730489876058E-3</v>
      </c>
    </row>
    <row r="80" spans="4:34" hidden="1" x14ac:dyDescent="0.25">
      <c r="D80" s="33">
        <v>22</v>
      </c>
      <c r="E80" s="33">
        <v>0.97</v>
      </c>
      <c r="F80" s="1094">
        <f t="shared" si="40"/>
        <v>0.88283817296684231</v>
      </c>
      <c r="G80" s="33">
        <v>0.5</v>
      </c>
      <c r="H80" s="1164">
        <f t="shared" si="45"/>
        <v>37.985920458790474</v>
      </c>
      <c r="J80" s="33">
        <v>7</v>
      </c>
      <c r="K80" s="33">
        <f t="shared" si="48"/>
        <v>0.10416666666666667</v>
      </c>
      <c r="L80" s="1094">
        <f t="shared" si="41"/>
        <v>0.24650141676102971</v>
      </c>
      <c r="M80" s="1164">
        <f t="shared" si="46"/>
        <v>202.59181084424776</v>
      </c>
      <c r="O80" s="1094">
        <f t="shared" si="50"/>
        <v>0.27377263064130963</v>
      </c>
      <c r="P80" s="33">
        <v>0.4</v>
      </c>
      <c r="Q80" s="1164">
        <f t="shared" si="42"/>
        <v>159.33348775215248</v>
      </c>
      <c r="V80" s="33">
        <f t="shared" ref="V80:V83" si="51">I46/M46</f>
        <v>0.15474338912891875</v>
      </c>
      <c r="W80" s="33">
        <f t="shared" ref="W80:W83" si="52">K46/N46</f>
        <v>2.2835672359093531E-3</v>
      </c>
    </row>
    <row r="81" spans="4:23" hidden="1" x14ac:dyDescent="0.25">
      <c r="D81" s="33">
        <v>23</v>
      </c>
      <c r="E81" s="33">
        <v>0.99</v>
      </c>
      <c r="F81" s="1094">
        <f t="shared" si="40"/>
        <v>0.89977350186783744</v>
      </c>
      <c r="G81" s="33">
        <v>0.5</v>
      </c>
      <c r="H81" s="1164">
        <f t="shared" si="45"/>
        <v>40.704104825965658</v>
      </c>
      <c r="J81" s="33">
        <v>6.2</v>
      </c>
      <c r="K81" s="33">
        <f t="shared" si="48"/>
        <v>8.7500000000000008E-2</v>
      </c>
      <c r="L81" s="1094">
        <f t="shared" si="41"/>
        <v>0.24008690547069561</v>
      </c>
      <c r="M81" s="1164">
        <f t="shared" si="46"/>
        <v>232.82763721122993</v>
      </c>
      <c r="O81" s="1094">
        <f t="shared" si="50"/>
        <v>0.26215140939448772</v>
      </c>
      <c r="P81" s="33">
        <v>0.4</v>
      </c>
      <c r="Q81" s="1164">
        <f t="shared" si="42"/>
        <v>190.02233931926136</v>
      </c>
      <c r="V81" s="33">
        <f t="shared" si="51"/>
        <v>0.13133678562506232</v>
      </c>
      <c r="W81" s="33">
        <f t="shared" si="52"/>
        <v>1.7575091880260433E-3</v>
      </c>
    </row>
    <row r="82" spans="4:23" hidden="1" x14ac:dyDescent="0.25">
      <c r="D82" s="33">
        <v>24</v>
      </c>
      <c r="E82" s="33">
        <v>0.98</v>
      </c>
      <c r="F82" s="1094">
        <f t="shared" si="40"/>
        <v>0.88830657572364879</v>
      </c>
      <c r="G82" s="33">
        <v>0.5</v>
      </c>
      <c r="H82" s="1164">
        <f t="shared" si="45"/>
        <v>42.038420277614748</v>
      </c>
      <c r="J82" s="33">
        <v>5.2</v>
      </c>
      <c r="K82" s="33">
        <f t="shared" si="48"/>
        <v>6.6666666666666666E-2</v>
      </c>
      <c r="L82" s="1094">
        <f t="shared" si="41"/>
        <v>0.22969307928342045</v>
      </c>
      <c r="M82" s="1164">
        <f t="shared" si="46"/>
        <v>265.77611210688048</v>
      </c>
      <c r="O82" s="1094">
        <f t="shared" si="50"/>
        <v>0.2542956934682169</v>
      </c>
      <c r="P82" s="33">
        <v>0.4</v>
      </c>
      <c r="Q82" s="1164">
        <f t="shared" si="42"/>
        <v>212.29744941907822</v>
      </c>
      <c r="R82" s="1165">
        <f>SUM(H59:H83)</f>
        <v>219.69116718359228</v>
      </c>
      <c r="S82" s="1165">
        <f>SUM(M59:M83)</f>
        <v>1274.7535526288495</v>
      </c>
      <c r="T82" s="1165">
        <f>SUM(Q59:Q83)</f>
        <v>1090.7809668865007</v>
      </c>
      <c r="V82" s="33">
        <f t="shared" si="51"/>
        <v>0.14444752561229937</v>
      </c>
      <c r="W82" s="33">
        <f t="shared" si="52"/>
        <v>1.8480992903044256E-3</v>
      </c>
    </row>
    <row r="83" spans="4:23" hidden="1" x14ac:dyDescent="0.25">
      <c r="D83" s="33">
        <v>25</v>
      </c>
      <c r="E83" s="33">
        <v>0.99</v>
      </c>
      <c r="F83" s="1094">
        <f t="shared" si="40"/>
        <v>0.89158549303700063</v>
      </c>
      <c r="G83" s="33">
        <v>0.5</v>
      </c>
      <c r="H83" s="1164">
        <f t="shared" si="45"/>
        <v>48.427075903851254</v>
      </c>
      <c r="J83" s="33">
        <v>4.5</v>
      </c>
      <c r="K83" s="33">
        <f t="shared" si="48"/>
        <v>5.2083333333333336E-2</v>
      </c>
      <c r="L83" s="1094">
        <f t="shared" si="41"/>
        <v>0.22332541230352501</v>
      </c>
      <c r="M83" s="1164">
        <f t="shared" si="46"/>
        <v>293.23849610033363</v>
      </c>
      <c r="O83" s="1094">
        <f t="shared" si="50"/>
        <v>0.24644304748706714</v>
      </c>
      <c r="P83" s="33">
        <v>0.4</v>
      </c>
      <c r="Q83" s="1164">
        <f t="shared" si="42"/>
        <v>235.79737665059127</v>
      </c>
      <c r="R83" s="33" t="s">
        <v>692</v>
      </c>
      <c r="S83" s="1165">
        <f>10000* ( R82+(S82)+(T82))</f>
        <v>25852256.866989426</v>
      </c>
      <c r="V83" s="33">
        <f t="shared" si="51"/>
        <v>0.13908550213497708</v>
      </c>
      <c r="W83" s="33">
        <f t="shared" si="52"/>
        <v>1.747816935533032E-3</v>
      </c>
    </row>
    <row r="84" spans="4:23" hidden="1" x14ac:dyDescent="0.25"/>
    <row r="85" spans="4:23" hidden="1" x14ac:dyDescent="0.25"/>
    <row r="86" spans="4:23" hidden="1" x14ac:dyDescent="0.25"/>
    <row r="87" spans="4:23" hidden="1" x14ac:dyDescent="0.25"/>
    <row r="88" spans="4:23" hidden="1" x14ac:dyDescent="0.25"/>
    <row r="89" spans="4:23" hidden="1" x14ac:dyDescent="0.25"/>
  </sheetData>
  <mergeCells count="6">
    <mergeCell ref="AE23:AF23"/>
    <mergeCell ref="AG23:AH23"/>
    <mergeCell ref="X23:Y23"/>
    <mergeCell ref="C4:C10"/>
    <mergeCell ref="C16:C20"/>
    <mergeCell ref="C12:C1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AH175"/>
  <sheetViews>
    <sheetView topLeftCell="A148" zoomScaleNormal="100" workbookViewId="0">
      <selection activeCell="K162" sqref="K162:L162"/>
    </sheetView>
  </sheetViews>
  <sheetFormatPr defaultRowHeight="15" x14ac:dyDescent="0.25"/>
  <cols>
    <col min="6" max="6" width="12" bestFit="1" customWidth="1"/>
    <col min="7" max="7" width="9.85546875" customWidth="1"/>
    <col min="8" max="8" width="9.42578125" customWidth="1"/>
    <col min="9" max="12" width="11.42578125" style="33" customWidth="1"/>
    <col min="13" max="13" width="11.7109375" style="33" customWidth="1"/>
    <col min="14" max="14" width="12" style="33" customWidth="1"/>
    <col min="16" max="16" width="10.28515625" customWidth="1"/>
    <col min="17" max="20" width="12.140625" customWidth="1"/>
    <col min="21" max="21" width="9.42578125" customWidth="1"/>
    <col min="22" max="22" width="12.7109375" customWidth="1"/>
    <col min="23" max="23" width="10.28515625" customWidth="1"/>
    <col min="24" max="24" width="10.42578125" customWidth="1"/>
    <col min="25" max="25" width="9.28515625" customWidth="1"/>
  </cols>
  <sheetData>
    <row r="1" spans="2:34" ht="21" x14ac:dyDescent="0.35">
      <c r="H1" s="141"/>
    </row>
    <row r="2" spans="2:34" ht="31.5" x14ac:dyDescent="0.5">
      <c r="B2" s="188" t="s">
        <v>339</v>
      </c>
    </row>
    <row r="3" spans="2:34" ht="21" x14ac:dyDescent="0.35">
      <c r="B3" s="568" t="s">
        <v>717</v>
      </c>
    </row>
    <row r="4" spans="2:34" x14ac:dyDescent="0.25">
      <c r="G4" s="1172" t="s">
        <v>163</v>
      </c>
      <c r="H4" s="152" t="s">
        <v>4</v>
      </c>
      <c r="I4" s="266" t="s">
        <v>719</v>
      </c>
      <c r="J4" s="266"/>
      <c r="K4" s="266"/>
      <c r="L4" s="266"/>
      <c r="M4" s="261"/>
    </row>
    <row r="5" spans="2:34" ht="23.25" x14ac:dyDescent="0.35">
      <c r="B5" s="766" t="s">
        <v>356</v>
      </c>
      <c r="G5" s="1173"/>
      <c r="H5" s="17" t="s">
        <v>134</v>
      </c>
      <c r="I5" s="17" t="s">
        <v>3</v>
      </c>
      <c r="J5" s="17"/>
      <c r="K5" s="17"/>
      <c r="L5" s="17"/>
      <c r="M5" s="241"/>
      <c r="V5" s="7"/>
      <c r="W5" s="7"/>
      <c r="X5" s="7"/>
      <c r="Y5" s="7"/>
    </row>
    <row r="6" spans="2:34" ht="18.75" x14ac:dyDescent="0.3">
      <c r="B6" s="186" t="s">
        <v>718</v>
      </c>
      <c r="G6" s="1174"/>
      <c r="H6" s="259" t="s">
        <v>135</v>
      </c>
      <c r="I6" s="259" t="s">
        <v>2</v>
      </c>
      <c r="J6" s="259"/>
      <c r="K6" s="259"/>
      <c r="L6" s="259"/>
      <c r="M6" s="262"/>
      <c r="V6" s="18"/>
      <c r="W6" s="7"/>
      <c r="X6" s="7"/>
      <c r="Y6" s="7"/>
    </row>
    <row r="7" spans="2:34" x14ac:dyDescent="0.25">
      <c r="G7" s="258"/>
      <c r="H7" s="33"/>
      <c r="V7" s="7"/>
      <c r="W7" s="7"/>
      <c r="X7" s="7"/>
      <c r="Y7" s="7"/>
    </row>
    <row r="8" spans="2:34" x14ac:dyDescent="0.25">
      <c r="G8" s="1172" t="s">
        <v>167</v>
      </c>
      <c r="H8" s="152" t="s">
        <v>4</v>
      </c>
      <c r="I8" s="266" t="s">
        <v>720</v>
      </c>
      <c r="J8" s="266"/>
      <c r="K8" s="266"/>
      <c r="L8" s="266"/>
      <c r="M8" s="261"/>
      <c r="V8" s="18"/>
    </row>
    <row r="9" spans="2:34" x14ac:dyDescent="0.25">
      <c r="G9" s="1173"/>
      <c r="H9" s="17" t="s">
        <v>134</v>
      </c>
      <c r="I9" s="17" t="s">
        <v>3</v>
      </c>
      <c r="J9" s="17"/>
      <c r="K9" s="17"/>
      <c r="L9" s="17"/>
      <c r="M9" s="241"/>
      <c r="V9" s="18"/>
    </row>
    <row r="10" spans="2:34" x14ac:dyDescent="0.25">
      <c r="G10" s="1174"/>
      <c r="H10" s="259" t="s">
        <v>135</v>
      </c>
      <c r="I10" s="259" t="s">
        <v>2</v>
      </c>
      <c r="J10" s="259"/>
      <c r="K10" s="259"/>
      <c r="L10" s="259"/>
      <c r="M10" s="262"/>
      <c r="V10" s="18"/>
    </row>
    <row r="11" spans="2:34" ht="15.75" thickBot="1" x14ac:dyDescent="0.3">
      <c r="G11" s="257"/>
      <c r="H11" s="7"/>
      <c r="I11" s="255"/>
      <c r="J11" s="7"/>
      <c r="K11" s="17"/>
      <c r="L11" s="17"/>
      <c r="M11" s="17"/>
      <c r="V11" s="18"/>
    </row>
    <row r="12" spans="2:34" x14ac:dyDescent="0.25">
      <c r="G12" s="1175" t="s">
        <v>152</v>
      </c>
      <c r="H12" s="10" t="s">
        <v>164</v>
      </c>
      <c r="I12" s="276" t="s">
        <v>168</v>
      </c>
      <c r="J12" s="253" t="s">
        <v>166</v>
      </c>
      <c r="K12" s="253"/>
      <c r="L12" s="253"/>
      <c r="M12" s="251"/>
      <c r="V12" s="18"/>
    </row>
    <row r="13" spans="2:34" x14ac:dyDescent="0.25">
      <c r="G13" s="1176"/>
      <c r="H13" s="17" t="s">
        <v>139</v>
      </c>
      <c r="I13" s="256">
        <f>COUNTA(I22:L22)</f>
        <v>4</v>
      </c>
      <c r="J13" s="17" t="s">
        <v>140</v>
      </c>
      <c r="K13" s="17"/>
      <c r="L13" s="17"/>
      <c r="M13" s="197"/>
      <c r="V13" s="18"/>
      <c r="Z13" s="7"/>
      <c r="AA13" s="7"/>
      <c r="AB13" s="7"/>
      <c r="AC13" s="7"/>
      <c r="AD13" s="7"/>
      <c r="AE13" s="7"/>
      <c r="AF13" s="7"/>
      <c r="AG13" s="7"/>
      <c r="AH13" s="7"/>
    </row>
    <row r="14" spans="2:34" x14ac:dyDescent="0.25">
      <c r="G14" s="1176"/>
      <c r="H14" s="17" t="s">
        <v>5</v>
      </c>
      <c r="I14" s="255">
        <v>8</v>
      </c>
      <c r="J14" s="17" t="s">
        <v>143</v>
      </c>
      <c r="K14" s="17"/>
      <c r="L14" s="17"/>
      <c r="M14" s="197"/>
      <c r="V14" s="18"/>
      <c r="Z14" s="7"/>
      <c r="AA14" s="7"/>
      <c r="AB14" s="7"/>
      <c r="AC14" s="7"/>
      <c r="AD14" s="7"/>
      <c r="AE14" s="7"/>
      <c r="AF14" s="7"/>
      <c r="AG14" s="7"/>
      <c r="AH14" s="7"/>
    </row>
    <row r="15" spans="2:34" ht="15.75" thickBot="1" x14ac:dyDescent="0.3">
      <c r="G15" s="1177"/>
      <c r="H15" s="168" t="s">
        <v>141</v>
      </c>
      <c r="I15" s="277">
        <f>U23</f>
        <v>11.090364888959126</v>
      </c>
      <c r="J15" s="168" t="s">
        <v>142</v>
      </c>
      <c r="K15" s="254"/>
      <c r="L15" s="254"/>
      <c r="M15" s="252"/>
      <c r="V15" s="18"/>
      <c r="Z15" s="7"/>
      <c r="AA15" s="7"/>
      <c r="AB15" s="7"/>
      <c r="AC15" s="7"/>
      <c r="AD15" s="7"/>
      <c r="AE15" s="7"/>
      <c r="AF15" s="7"/>
      <c r="AG15" s="7"/>
      <c r="AH15" s="7"/>
    </row>
    <row r="16" spans="2:34" x14ac:dyDescent="0.25">
      <c r="G16" s="258"/>
      <c r="H16" s="7"/>
      <c r="I16" s="255"/>
      <c r="J16" s="7"/>
      <c r="K16" s="17"/>
      <c r="L16" s="17"/>
      <c r="M16" s="17"/>
      <c r="V16" s="18"/>
      <c r="Z16" s="7"/>
      <c r="AA16" s="7"/>
      <c r="AB16" s="7"/>
      <c r="AC16" s="7"/>
      <c r="AD16" s="7"/>
      <c r="AE16" s="7"/>
      <c r="AF16" s="7"/>
      <c r="AG16" s="7"/>
      <c r="AH16" s="7"/>
    </row>
    <row r="17" spans="1:33" x14ac:dyDescent="0.25">
      <c r="G17" s="258"/>
      <c r="H17" s="7"/>
      <c r="I17" s="255"/>
      <c r="J17" s="7"/>
      <c r="K17" s="17"/>
      <c r="L17" s="17"/>
      <c r="M17" s="17"/>
      <c r="V17" s="18"/>
    </row>
    <row r="18" spans="1:33" x14ac:dyDescent="0.25">
      <c r="G18" s="258"/>
      <c r="H18" s="7"/>
      <c r="I18" s="255"/>
      <c r="J18" s="7"/>
      <c r="K18" s="17"/>
      <c r="L18" s="17"/>
      <c r="M18" s="17"/>
      <c r="Q18" s="86" t="s">
        <v>256</v>
      </c>
      <c r="R18" s="86" t="s">
        <v>256</v>
      </c>
      <c r="S18" s="86" t="s">
        <v>257</v>
      </c>
      <c r="T18" s="86" t="s">
        <v>258</v>
      </c>
      <c r="V18" s="18"/>
    </row>
    <row r="19" spans="1:33" x14ac:dyDescent="0.25">
      <c r="Q19" s="86" t="s">
        <v>259</v>
      </c>
      <c r="R19" s="86" t="s">
        <v>260</v>
      </c>
      <c r="S19" s="86" t="s">
        <v>261</v>
      </c>
      <c r="T19" s="86" t="s">
        <v>262</v>
      </c>
      <c r="V19" s="18"/>
    </row>
    <row r="20" spans="1:33" ht="15.75" thickBot="1" x14ac:dyDescent="0.3"/>
    <row r="21" spans="1:33" ht="27.75" customHeight="1" x14ac:dyDescent="0.25">
      <c r="G21" s="7"/>
      <c r="I21" s="569" t="s">
        <v>12</v>
      </c>
      <c r="J21" s="570"/>
      <c r="K21" s="570"/>
      <c r="L21" s="571"/>
      <c r="M21" s="572" t="s">
        <v>13</v>
      </c>
      <c r="N21" s="573"/>
      <c r="O21" s="573"/>
      <c r="P21" s="574"/>
      <c r="Q21" s="573" t="s">
        <v>228</v>
      </c>
      <c r="R21" s="573"/>
      <c r="S21" s="573"/>
      <c r="T21" s="575"/>
      <c r="U21" s="15" t="s">
        <v>36</v>
      </c>
      <c r="V21" s="16" t="s">
        <v>35</v>
      </c>
      <c r="W21" s="20"/>
      <c r="X21" s="20"/>
      <c r="Y21" s="20"/>
      <c r="Z21" s="7"/>
      <c r="AA21" s="7"/>
      <c r="AB21" s="7"/>
      <c r="AC21" s="7"/>
      <c r="AD21" s="7"/>
      <c r="AE21" s="7"/>
      <c r="AF21" s="7"/>
      <c r="AG21" s="7"/>
    </row>
    <row r="22" spans="1:33" ht="15.75" thickBot="1" x14ac:dyDescent="0.3">
      <c r="G22" s="32"/>
      <c r="H22" s="117" t="s">
        <v>45</v>
      </c>
      <c r="I22" s="249" t="s">
        <v>6</v>
      </c>
      <c r="J22" s="178" t="s">
        <v>7</v>
      </c>
      <c r="K22" s="175" t="s">
        <v>8</v>
      </c>
      <c r="L22" s="179" t="s">
        <v>9</v>
      </c>
      <c r="M22" s="371" t="s">
        <v>6</v>
      </c>
      <c r="N22" s="372" t="s">
        <v>7</v>
      </c>
      <c r="O22" s="373" t="s">
        <v>8</v>
      </c>
      <c r="P22" s="374" t="s">
        <v>9</v>
      </c>
      <c r="Q22" s="576" t="s">
        <v>263</v>
      </c>
      <c r="R22" s="577" t="s">
        <v>264</v>
      </c>
      <c r="S22" s="578" t="s">
        <v>265</v>
      </c>
      <c r="T22" s="579" t="s">
        <v>266</v>
      </c>
      <c r="U22" s="296">
        <v>0</v>
      </c>
      <c r="V22" s="35"/>
      <c r="W22" s="7"/>
      <c r="X22" s="7"/>
      <c r="Y22" s="7"/>
      <c r="Z22" s="7"/>
      <c r="AA22" s="7"/>
      <c r="AB22" s="7"/>
      <c r="AC22" s="7"/>
      <c r="AD22" s="18"/>
      <c r="AE22" s="18"/>
      <c r="AF22" s="18"/>
      <c r="AG22" s="18"/>
    </row>
    <row r="23" spans="1:33" ht="15.75" thickTop="1" x14ac:dyDescent="0.25">
      <c r="G23" s="7"/>
      <c r="H23">
        <v>1</v>
      </c>
      <c r="I23" s="454">
        <v>1.0000000000000001E-5</v>
      </c>
      <c r="J23" s="355">
        <v>1.0000000000000001E-5</v>
      </c>
      <c r="K23" s="356">
        <v>1.0000000000000001E-5</v>
      </c>
      <c r="L23" s="357">
        <v>1.0000000000000001E-5</v>
      </c>
      <c r="M23" s="358">
        <f>EXP(I23/$I$14)/(EXP($I23/$I$14)+EXP($J23/$I$14)+EXP($K23/$I$14)+EXP($L23/$I$14))</f>
        <v>0.25</v>
      </c>
      <c r="N23" s="359">
        <f t="shared" ref="M23:P35" si="0">EXP(J23/$I$14)/(EXP($I23/$I$14)+EXP($J23/$I$14)+EXP($K23/$I$14)+EXP($L23/$I$14))</f>
        <v>0.25</v>
      </c>
      <c r="O23" s="360">
        <f t="shared" si="0"/>
        <v>0.25</v>
      </c>
      <c r="P23" s="361">
        <f t="shared" si="0"/>
        <v>0.25</v>
      </c>
      <c r="Q23" s="580">
        <f>M23/SUM(M23,O23)</f>
        <v>0.5</v>
      </c>
      <c r="R23" s="581">
        <f>N23/SUM(N23,P23)</f>
        <v>0.5</v>
      </c>
      <c r="S23" s="582">
        <f>N23/SUM(N23,M23)</f>
        <v>0.5</v>
      </c>
      <c r="T23" s="583">
        <f>O23/SUM(O23,P23)</f>
        <v>0.5</v>
      </c>
      <c r="U23" s="584">
        <f t="shared" ref="U23:U36" si="1">$I$14*LN(EXP($I23/$I$14)+EXP($J23/$I$14)+EXP($K23/$I$14)+EXP($L23/$I$14))</f>
        <v>11.090364888959126</v>
      </c>
      <c r="V23" s="410">
        <f>(U23-0)</f>
        <v>11.090364888959126</v>
      </c>
      <c r="W23" s="7"/>
      <c r="X23" s="7"/>
      <c r="Y23" s="7"/>
      <c r="AA23" s="20"/>
      <c r="AB23" s="7"/>
      <c r="AC23" s="7"/>
      <c r="AD23" s="19"/>
      <c r="AE23" s="19"/>
      <c r="AF23" s="19"/>
      <c r="AG23" s="19"/>
    </row>
    <row r="24" spans="1:33" x14ac:dyDescent="0.25">
      <c r="B24" t="s">
        <v>267</v>
      </c>
      <c r="G24" s="7"/>
      <c r="H24" s="7">
        <v>2</v>
      </c>
      <c r="I24" s="457">
        <v>1</v>
      </c>
      <c r="J24" s="363">
        <v>1</v>
      </c>
      <c r="K24" s="364">
        <v>1</v>
      </c>
      <c r="L24" s="365">
        <v>1</v>
      </c>
      <c r="M24" s="366">
        <f t="shared" si="0"/>
        <v>0.25</v>
      </c>
      <c r="N24" s="367">
        <f t="shared" si="0"/>
        <v>0.25</v>
      </c>
      <c r="O24" s="368">
        <f t="shared" si="0"/>
        <v>0.25</v>
      </c>
      <c r="P24" s="369">
        <f t="shared" si="0"/>
        <v>0.25</v>
      </c>
      <c r="Q24" s="585">
        <f t="shared" ref="Q24:R35" si="2">M24/SUM(M24,O24)</f>
        <v>0.5</v>
      </c>
      <c r="R24" s="586">
        <f>N24/SUM(N24,P24)</f>
        <v>0.5</v>
      </c>
      <c r="S24" s="587">
        <f>N24/SUM(N24,M24)</f>
        <v>0.5</v>
      </c>
      <c r="T24" s="588">
        <f>O24/SUM(O24,P24)</f>
        <v>0.5</v>
      </c>
      <c r="U24" s="589">
        <f t="shared" si="1"/>
        <v>12.090354888959125</v>
      </c>
      <c r="V24" s="411">
        <f t="shared" ref="V24:V34" si="3">(U24-U23)</f>
        <v>0.9999899999999986</v>
      </c>
      <c r="W24" s="7"/>
      <c r="X24" s="7"/>
      <c r="Y24" s="7"/>
      <c r="AA24" s="7"/>
      <c r="AB24" s="8"/>
      <c r="AC24" s="7"/>
      <c r="AD24" s="19"/>
      <c r="AE24" s="19"/>
      <c r="AF24" s="19"/>
      <c r="AG24" s="19"/>
    </row>
    <row r="25" spans="1:33" x14ac:dyDescent="0.25">
      <c r="A25">
        <f>SUM(B25:E25)</f>
        <v>1</v>
      </c>
      <c r="B25">
        <v>0.25</v>
      </c>
      <c r="C25">
        <v>0.25</v>
      </c>
      <c r="D25">
        <v>0.25</v>
      </c>
      <c r="E25">
        <v>0.25</v>
      </c>
      <c r="G25" s="17"/>
      <c r="H25" s="17">
        <v>3</v>
      </c>
      <c r="I25" s="590">
        <v>2</v>
      </c>
      <c r="J25" s="363">
        <v>2</v>
      </c>
      <c r="K25" s="364">
        <v>2</v>
      </c>
      <c r="L25" s="365">
        <v>2</v>
      </c>
      <c r="M25" s="366">
        <f>EXP(I25/$I$14)/(EXP($I25/$I$14)+EXP($J25/$I$14)+EXP($K25/$I$14)+EXP($L25/$I$14))</f>
        <v>0.25</v>
      </c>
      <c r="N25" s="367">
        <f t="shared" si="0"/>
        <v>0.25</v>
      </c>
      <c r="O25" s="368">
        <f t="shared" si="0"/>
        <v>0.25</v>
      </c>
      <c r="P25" s="369">
        <f t="shared" si="0"/>
        <v>0.25</v>
      </c>
      <c r="Q25" s="767">
        <f>M25/SUM(M25,O25)</f>
        <v>0.5</v>
      </c>
      <c r="R25" s="586">
        <f>N25/SUM(N25,P25)</f>
        <v>0.5</v>
      </c>
      <c r="S25" s="587">
        <f>N25/SUM(N25,M25)</f>
        <v>0.5</v>
      </c>
      <c r="T25" s="593">
        <f t="shared" ref="T25:T35" si="4">O25/SUM(O25,P25)</f>
        <v>0.5</v>
      </c>
      <c r="U25" s="589">
        <f t="shared" si="1"/>
        <v>13.090354888959125</v>
      </c>
      <c r="V25" s="411">
        <f t="shared" si="3"/>
        <v>1</v>
      </c>
      <c r="W25" s="7"/>
      <c r="X25" s="313"/>
      <c r="Y25" s="313"/>
      <c r="AA25" s="7"/>
      <c r="AB25" s="8"/>
      <c r="AC25" s="7"/>
      <c r="AD25" s="19"/>
      <c r="AE25" s="19"/>
      <c r="AF25" s="19"/>
      <c r="AG25" s="19"/>
    </row>
    <row r="26" spans="1:33" x14ac:dyDescent="0.25">
      <c r="A26">
        <f>SUM(B26:E26)</f>
        <v>1</v>
      </c>
      <c r="B26" s="503">
        <v>0.1</v>
      </c>
      <c r="C26" s="463">
        <v>0.2</v>
      </c>
      <c r="D26" s="463">
        <v>0.3</v>
      </c>
      <c r="E26" s="594">
        <v>0.4</v>
      </c>
      <c r="F26">
        <f>SUMXMY2(B26:E26,M26:P26)</f>
        <v>3.2169981601487212E-12</v>
      </c>
      <c r="H26" s="595">
        <v>4</v>
      </c>
      <c r="I26" s="590">
        <v>3</v>
      </c>
      <c r="J26" s="596">
        <v>8.5450460903541874</v>
      </c>
      <c r="K26" s="597">
        <v>11.788755035481492</v>
      </c>
      <c r="L26" s="598">
        <v>14.090226754087242</v>
      </c>
      <c r="M26" s="366">
        <f t="shared" si="0"/>
        <v>0.10000150634671325</v>
      </c>
      <c r="N26" s="367">
        <f t="shared" si="0"/>
        <v>0.19999972881778538</v>
      </c>
      <c r="O26" s="368">
        <f t="shared" si="0"/>
        <v>0.29999914623744173</v>
      </c>
      <c r="P26" s="369">
        <f t="shared" si="0"/>
        <v>0.39999961859805949</v>
      </c>
      <c r="Q26" s="585">
        <f t="shared" si="2"/>
        <v>0.25000335799620782</v>
      </c>
      <c r="R26" s="591">
        <f t="shared" si="2"/>
        <v>0.3333332439096312</v>
      </c>
      <c r="S26" s="592">
        <f t="shared" ref="S26:S35" si="5">N26/SUM(N26,M26)</f>
        <v>0.66666301793097693</v>
      </c>
      <c r="T26" s="593">
        <f t="shared" si="4"/>
        <v>0.42857096513297577</v>
      </c>
      <c r="U26" s="589">
        <f t="shared" si="1"/>
        <v>21.420560237122928</v>
      </c>
      <c r="V26" s="411">
        <f t="shared" si="3"/>
        <v>8.330205348163803</v>
      </c>
      <c r="W26" s="7"/>
      <c r="X26" s="150"/>
      <c r="Y26" s="7"/>
      <c r="AA26" s="7"/>
      <c r="AB26" s="8"/>
      <c r="AC26" s="7"/>
      <c r="AD26" s="19"/>
      <c r="AE26" s="19"/>
      <c r="AF26" s="19"/>
      <c r="AG26" s="19"/>
    </row>
    <row r="27" spans="1:33" x14ac:dyDescent="0.25">
      <c r="A27">
        <f t="shared" ref="A27:A33" si="6">SUM(B27:E27)</f>
        <v>0.99999999999999989</v>
      </c>
      <c r="B27" s="292">
        <v>0.05</v>
      </c>
      <c r="C27" s="17">
        <v>0.25</v>
      </c>
      <c r="D27" s="17">
        <v>0.35</v>
      </c>
      <c r="E27" s="599">
        <v>0.35</v>
      </c>
      <c r="F27">
        <f>SUMXMY2(B27:E27,M27:P27)</f>
        <v>9.9999998517153159E-7</v>
      </c>
      <c r="G27" s="7"/>
      <c r="H27" s="595">
        <v>5</v>
      </c>
      <c r="I27" s="590">
        <v>3</v>
      </c>
      <c r="J27" s="596">
        <v>15.776140243629067</v>
      </c>
      <c r="K27" s="597">
        <v>18.445430182857088</v>
      </c>
      <c r="L27" s="598">
        <v>18.454513773938618</v>
      </c>
      <c r="M27" s="366">
        <f t="shared" si="0"/>
        <v>5.0672702701916809E-2</v>
      </c>
      <c r="N27" s="367">
        <f t="shared" si="0"/>
        <v>0.25023610390709966</v>
      </c>
      <c r="O27" s="368">
        <f t="shared" si="0"/>
        <v>0.34934715113776654</v>
      </c>
      <c r="P27" s="369">
        <f t="shared" si="0"/>
        <v>0.34974404225321715</v>
      </c>
      <c r="Q27" s="585">
        <f t="shared" si="2"/>
        <v>0.12667546926864534</v>
      </c>
      <c r="R27" s="591">
        <f t="shared" si="2"/>
        <v>0.41707397404486063</v>
      </c>
      <c r="S27" s="592">
        <f t="shared" si="5"/>
        <v>0.8316011310105722</v>
      </c>
      <c r="T27" s="593">
        <f t="shared" si="4"/>
        <v>0.49971613780919949</v>
      </c>
      <c r="U27" s="589">
        <f t="shared" si="1"/>
        <v>26.858943372999857</v>
      </c>
      <c r="V27" s="411">
        <f t="shared" si="3"/>
        <v>5.4383831358769292</v>
      </c>
      <c r="W27" s="7"/>
      <c r="X27" s="7"/>
      <c r="Y27" s="7"/>
      <c r="AA27" s="313"/>
      <c r="AB27" s="8"/>
      <c r="AC27" s="7"/>
      <c r="AD27" s="19"/>
      <c r="AE27" s="19"/>
      <c r="AF27" s="19"/>
      <c r="AG27" s="19"/>
    </row>
    <row r="28" spans="1:33" x14ac:dyDescent="0.25">
      <c r="A28">
        <f t="shared" si="6"/>
        <v>0</v>
      </c>
      <c r="B28" s="292"/>
      <c r="C28" s="17"/>
      <c r="D28" s="17"/>
      <c r="E28" s="599"/>
      <c r="G28" s="7"/>
      <c r="H28" s="7">
        <v>6</v>
      </c>
      <c r="I28" s="590">
        <v>5</v>
      </c>
      <c r="J28" s="596">
        <v>5</v>
      </c>
      <c r="K28" s="597">
        <v>5</v>
      </c>
      <c r="L28" s="598">
        <v>5</v>
      </c>
      <c r="M28" s="366">
        <f t="shared" si="0"/>
        <v>0.25</v>
      </c>
      <c r="N28" s="367">
        <f t="shared" si="0"/>
        <v>0.25</v>
      </c>
      <c r="O28" s="368">
        <f t="shared" si="0"/>
        <v>0.25</v>
      </c>
      <c r="P28" s="369">
        <f t="shared" si="0"/>
        <v>0.25</v>
      </c>
      <c r="Q28" s="585">
        <f t="shared" si="2"/>
        <v>0.5</v>
      </c>
      <c r="R28" s="591">
        <f t="shared" si="2"/>
        <v>0.5</v>
      </c>
      <c r="S28" s="592">
        <f t="shared" si="5"/>
        <v>0.5</v>
      </c>
      <c r="T28" s="593">
        <f t="shared" si="4"/>
        <v>0.5</v>
      </c>
      <c r="U28" s="589">
        <f t="shared" si="1"/>
        <v>16.090354888959126</v>
      </c>
      <c r="V28" s="411">
        <f t="shared" si="3"/>
        <v>-10.76858848404073</v>
      </c>
      <c r="W28" s="7"/>
      <c r="X28" s="7"/>
      <c r="Y28" s="7"/>
      <c r="AA28" s="150"/>
      <c r="AB28" s="8"/>
      <c r="AC28" s="7"/>
      <c r="AD28" s="19"/>
      <c r="AE28" s="19"/>
      <c r="AF28" s="19"/>
      <c r="AG28" s="19"/>
    </row>
    <row r="29" spans="1:33" x14ac:dyDescent="0.25">
      <c r="A29">
        <f t="shared" si="6"/>
        <v>1</v>
      </c>
      <c r="B29" s="503">
        <v>0.1</v>
      </c>
      <c r="C29" s="463">
        <v>0.2</v>
      </c>
      <c r="D29" s="463">
        <v>0.3</v>
      </c>
      <c r="E29" s="594">
        <v>0.4</v>
      </c>
      <c r="F29">
        <f t="shared" ref="F29" si="7">SUMXMY2(B29:E29,M29:P29)</f>
        <v>3.2169981601487212E-12</v>
      </c>
      <c r="G29" s="7"/>
      <c r="H29" s="600">
        <v>7</v>
      </c>
      <c r="I29" s="590">
        <v>3</v>
      </c>
      <c r="J29" s="596">
        <v>8.5450460903541874</v>
      </c>
      <c r="K29" s="597">
        <v>11.788755035481492</v>
      </c>
      <c r="L29" s="598">
        <v>14.090226754087242</v>
      </c>
      <c r="M29" s="366">
        <f t="shared" si="0"/>
        <v>0.10000150634671325</v>
      </c>
      <c r="N29" s="367">
        <f t="shared" si="0"/>
        <v>0.19999972881778538</v>
      </c>
      <c r="O29" s="368">
        <f t="shared" si="0"/>
        <v>0.29999914623744173</v>
      </c>
      <c r="P29" s="369">
        <f t="shared" si="0"/>
        <v>0.39999961859805949</v>
      </c>
      <c r="Q29" s="585">
        <f t="shared" si="2"/>
        <v>0.25000335799620782</v>
      </c>
      <c r="R29" s="591">
        <f t="shared" si="2"/>
        <v>0.3333332439096312</v>
      </c>
      <c r="S29" s="592">
        <f t="shared" si="5"/>
        <v>0.66666301793097693</v>
      </c>
      <c r="T29" s="593">
        <f t="shared" si="4"/>
        <v>0.42857096513297577</v>
      </c>
      <c r="U29" s="589">
        <f t="shared" si="1"/>
        <v>21.420560237122928</v>
      </c>
      <c r="V29" s="411">
        <f t="shared" si="3"/>
        <v>5.3302053481638012</v>
      </c>
      <c r="W29" s="7"/>
      <c r="X29" s="7"/>
      <c r="Y29" s="7"/>
      <c r="AA29" s="7"/>
      <c r="AB29" s="8"/>
      <c r="AC29" s="7"/>
      <c r="AD29" s="19"/>
      <c r="AE29" s="19"/>
      <c r="AF29" s="19"/>
      <c r="AG29" s="19"/>
    </row>
    <row r="30" spans="1:33" x14ac:dyDescent="0.25">
      <c r="A30" s="463">
        <f>SUM(B30:E30)</f>
        <v>0.99999999551530216</v>
      </c>
      <c r="B30" s="601">
        <f>M30</f>
        <v>0.10000150127410369</v>
      </c>
      <c r="C30" s="209">
        <f t="shared" ref="C30:D30" si="8">N30</f>
        <v>0.19999971867295302</v>
      </c>
      <c r="D30" s="209">
        <f t="shared" si="8"/>
        <v>0.34999877556824549</v>
      </c>
      <c r="E30" s="602">
        <v>0.35</v>
      </c>
      <c r="F30">
        <f>SUMXMY2(B30:E30,M30:P30)</f>
        <v>2.0112514176189711E-17</v>
      </c>
      <c r="G30" s="7"/>
      <c r="H30" s="600">
        <v>8</v>
      </c>
      <c r="I30" s="590">
        <v>4.068243004643695</v>
      </c>
      <c r="J30" s="596">
        <v>9.6132890950066887</v>
      </c>
      <c r="K30" s="597">
        <v>14.090198664519377</v>
      </c>
      <c r="L30" s="598">
        <v>14.090226754087242</v>
      </c>
      <c r="M30" s="366">
        <f t="shared" si="0"/>
        <v>0.10000150127410369</v>
      </c>
      <c r="N30" s="367">
        <f t="shared" si="0"/>
        <v>0.19999971867295302</v>
      </c>
      <c r="O30" s="368">
        <f t="shared" si="0"/>
        <v>0.34999877556824549</v>
      </c>
      <c r="P30" s="369">
        <f t="shared" si="0"/>
        <v>0.35000000448469776</v>
      </c>
      <c r="Q30" s="585">
        <f t="shared" si="2"/>
        <v>0.22222542167265757</v>
      </c>
      <c r="R30" s="591">
        <f t="shared" si="2"/>
        <v>0.36363603516874049</v>
      </c>
      <c r="S30" s="592">
        <f t="shared" si="5"/>
        <v>0.66666301793122162</v>
      </c>
      <c r="T30" s="593">
        <f t="shared" si="4"/>
        <v>0.49999912220100429</v>
      </c>
      <c r="U30" s="589">
        <f t="shared" si="1"/>
        <v>22.488803647569284</v>
      </c>
      <c r="V30" s="411">
        <f t="shared" si="3"/>
        <v>1.0682434104463567</v>
      </c>
      <c r="W30" s="7"/>
      <c r="X30" s="7"/>
      <c r="Y30" s="7"/>
      <c r="AA30" s="7"/>
      <c r="AB30" s="8"/>
      <c r="AC30" s="7"/>
      <c r="AD30" s="19"/>
      <c r="AE30" s="19"/>
      <c r="AF30" s="19"/>
      <c r="AG30" s="19"/>
    </row>
    <row r="31" spans="1:33" x14ac:dyDescent="0.25">
      <c r="A31">
        <f t="shared" si="6"/>
        <v>0</v>
      </c>
      <c r="B31" s="5"/>
      <c r="C31" s="7"/>
      <c r="D31" s="7"/>
      <c r="E31" s="6"/>
      <c r="G31" s="7"/>
      <c r="H31" s="7">
        <v>9</v>
      </c>
      <c r="I31" s="590">
        <v>3</v>
      </c>
      <c r="J31" s="596">
        <v>15.87450804085535</v>
      </c>
      <c r="K31" s="597">
        <v>18.56629548933655</v>
      </c>
      <c r="L31" s="598">
        <v>18.566302402544224</v>
      </c>
      <c r="M31" s="366">
        <f t="shared" si="0"/>
        <v>5.0005852744513128E-2</v>
      </c>
      <c r="N31" s="367">
        <f t="shared" si="0"/>
        <v>0.24999816018494284</v>
      </c>
      <c r="O31" s="368">
        <f t="shared" si="0"/>
        <v>0.34999784230972109</v>
      </c>
      <c r="P31" s="369">
        <f t="shared" si="0"/>
        <v>0.34999814476082292</v>
      </c>
      <c r="Q31" s="585">
        <f t="shared" si="2"/>
        <v>0.12501347703233873</v>
      </c>
      <c r="R31" s="591">
        <f t="shared" si="2"/>
        <v>0.41666616631504161</v>
      </c>
      <c r="S31" s="592">
        <f t="shared" si="5"/>
        <v>0.83331605382134777</v>
      </c>
      <c r="T31" s="593">
        <f t="shared" si="4"/>
        <v>0.49999978396226019</v>
      </c>
      <c r="U31" s="589">
        <f t="shared" si="1"/>
        <v>26.96492180411294</v>
      </c>
      <c r="V31" s="411">
        <f t="shared" si="3"/>
        <v>4.4761181565436559</v>
      </c>
      <c r="W31" s="7"/>
      <c r="X31" s="7"/>
      <c r="Y31" s="7"/>
      <c r="AA31" s="7"/>
      <c r="AB31" s="8"/>
      <c r="AC31" s="7"/>
      <c r="AD31" s="19"/>
      <c r="AE31" s="19"/>
      <c r="AF31" s="19"/>
      <c r="AG31" s="19"/>
    </row>
    <row r="32" spans="1:33" x14ac:dyDescent="0.25">
      <c r="A32">
        <f t="shared" si="6"/>
        <v>0</v>
      </c>
      <c r="B32" s="5"/>
      <c r="C32" s="7"/>
      <c r="D32" s="7"/>
      <c r="E32" s="6"/>
      <c r="G32" s="7"/>
      <c r="H32" s="7">
        <v>10</v>
      </c>
      <c r="I32" s="590">
        <v>0</v>
      </c>
      <c r="J32" s="596">
        <v>0</v>
      </c>
      <c r="K32" s="597">
        <v>200</v>
      </c>
      <c r="L32" s="598">
        <v>0</v>
      </c>
      <c r="M32" s="366">
        <f t="shared" si="0"/>
        <v>1.3887943864385394E-11</v>
      </c>
      <c r="N32" s="367">
        <f t="shared" si="0"/>
        <v>1.3887943864385394E-11</v>
      </c>
      <c r="O32" s="368">
        <f t="shared" si="0"/>
        <v>0.99999999995833622</v>
      </c>
      <c r="P32" s="369">
        <f t="shared" si="0"/>
        <v>1.3887943864385394E-11</v>
      </c>
      <c r="Q32" s="585">
        <f t="shared" si="2"/>
        <v>1.3887943864771144E-11</v>
      </c>
      <c r="R32" s="591">
        <f t="shared" si="2"/>
        <v>0.5</v>
      </c>
      <c r="S32" s="592">
        <f t="shared" si="5"/>
        <v>0.5</v>
      </c>
      <c r="T32" s="593">
        <f t="shared" si="4"/>
        <v>0.99999999998611211</v>
      </c>
      <c r="U32" s="589">
        <f t="shared" si="1"/>
        <v>200.0000000003333</v>
      </c>
      <c r="V32" s="411">
        <f t="shared" si="3"/>
        <v>173.03507819622035</v>
      </c>
      <c r="W32" s="7"/>
      <c r="X32" s="7"/>
      <c r="Y32" s="7"/>
      <c r="AA32" s="7"/>
      <c r="AB32" s="8"/>
      <c r="AC32" s="7"/>
      <c r="AD32" s="19"/>
      <c r="AE32" s="19"/>
      <c r="AF32" s="19"/>
      <c r="AG32" s="19"/>
    </row>
    <row r="33" spans="1:33" x14ac:dyDescent="0.25">
      <c r="A33">
        <f t="shared" si="6"/>
        <v>0</v>
      </c>
      <c r="B33" s="5"/>
      <c r="C33" s="7"/>
      <c r="D33" s="7"/>
      <c r="E33" s="6"/>
      <c r="G33" s="7"/>
      <c r="H33" s="7">
        <v>11</v>
      </c>
      <c r="I33" s="590">
        <v>0</v>
      </c>
      <c r="J33" s="596">
        <v>0</v>
      </c>
      <c r="K33" s="597">
        <v>200</v>
      </c>
      <c r="L33" s="598">
        <v>0</v>
      </c>
      <c r="M33" s="366">
        <f t="shared" si="0"/>
        <v>1.3887943864385394E-11</v>
      </c>
      <c r="N33" s="367">
        <f t="shared" si="0"/>
        <v>1.3887943864385394E-11</v>
      </c>
      <c r="O33" s="368">
        <f t="shared" si="0"/>
        <v>0.99999999995833622</v>
      </c>
      <c r="P33" s="369">
        <f t="shared" si="0"/>
        <v>1.3887943864385394E-11</v>
      </c>
      <c r="Q33" s="585">
        <f t="shared" si="2"/>
        <v>1.3887943864771144E-11</v>
      </c>
      <c r="R33" s="591">
        <f t="shared" si="2"/>
        <v>0.5</v>
      </c>
      <c r="S33" s="592">
        <f t="shared" si="5"/>
        <v>0.5</v>
      </c>
      <c r="T33" s="593">
        <f t="shared" si="4"/>
        <v>0.99999999998611211</v>
      </c>
      <c r="U33" s="589">
        <f t="shared" si="1"/>
        <v>200.0000000003333</v>
      </c>
      <c r="V33" s="411">
        <f t="shared" si="3"/>
        <v>0</v>
      </c>
      <c r="W33" s="7"/>
      <c r="X33" s="7"/>
      <c r="Y33" s="7"/>
      <c r="AA33" s="7"/>
      <c r="AB33" s="8"/>
      <c r="AC33" s="7"/>
      <c r="AD33" s="19"/>
      <c r="AE33" s="19"/>
      <c r="AF33" s="19"/>
      <c r="AG33" s="19"/>
    </row>
    <row r="34" spans="1:33" x14ac:dyDescent="0.25">
      <c r="B34" s="7"/>
      <c r="C34" s="7"/>
      <c r="D34" s="7"/>
      <c r="E34" s="7"/>
      <c r="F34" s="7"/>
      <c r="G34" s="7"/>
      <c r="H34" s="7">
        <v>20</v>
      </c>
      <c r="I34" s="590">
        <v>0</v>
      </c>
      <c r="J34" s="596">
        <v>0</v>
      </c>
      <c r="K34" s="597">
        <v>200</v>
      </c>
      <c r="L34" s="598">
        <v>0</v>
      </c>
      <c r="M34" s="366">
        <f>EXP(I34/$I$14)/(EXP($I34/$I$14)+EXP($J34/$I$14)+EXP($K34/$I$14)+EXP($L34/$I$14))</f>
        <v>1.3887943864385394E-11</v>
      </c>
      <c r="N34" s="367">
        <f t="shared" si="0"/>
        <v>1.3887943864385394E-11</v>
      </c>
      <c r="O34" s="368">
        <f t="shared" si="0"/>
        <v>0.99999999995833622</v>
      </c>
      <c r="P34" s="369">
        <f t="shared" si="0"/>
        <v>1.3887943864385394E-11</v>
      </c>
      <c r="Q34" s="585">
        <f t="shared" si="2"/>
        <v>1.3887943864771144E-11</v>
      </c>
      <c r="R34" s="591">
        <f t="shared" si="2"/>
        <v>0.5</v>
      </c>
      <c r="S34" s="592">
        <f t="shared" si="5"/>
        <v>0.5</v>
      </c>
      <c r="T34" s="593">
        <f t="shared" si="4"/>
        <v>0.99999999998611211</v>
      </c>
      <c r="U34" s="589">
        <f t="shared" si="1"/>
        <v>200.0000000003333</v>
      </c>
      <c r="V34" s="411">
        <f t="shared" si="3"/>
        <v>0</v>
      </c>
      <c r="W34" s="7"/>
      <c r="X34" s="7"/>
      <c r="Y34" s="7"/>
      <c r="AA34" s="7"/>
      <c r="AB34" s="8"/>
      <c r="AC34" s="7"/>
      <c r="AD34" s="19"/>
      <c r="AE34" s="19"/>
      <c r="AF34" s="19"/>
      <c r="AG34" s="19"/>
    </row>
    <row r="35" spans="1:33" ht="15.75" thickBot="1" x14ac:dyDescent="0.3">
      <c r="B35" s="7"/>
      <c r="C35" s="7"/>
      <c r="D35" s="7"/>
      <c r="E35" s="7"/>
      <c r="F35" s="7"/>
      <c r="G35" s="7"/>
      <c r="H35" s="7">
        <v>21</v>
      </c>
      <c r="I35" s="590">
        <v>0</v>
      </c>
      <c r="J35" s="596">
        <v>0</v>
      </c>
      <c r="K35" s="597">
        <v>200</v>
      </c>
      <c r="L35" s="598">
        <v>0</v>
      </c>
      <c r="M35" s="371">
        <f t="shared" si="0"/>
        <v>1.3887943864385394E-11</v>
      </c>
      <c r="N35" s="372">
        <f t="shared" si="0"/>
        <v>1.3887943864385394E-11</v>
      </c>
      <c r="O35" s="373">
        <f t="shared" si="0"/>
        <v>0.99999999995833622</v>
      </c>
      <c r="P35" s="374">
        <f t="shared" si="0"/>
        <v>1.3887943864385394E-11</v>
      </c>
      <c r="Q35" s="576">
        <f t="shared" si="2"/>
        <v>1.3887943864771144E-11</v>
      </c>
      <c r="R35" s="577">
        <f t="shared" si="2"/>
        <v>0.5</v>
      </c>
      <c r="S35" s="578">
        <f t="shared" si="5"/>
        <v>0.5</v>
      </c>
      <c r="T35" s="579">
        <f t="shared" si="4"/>
        <v>0.99999999998611211</v>
      </c>
      <c r="U35" s="603">
        <f t="shared" si="1"/>
        <v>200.0000000003333</v>
      </c>
      <c r="V35" s="412">
        <f>(U35-U34)</f>
        <v>0</v>
      </c>
      <c r="W35" s="7"/>
      <c r="X35" s="7"/>
      <c r="Y35" s="7"/>
      <c r="AA35" s="7"/>
      <c r="AB35" s="8"/>
      <c r="AC35" s="7"/>
      <c r="AD35" s="19"/>
      <c r="AE35" s="19"/>
      <c r="AF35" s="19"/>
      <c r="AG35" s="19"/>
    </row>
    <row r="36" spans="1:33" ht="16.5" thickTop="1" thickBot="1" x14ac:dyDescent="0.3">
      <c r="B36" s="7"/>
      <c r="C36" s="7"/>
      <c r="D36" s="7"/>
      <c r="E36" s="7"/>
      <c r="F36" s="7"/>
      <c r="G36" s="7"/>
      <c r="H36" s="7">
        <v>22</v>
      </c>
      <c r="I36" s="380">
        <f>I35</f>
        <v>0</v>
      </c>
      <c r="J36" s="376">
        <f>J35</f>
        <v>0</v>
      </c>
      <c r="K36" s="377">
        <f>K35</f>
        <v>200</v>
      </c>
      <c r="L36" s="378">
        <f>L35</f>
        <v>0</v>
      </c>
      <c r="M36" s="559">
        <v>0</v>
      </c>
      <c r="N36" s="560">
        <v>0</v>
      </c>
      <c r="O36" s="560">
        <v>1</v>
      </c>
      <c r="P36" s="561">
        <v>0</v>
      </c>
      <c r="Q36" s="604">
        <f>IFERROR( M36/SUM(M36,O36), 0)</f>
        <v>0</v>
      </c>
      <c r="R36" s="605">
        <f t="shared" ref="R36:T36" si="9">IFERROR( N36/SUM(N36,P36), 0)</f>
        <v>0</v>
      </c>
      <c r="S36" s="606">
        <f>IFERROR( O36/SUM(O36,Q36), 0)</f>
        <v>1</v>
      </c>
      <c r="T36" s="607">
        <f t="shared" si="9"/>
        <v>0</v>
      </c>
      <c r="U36" s="443">
        <f t="shared" si="1"/>
        <v>200.0000000003333</v>
      </c>
      <c r="V36" s="8"/>
      <c r="X36" s="8"/>
      <c r="Y36" s="8"/>
      <c r="AA36" s="7"/>
      <c r="AB36" s="7"/>
      <c r="AC36" s="7"/>
      <c r="AD36" s="7"/>
      <c r="AE36" s="7"/>
      <c r="AF36" s="7"/>
      <c r="AG36" s="7"/>
    </row>
    <row r="37" spans="1:33" ht="15.75" thickBot="1" x14ac:dyDescent="0.3">
      <c r="B37" s="7"/>
      <c r="C37" s="7"/>
      <c r="D37" s="7"/>
      <c r="F37" s="7"/>
      <c r="G37" s="7"/>
      <c r="H37" s="7"/>
      <c r="U37" s="265">
        <f>SUMPRODUCT(I36:L36,M36:P36)</f>
        <v>200</v>
      </c>
      <c r="AA37" s="7"/>
    </row>
    <row r="38" spans="1:33" ht="15.75" thickBot="1" x14ac:dyDescent="0.3">
      <c r="B38" s="7"/>
      <c r="C38" s="7"/>
      <c r="D38" s="7"/>
      <c r="F38" s="7"/>
      <c r="G38" s="7"/>
      <c r="H38" s="7"/>
      <c r="U38" s="265">
        <f>U36-U37</f>
        <v>3.333013864903478E-10</v>
      </c>
      <c r="AA38" s="7"/>
    </row>
    <row r="39" spans="1:33" x14ac:dyDescent="0.25">
      <c r="B39" s="7"/>
      <c r="C39" s="7"/>
      <c r="D39" s="7"/>
      <c r="F39" s="7"/>
      <c r="G39" s="7"/>
      <c r="I39" s="142"/>
      <c r="J39" s="142"/>
      <c r="K39" s="142"/>
      <c r="L39" s="142"/>
      <c r="M39" s="149"/>
      <c r="N39" s="149"/>
      <c r="O39" s="147"/>
      <c r="P39" s="8"/>
      <c r="Q39" s="8"/>
      <c r="R39" s="8"/>
      <c r="S39" s="8"/>
      <c r="T39" s="8"/>
      <c r="U39" s="8"/>
      <c r="AA39" s="7"/>
    </row>
    <row r="40" spans="1:33" ht="15.75" thickBot="1" x14ac:dyDescent="0.3">
      <c r="B40" s="7"/>
      <c r="C40" s="7"/>
      <c r="D40" s="7"/>
      <c r="F40" s="7"/>
      <c r="G40" s="7"/>
      <c r="H40" s="608"/>
      <c r="I40" s="142"/>
      <c r="J40" s="142"/>
      <c r="K40" s="142"/>
      <c r="L40" s="142"/>
      <c r="M40" s="149"/>
      <c r="N40" s="149"/>
      <c r="O40" s="147"/>
      <c r="P40" s="8"/>
      <c r="Q40" s="8"/>
      <c r="R40" s="8"/>
      <c r="S40" s="8"/>
      <c r="T40" s="8"/>
      <c r="U40" s="8"/>
      <c r="AA40" s="7"/>
    </row>
    <row r="41" spans="1:33" ht="21" x14ac:dyDescent="0.35">
      <c r="B41" s="7"/>
      <c r="C41" s="7"/>
      <c r="D41" s="7"/>
      <c r="E41" s="9"/>
      <c r="F41" s="609" t="s">
        <v>721</v>
      </c>
      <c r="G41" s="10"/>
      <c r="H41" s="610"/>
      <c r="I41" s="275"/>
      <c r="J41" s="275"/>
      <c r="K41" s="275"/>
      <c r="L41" s="275"/>
      <c r="M41" s="611"/>
      <c r="N41" s="611"/>
      <c r="O41" s="612"/>
      <c r="P41" s="613"/>
      <c r="Q41" s="613"/>
      <c r="R41" s="613"/>
      <c r="S41" s="613"/>
      <c r="T41" s="613"/>
      <c r="U41" s="614"/>
      <c r="AA41" s="7"/>
    </row>
    <row r="42" spans="1:33" x14ac:dyDescent="0.25">
      <c r="B42" s="7"/>
      <c r="C42" s="7"/>
      <c r="D42" s="7"/>
      <c r="E42" s="116"/>
      <c r="F42" s="7" t="s">
        <v>360</v>
      </c>
      <c r="G42" s="7"/>
      <c r="H42" s="608"/>
      <c r="I42" s="142"/>
      <c r="J42" s="142"/>
      <c r="K42" s="142"/>
      <c r="L42" s="142"/>
      <c r="M42" s="149"/>
      <c r="N42" s="149"/>
      <c r="O42" s="147"/>
      <c r="P42" s="8"/>
      <c r="Q42" s="8"/>
      <c r="R42" s="8"/>
      <c r="S42" s="8"/>
      <c r="T42" s="8"/>
      <c r="U42" s="615"/>
      <c r="AA42" s="7"/>
    </row>
    <row r="43" spans="1:33" x14ac:dyDescent="0.25">
      <c r="B43" s="7"/>
      <c r="C43" s="7"/>
      <c r="D43" s="7"/>
      <c r="E43" s="116"/>
      <c r="F43" s="7" t="s">
        <v>722</v>
      </c>
      <c r="G43" s="7"/>
      <c r="H43" s="608"/>
      <c r="I43" s="142"/>
      <c r="J43" s="142"/>
      <c r="K43" s="142"/>
      <c r="L43" s="142"/>
      <c r="M43" s="149"/>
      <c r="N43" s="149"/>
      <c r="O43" s="147"/>
      <c r="P43" s="8"/>
      <c r="Q43" s="8"/>
      <c r="R43" s="8"/>
      <c r="S43" s="8"/>
      <c r="T43" s="8"/>
      <c r="U43" s="615"/>
      <c r="AA43" s="7"/>
    </row>
    <row r="44" spans="1:33" x14ac:dyDescent="0.25">
      <c r="B44" s="7"/>
      <c r="C44" s="7"/>
      <c r="D44" s="7"/>
      <c r="E44" s="116"/>
      <c r="F44" s="7"/>
      <c r="G44" s="7"/>
      <c r="H44" s="608" t="s">
        <v>268</v>
      </c>
      <c r="I44" s="142"/>
      <c r="J44" s="142"/>
      <c r="K44" s="142"/>
      <c r="L44" s="142"/>
      <c r="M44" s="149"/>
      <c r="N44" s="149"/>
      <c r="O44" s="147"/>
      <c r="P44" s="8"/>
      <c r="Q44" s="8"/>
      <c r="R44" s="8"/>
      <c r="S44" s="8"/>
      <c r="T44" s="8"/>
      <c r="U44" s="615"/>
      <c r="AA44" s="7"/>
    </row>
    <row r="45" spans="1:33" x14ac:dyDescent="0.25">
      <c r="B45" s="7"/>
      <c r="C45" s="7"/>
      <c r="D45" s="7"/>
      <c r="E45" s="116"/>
      <c r="F45" s="7"/>
      <c r="G45" s="7"/>
      <c r="H45" s="8" t="s">
        <v>723</v>
      </c>
      <c r="I45" s="17"/>
      <c r="J45" s="17"/>
      <c r="K45" s="17"/>
      <c r="L45" s="17"/>
      <c r="M45" s="548"/>
      <c r="N45" s="548"/>
      <c r="O45" s="616"/>
      <c r="P45" s="7"/>
      <c r="Q45" s="7"/>
      <c r="R45" s="8"/>
      <c r="S45" s="617"/>
      <c r="T45" s="617"/>
      <c r="U45" s="618"/>
      <c r="AA45" s="7"/>
    </row>
    <row r="46" spans="1:33" x14ac:dyDescent="0.25">
      <c r="B46" s="7"/>
      <c r="C46" s="7"/>
      <c r="D46" s="7"/>
      <c r="E46" s="116"/>
      <c r="F46" s="7"/>
      <c r="G46" s="7"/>
      <c r="H46" s="619">
        <v>4</v>
      </c>
      <c r="I46" s="17"/>
      <c r="J46" s="256" t="s">
        <v>726</v>
      </c>
      <c r="K46" s="256" t="s">
        <v>727</v>
      </c>
      <c r="L46" s="616"/>
      <c r="M46" s="7"/>
      <c r="N46" s="32" t="s">
        <v>729</v>
      </c>
      <c r="O46" s="7"/>
      <c r="P46" s="7"/>
      <c r="Q46" s="7"/>
      <c r="R46" s="8"/>
      <c r="S46" s="617"/>
      <c r="T46" s="617"/>
      <c r="U46" s="618"/>
      <c r="AA46" s="7"/>
    </row>
    <row r="47" spans="1:33" x14ac:dyDescent="0.25">
      <c r="B47" s="7"/>
      <c r="C47" s="7"/>
      <c r="D47" s="7"/>
      <c r="E47" s="116"/>
      <c r="F47" s="7"/>
      <c r="G47" s="7"/>
      <c r="I47" s="21" t="s">
        <v>724</v>
      </c>
      <c r="J47" s="620">
        <f>M26</f>
        <v>0.10000150634671325</v>
      </c>
      <c r="K47" s="621">
        <f>N26</f>
        <v>0.19999972881778538</v>
      </c>
      <c r="L47" s="616">
        <f>SUM(J47:K47)</f>
        <v>0.30000123516449861</v>
      </c>
      <c r="M47" s="7"/>
      <c r="N47" s="768">
        <f>K47/SUM(J47:K47)</f>
        <v>0.66666301793097693</v>
      </c>
      <c r="O47" s="623" t="s">
        <v>269</v>
      </c>
      <c r="P47" s="7"/>
      <c r="Q47" s="7"/>
      <c r="R47" s="8"/>
      <c r="S47" s="617"/>
      <c r="T47" s="617"/>
      <c r="U47" s="618"/>
      <c r="AA47" s="7"/>
    </row>
    <row r="48" spans="1:33" x14ac:dyDescent="0.25">
      <c r="B48" s="7"/>
      <c r="C48" s="7"/>
      <c r="D48" s="7"/>
      <c r="E48" s="116"/>
      <c r="F48" s="7"/>
      <c r="G48" s="7"/>
      <c r="I48" s="21" t="s">
        <v>725</v>
      </c>
      <c r="J48" s="624">
        <f>O26</f>
        <v>0.29999914623744173</v>
      </c>
      <c r="K48" s="625">
        <f>P26</f>
        <v>0.39999961859805949</v>
      </c>
      <c r="L48" s="616">
        <f>SUM(J48:K48)</f>
        <v>0.69999876483550127</v>
      </c>
      <c r="M48" s="7"/>
      <c r="N48" s="769">
        <f>K48/SUM(J48:K48)</f>
        <v>0.57142903486702412</v>
      </c>
      <c r="O48" s="7"/>
      <c r="P48" s="7"/>
      <c r="Q48" s="7"/>
      <c r="R48" s="8"/>
      <c r="S48" s="617"/>
      <c r="T48" s="617"/>
      <c r="U48" s="618"/>
      <c r="AA48" s="7"/>
    </row>
    <row r="49" spans="2:27" x14ac:dyDescent="0.25">
      <c r="B49" s="7"/>
      <c r="C49" s="7"/>
      <c r="D49" s="7"/>
      <c r="E49" s="116"/>
      <c r="F49" s="7"/>
      <c r="G49" s="7"/>
      <c r="H49" s="17"/>
      <c r="I49" s="17"/>
      <c r="J49" s="149">
        <f>SUM(J47:J48)</f>
        <v>0.40000065258415496</v>
      </c>
      <c r="K49" s="149">
        <f>SUM(K47:K48)</f>
        <v>0.59999934741584493</v>
      </c>
      <c r="L49" s="616">
        <f>SUM(J47:K48)</f>
        <v>0.99999999999999978</v>
      </c>
      <c r="M49" s="7"/>
      <c r="N49" s="770"/>
      <c r="O49" s="7"/>
      <c r="P49" s="7"/>
      <c r="Q49" s="7"/>
      <c r="R49" s="8"/>
      <c r="S49" s="617"/>
      <c r="T49" s="617"/>
      <c r="U49" s="618"/>
      <c r="AA49" s="7"/>
    </row>
    <row r="50" spans="2:27" x14ac:dyDescent="0.25">
      <c r="B50" s="7"/>
      <c r="C50" s="7"/>
      <c r="D50" s="7"/>
      <c r="E50" s="116"/>
      <c r="F50" s="7"/>
      <c r="G50" s="7"/>
      <c r="H50" s="17"/>
      <c r="I50" s="17"/>
      <c r="J50" s="17"/>
      <c r="K50" s="17"/>
      <c r="L50" s="7"/>
      <c r="M50" s="7"/>
      <c r="N50" s="770"/>
      <c r="O50" s="7"/>
      <c r="P50" s="7"/>
      <c r="Q50" s="627"/>
      <c r="R50" s="8"/>
      <c r="S50" s="617"/>
      <c r="T50" s="617"/>
      <c r="U50" s="618"/>
      <c r="AA50" s="7"/>
    </row>
    <row r="51" spans="2:27" ht="15.75" thickBot="1" x14ac:dyDescent="0.3">
      <c r="B51" s="7"/>
      <c r="C51" s="7"/>
      <c r="D51" s="7"/>
      <c r="E51" s="116"/>
      <c r="F51" s="7"/>
      <c r="G51" s="7"/>
      <c r="H51" s="564"/>
      <c r="I51" s="771" t="s">
        <v>728</v>
      </c>
      <c r="J51" s="772">
        <f>J48/SUM(J47:J48)</f>
        <v>0.74999664200379224</v>
      </c>
      <c r="K51" s="772">
        <f>K48/SUM(K47:K48)</f>
        <v>0.66666675609036874</v>
      </c>
      <c r="L51" s="564"/>
      <c r="M51" s="564"/>
      <c r="N51" s="770"/>
      <c r="O51" s="564"/>
      <c r="P51" s="564"/>
      <c r="Q51" s="7" t="s">
        <v>270</v>
      </c>
      <c r="R51" s="8"/>
      <c r="S51" s="628"/>
      <c r="T51" s="628"/>
      <c r="U51" s="629"/>
      <c r="AA51" s="7"/>
    </row>
    <row r="52" spans="2:27" x14ac:dyDescent="0.25">
      <c r="B52" s="7"/>
      <c r="C52" s="7"/>
      <c r="D52" s="7"/>
      <c r="E52" s="116"/>
      <c r="F52" s="7"/>
      <c r="G52" s="7"/>
      <c r="H52" s="564"/>
      <c r="I52" s="564"/>
      <c r="J52" s="564"/>
      <c r="K52" s="564"/>
      <c r="L52" s="564"/>
      <c r="M52" s="564"/>
      <c r="N52" s="773"/>
      <c r="O52" s="564"/>
      <c r="P52" s="564"/>
      <c r="Q52" s="631">
        <f>MIN($V$27)</f>
        <v>5.4383831358769292</v>
      </c>
      <c r="R52" s="614">
        <f>COUNT($I$27:$L$27)</f>
        <v>4</v>
      </c>
      <c r="S52" s="632"/>
      <c r="T52" s="632"/>
      <c r="U52" s="633"/>
      <c r="AA52" s="7"/>
    </row>
    <row r="53" spans="2:27" x14ac:dyDescent="0.25">
      <c r="B53" s="7"/>
      <c r="C53" s="7"/>
      <c r="D53" s="7"/>
      <c r="E53" s="116"/>
      <c r="F53" s="7"/>
      <c r="G53" s="7"/>
      <c r="H53" s="17"/>
      <c r="I53" s="17"/>
      <c r="J53" s="17"/>
      <c r="K53" s="17"/>
      <c r="L53" s="7"/>
      <c r="M53" s="7"/>
      <c r="N53" s="773"/>
      <c r="O53" s="7"/>
      <c r="P53" s="7"/>
      <c r="Q53" s="116" t="b">
        <f>$F$27=0</f>
        <v>0</v>
      </c>
      <c r="R53" s="615" t="b">
        <f t="array" ref="R53">$I$26:$L$26&lt;=$I$27:$L$27</f>
        <v>1</v>
      </c>
      <c r="S53" s="628"/>
      <c r="T53" s="628"/>
      <c r="U53" s="629"/>
      <c r="AA53" s="7"/>
    </row>
    <row r="54" spans="2:27" ht="15.75" thickBot="1" x14ac:dyDescent="0.3">
      <c r="B54" s="7"/>
      <c r="C54" s="7"/>
      <c r="D54" s="7"/>
      <c r="E54" s="116"/>
      <c r="F54" s="7"/>
      <c r="G54" s="7"/>
      <c r="H54" s="634">
        <v>5</v>
      </c>
      <c r="I54" s="17"/>
      <c r="J54" s="256" t="s">
        <v>726</v>
      </c>
      <c r="K54" s="256" t="s">
        <v>727</v>
      </c>
      <c r="L54" s="616"/>
      <c r="M54" s="7"/>
      <c r="N54" s="32" t="s">
        <v>729</v>
      </c>
      <c r="O54" s="7"/>
      <c r="P54" s="7"/>
      <c r="Q54" s="121">
        <f>{32767,32767,0.000001,0.01,FALSE,FALSE,TRUE,1,1,1,0.0001,FALSE}</f>
        <v>32767</v>
      </c>
      <c r="R54" s="104">
        <f>{0,0,1,100,0,FALSE,TRUE,0.075,0,0,FALSE,30}</f>
        <v>0</v>
      </c>
      <c r="S54" s="7"/>
      <c r="T54" s="7"/>
      <c r="U54" s="102"/>
      <c r="AA54" s="7"/>
    </row>
    <row r="55" spans="2:27" x14ac:dyDescent="0.25">
      <c r="B55" s="7"/>
      <c r="C55" s="7"/>
      <c r="D55" s="7"/>
      <c r="E55" s="116"/>
      <c r="F55" s="7"/>
      <c r="G55" s="7"/>
      <c r="I55" s="21" t="s">
        <v>724</v>
      </c>
      <c r="J55" s="620">
        <f>M27</f>
        <v>5.0672702701916809E-2</v>
      </c>
      <c r="K55" s="621">
        <f>N27</f>
        <v>0.25023610390709966</v>
      </c>
      <c r="L55" s="616">
        <f>SUM(J55:K55)</f>
        <v>0.30090880660901648</v>
      </c>
      <c r="M55" s="7"/>
      <c r="N55" s="768">
        <f>K55/SUM(J55:K55)</f>
        <v>0.8316011310105722</v>
      </c>
      <c r="O55" s="7"/>
      <c r="P55" s="7"/>
      <c r="Q55" s="7"/>
      <c r="R55" s="7"/>
      <c r="S55" s="7"/>
      <c r="T55" s="7"/>
      <c r="U55" s="102"/>
      <c r="AA55" s="7"/>
    </row>
    <row r="56" spans="2:27" x14ac:dyDescent="0.25">
      <c r="B56" s="7"/>
      <c r="C56" s="7"/>
      <c r="D56" s="7"/>
      <c r="E56" s="116"/>
      <c r="F56" s="7"/>
      <c r="G56" s="7"/>
      <c r="I56" s="21" t="s">
        <v>725</v>
      </c>
      <c r="J56" s="624">
        <f>O27</f>
        <v>0.34934715113776654</v>
      </c>
      <c r="K56" s="625">
        <f>P27</f>
        <v>0.34974404225321715</v>
      </c>
      <c r="L56" s="616">
        <f>SUM(J56:K56)</f>
        <v>0.69909119339098369</v>
      </c>
      <c r="M56" s="7"/>
      <c r="N56" s="769">
        <f>K56/SUM(J56:K56)</f>
        <v>0.50028386219080045</v>
      </c>
      <c r="O56" s="7"/>
      <c r="P56" s="7"/>
      <c r="Q56" s="7"/>
      <c r="R56" s="8"/>
      <c r="S56" s="632"/>
      <c r="T56" s="632"/>
      <c r="U56" s="633"/>
      <c r="AA56" s="7"/>
    </row>
    <row r="57" spans="2:27" x14ac:dyDescent="0.25">
      <c r="B57" s="7"/>
      <c r="C57" s="7"/>
      <c r="D57" s="7"/>
      <c r="E57" s="116"/>
      <c r="F57" s="7"/>
      <c r="G57" s="7"/>
      <c r="H57" s="17"/>
      <c r="I57" s="17"/>
      <c r="J57" s="149">
        <f>SUM(J55:J56)</f>
        <v>0.40001985383968336</v>
      </c>
      <c r="K57" s="548">
        <f>SUM(K55:K56)</f>
        <v>0.59998014616031681</v>
      </c>
      <c r="L57" s="616">
        <f>SUM(J55:K56)</f>
        <v>1.0000000000000002</v>
      </c>
      <c r="M57" s="7"/>
      <c r="N57" s="32"/>
      <c r="O57" s="7"/>
      <c r="P57" s="7"/>
      <c r="Q57" s="7"/>
      <c r="R57" s="8"/>
      <c r="S57" s="628"/>
      <c r="T57" s="628"/>
      <c r="U57" s="629"/>
      <c r="AA57" s="7"/>
    </row>
    <row r="58" spans="2:27" x14ac:dyDescent="0.25">
      <c r="B58" s="7"/>
      <c r="C58" s="7"/>
      <c r="D58" s="7"/>
      <c r="E58" s="116"/>
      <c r="F58" s="7"/>
      <c r="G58" s="7"/>
      <c r="H58" s="17"/>
      <c r="I58" s="17"/>
      <c r="J58" s="17"/>
      <c r="K58" s="17"/>
      <c r="L58" s="7"/>
      <c r="M58" s="7"/>
      <c r="N58" s="7"/>
      <c r="O58" s="7"/>
      <c r="P58" s="7"/>
      <c r="Q58" s="7"/>
      <c r="R58" s="8"/>
      <c r="S58" s="628"/>
      <c r="T58" s="628"/>
      <c r="U58" s="629"/>
      <c r="AA58" s="7"/>
    </row>
    <row r="59" spans="2:27" x14ac:dyDescent="0.25">
      <c r="B59" s="7"/>
      <c r="C59" s="7"/>
      <c r="D59" s="7"/>
      <c r="E59" s="116"/>
      <c r="F59" s="7"/>
      <c r="G59" s="7"/>
      <c r="I59" s="771" t="s">
        <v>728</v>
      </c>
      <c r="J59" s="772">
        <f>J56/SUM(J55:J56)</f>
        <v>0.87332453073135463</v>
      </c>
      <c r="K59" s="772">
        <f>K56/SUM(K55:K56)</f>
        <v>0.58292602595513932</v>
      </c>
      <c r="L59" s="564"/>
      <c r="M59" s="564"/>
      <c r="N59" s="564"/>
      <c r="O59" s="564"/>
      <c r="P59" s="564"/>
      <c r="Q59" s="564"/>
      <c r="R59" s="8"/>
      <c r="S59" s="628"/>
      <c r="T59" s="628"/>
      <c r="U59" s="629"/>
      <c r="AA59" s="7"/>
    </row>
    <row r="60" spans="2:27" x14ac:dyDescent="0.25">
      <c r="B60" s="7"/>
      <c r="C60" s="7"/>
      <c r="D60" s="7"/>
      <c r="E60" s="116"/>
      <c r="F60" s="7"/>
      <c r="G60" s="7"/>
      <c r="J60" s="564"/>
      <c r="K60" s="564"/>
      <c r="L60" s="564"/>
      <c r="M60" s="564"/>
      <c r="N60" s="564"/>
      <c r="O60" s="564"/>
      <c r="P60" s="564"/>
      <c r="Q60" s="564"/>
      <c r="R60" s="8"/>
      <c r="S60" s="628"/>
      <c r="T60" s="628"/>
      <c r="U60" s="629"/>
      <c r="AA60" s="7"/>
    </row>
    <row r="61" spans="2:27" x14ac:dyDescent="0.25">
      <c r="B61" s="7"/>
      <c r="C61" s="7"/>
      <c r="D61" s="7"/>
      <c r="E61" s="116"/>
      <c r="F61" s="7"/>
      <c r="G61" s="7"/>
      <c r="H61" s="7"/>
      <c r="I61" s="17"/>
      <c r="J61" s="17"/>
      <c r="K61" s="17"/>
      <c r="L61" s="17"/>
      <c r="M61" s="17"/>
      <c r="N61" s="17"/>
      <c r="O61" s="7"/>
      <c r="P61" s="7"/>
      <c r="Q61" s="7"/>
      <c r="R61" s="7"/>
      <c r="S61" s="7"/>
      <c r="T61" s="7"/>
      <c r="U61" s="615"/>
      <c r="V61" s="7"/>
      <c r="AA61" s="8"/>
    </row>
    <row r="62" spans="2:27" x14ac:dyDescent="0.25">
      <c r="B62" s="7"/>
      <c r="C62" s="7"/>
      <c r="D62" s="7"/>
      <c r="E62" s="116"/>
      <c r="H62" s="21" t="s">
        <v>340</v>
      </c>
      <c r="I62" s="635">
        <f>I27-I26</f>
        <v>0</v>
      </c>
      <c r="J62" s="635">
        <f>J27-J26</f>
        <v>7.2310941532748796</v>
      </c>
      <c r="K62" s="635">
        <f>K27-K26</f>
        <v>6.6566751473755961</v>
      </c>
      <c r="L62" s="635">
        <f>L27-L26</f>
        <v>4.3642870198513766</v>
      </c>
      <c r="M62" s="17"/>
      <c r="N62" s="17"/>
      <c r="O62" s="7"/>
      <c r="P62" s="7"/>
      <c r="Q62" s="7"/>
      <c r="R62" s="7"/>
      <c r="S62" s="7"/>
      <c r="T62" s="7"/>
      <c r="U62" s="102"/>
      <c r="V62" s="54"/>
    </row>
    <row r="63" spans="2:27" ht="15.75" thickBot="1" x14ac:dyDescent="0.3">
      <c r="B63" s="7"/>
      <c r="C63" s="7"/>
      <c r="D63" s="7"/>
      <c r="E63" s="116"/>
      <c r="F63" s="7"/>
      <c r="G63" s="7"/>
      <c r="H63" s="7"/>
      <c r="I63" s="17"/>
      <c r="J63" s="17"/>
      <c r="K63" s="17"/>
      <c r="L63" s="17"/>
      <c r="M63" s="17"/>
      <c r="N63" s="17"/>
      <c r="O63" s="7"/>
      <c r="P63" s="7"/>
      <c r="Q63" s="7"/>
      <c r="R63" s="7"/>
      <c r="S63" s="7"/>
      <c r="T63" s="7"/>
      <c r="U63" s="102"/>
      <c r="V63" s="196"/>
      <c r="W63" s="7"/>
    </row>
    <row r="64" spans="2:27" x14ac:dyDescent="0.25">
      <c r="B64" s="7"/>
      <c r="C64" s="7"/>
      <c r="D64" s="7"/>
      <c r="E64" s="116"/>
      <c r="G64" s="7"/>
      <c r="H64" s="7"/>
      <c r="I64" s="7"/>
      <c r="J64" s="17"/>
      <c r="K64" s="17"/>
      <c r="L64" s="17"/>
      <c r="M64" s="636" t="s">
        <v>271</v>
      </c>
      <c r="N64" s="276">
        <v>1</v>
      </c>
      <c r="O64" s="276">
        <v>0</v>
      </c>
      <c r="P64" s="276">
        <v>0</v>
      </c>
      <c r="Q64" s="167">
        <v>0</v>
      </c>
      <c r="R64" s="7"/>
      <c r="S64" s="7"/>
      <c r="T64" s="7"/>
      <c r="U64" s="102"/>
      <c r="V64" s="196"/>
      <c r="W64" s="7"/>
    </row>
    <row r="65" spans="2:25" x14ac:dyDescent="0.25">
      <c r="B65" s="7"/>
      <c r="C65" s="7"/>
      <c r="D65" s="7"/>
      <c r="E65" s="116"/>
      <c r="G65" s="7"/>
      <c r="H65" s="7"/>
      <c r="I65" s="7"/>
      <c r="J65" s="17"/>
      <c r="K65" s="17"/>
      <c r="L65" s="17"/>
      <c r="M65" s="637" t="s">
        <v>272</v>
      </c>
      <c r="N65" s="18">
        <v>0</v>
      </c>
      <c r="O65" s="18">
        <v>1</v>
      </c>
      <c r="P65" s="18">
        <v>0</v>
      </c>
      <c r="Q65" s="183">
        <v>0</v>
      </c>
      <c r="R65" s="7"/>
      <c r="S65" s="7"/>
      <c r="T65" s="7"/>
      <c r="U65" s="102"/>
      <c r="V65" s="257"/>
      <c r="W65" s="257"/>
      <c r="X65" s="257"/>
      <c r="Y65" s="257"/>
    </row>
    <row r="66" spans="2:25" x14ac:dyDescent="0.25">
      <c r="B66" s="7"/>
      <c r="C66" s="7"/>
      <c r="D66" s="7"/>
      <c r="E66" s="116"/>
      <c r="G66" s="7"/>
      <c r="H66" s="7"/>
      <c r="I66" s="7"/>
      <c r="J66" s="17"/>
      <c r="K66" s="17"/>
      <c r="L66" s="17"/>
      <c r="M66" s="637" t="s">
        <v>273</v>
      </c>
      <c r="N66" s="18">
        <v>0</v>
      </c>
      <c r="O66" s="18">
        <v>0</v>
      </c>
      <c r="P66" s="18">
        <v>1</v>
      </c>
      <c r="Q66" s="183">
        <v>0</v>
      </c>
      <c r="R66" s="7"/>
      <c r="S66" s="7"/>
      <c r="T66" s="7"/>
      <c r="U66" s="102"/>
      <c r="V66" s="257"/>
      <c r="W66" s="257"/>
      <c r="X66" s="257"/>
      <c r="Y66" s="257"/>
    </row>
    <row r="67" spans="2:25" ht="15.75" thickBot="1" x14ac:dyDescent="0.3">
      <c r="B67" s="7"/>
      <c r="C67" s="7"/>
      <c r="D67" s="7"/>
      <c r="E67" s="116"/>
      <c r="G67" s="7"/>
      <c r="H67" s="7"/>
      <c r="I67" s="7"/>
      <c r="J67" s="17"/>
      <c r="K67" s="17"/>
      <c r="L67" s="17"/>
      <c r="M67" s="638" t="s">
        <v>274</v>
      </c>
      <c r="N67" s="566">
        <v>0</v>
      </c>
      <c r="O67" s="566">
        <v>0</v>
      </c>
      <c r="P67" s="566">
        <v>0</v>
      </c>
      <c r="Q67" s="567">
        <v>1</v>
      </c>
      <c r="R67" s="7"/>
      <c r="S67" s="7"/>
      <c r="T67" s="7"/>
      <c r="U67" s="102"/>
      <c r="V67" s="257"/>
      <c r="W67" s="257"/>
      <c r="X67" s="257"/>
      <c r="Y67" s="257"/>
    </row>
    <row r="68" spans="2:25" ht="15.75" thickBot="1" x14ac:dyDescent="0.3">
      <c r="B68" s="7"/>
      <c r="C68" s="7"/>
      <c r="D68" s="7"/>
      <c r="E68" s="116"/>
      <c r="G68" s="7"/>
      <c r="H68" s="7"/>
      <c r="I68" s="364" t="s">
        <v>271</v>
      </c>
      <c r="J68" s="364" t="s">
        <v>272</v>
      </c>
      <c r="K68" s="364" t="s">
        <v>273</v>
      </c>
      <c r="L68" s="364" t="s">
        <v>274</v>
      </c>
      <c r="M68" s="17"/>
      <c r="N68" s="17"/>
      <c r="O68" s="17"/>
      <c r="P68" s="7"/>
      <c r="Q68" s="7"/>
      <c r="R68" s="7"/>
      <c r="S68" s="7"/>
      <c r="T68" s="7"/>
      <c r="U68" s="102"/>
      <c r="V68" s="257"/>
      <c r="W68" s="257"/>
      <c r="X68" s="257"/>
      <c r="Y68" s="257"/>
    </row>
    <row r="69" spans="2:25" x14ac:dyDescent="0.25">
      <c r="B69" s="7"/>
      <c r="C69" s="7"/>
      <c r="D69" s="7"/>
      <c r="E69" s="116"/>
      <c r="G69" s="7"/>
      <c r="H69" s="21" t="s">
        <v>275</v>
      </c>
      <c r="I69" s="639">
        <f>SUMPRODUCT($N64:$Q64,$I$62:$L$62)</f>
        <v>0</v>
      </c>
      <c r="J69" s="640">
        <f>SUMPRODUCT($N65:$Q65,$I$62:$L$62)</f>
        <v>7.2310941532748796</v>
      </c>
      <c r="K69" s="640">
        <f>SUMPRODUCT($N66:$Q66,$I$62:$L$62)</f>
        <v>6.6566751473755961</v>
      </c>
      <c r="L69" s="641">
        <f>SUMPRODUCT($N67:$Q67,$I$62:$L$62)</f>
        <v>4.3642870198513766</v>
      </c>
      <c r="M69" s="17"/>
      <c r="N69" s="17"/>
      <c r="O69" s="17"/>
      <c r="P69" s="7"/>
      <c r="Q69" s="7"/>
      <c r="R69" s="7"/>
      <c r="S69" s="7"/>
      <c r="T69" s="7"/>
      <c r="U69" s="102"/>
      <c r="V69" s="257"/>
      <c r="W69" s="257"/>
      <c r="X69" s="257"/>
      <c r="Y69" s="257"/>
    </row>
    <row r="70" spans="2:25" x14ac:dyDescent="0.25">
      <c r="B70" s="7"/>
      <c r="C70" s="7"/>
      <c r="D70" s="7"/>
      <c r="E70" s="116"/>
      <c r="G70" s="7"/>
      <c r="H70" s="21" t="s">
        <v>177</v>
      </c>
      <c r="I70" s="642">
        <f>$V$27</f>
        <v>5.4383831358769292</v>
      </c>
      <c r="J70" s="255">
        <f>$V$27</f>
        <v>5.4383831358769292</v>
      </c>
      <c r="K70" s="255">
        <f>$V$27</f>
        <v>5.4383831358769292</v>
      </c>
      <c r="L70" s="643">
        <f>$V$27</f>
        <v>5.4383831358769292</v>
      </c>
      <c r="M70" s="17"/>
      <c r="N70" s="17"/>
      <c r="O70" s="17"/>
      <c r="P70" s="7"/>
      <c r="Q70" s="7"/>
      <c r="R70" s="7"/>
      <c r="S70" s="7"/>
      <c r="T70" s="7"/>
      <c r="U70" s="102"/>
      <c r="V70" s="257"/>
      <c r="W70" s="257"/>
      <c r="X70" s="257"/>
      <c r="Y70" s="257"/>
    </row>
    <row r="71" spans="2:25" x14ac:dyDescent="0.25">
      <c r="B71" s="7"/>
      <c r="C71" s="7"/>
      <c r="D71" s="7"/>
      <c r="E71" s="116"/>
      <c r="G71" s="7"/>
      <c r="H71" s="21" t="s">
        <v>276</v>
      </c>
      <c r="I71" s="642">
        <f>SUMPRODUCT($I$62:$L$62,$M$26:$P$26)</f>
        <v>5.1889268740965369</v>
      </c>
      <c r="J71" s="255">
        <f>SUMPRODUCT($I$62:$L$62,$M$26:$P$26)</f>
        <v>5.1889268740965369</v>
      </c>
      <c r="K71" s="255">
        <f>SUMPRODUCT($I$62:$L$62,$M$26:$P$26)</f>
        <v>5.1889268740965369</v>
      </c>
      <c r="L71" s="643">
        <f>SUMPRODUCT($I$62:$L$62,$M$26:$P$26)</f>
        <v>5.1889268740965369</v>
      </c>
      <c r="M71" s="17"/>
      <c r="N71" s="17"/>
      <c r="O71" s="17"/>
      <c r="P71" s="7"/>
      <c r="Q71" s="7"/>
      <c r="R71" s="7"/>
      <c r="S71" s="7"/>
      <c r="T71" s="7"/>
      <c r="U71" s="102"/>
      <c r="V71" s="257"/>
      <c r="W71" s="257"/>
      <c r="X71" s="257"/>
      <c r="Y71" s="257"/>
    </row>
    <row r="72" spans="2:25" x14ac:dyDescent="0.25">
      <c r="B72" s="7"/>
      <c r="C72" s="7"/>
      <c r="D72" s="7"/>
      <c r="E72" s="116"/>
      <c r="G72" s="7"/>
      <c r="H72" s="21" t="s">
        <v>236</v>
      </c>
      <c r="I72" s="644">
        <f>(I69/I70)-1</f>
        <v>-1</v>
      </c>
      <c r="J72" s="19">
        <f>(J69/J70)-1</f>
        <v>0.32964044139727178</v>
      </c>
      <c r="K72" s="19">
        <f>(K69/K70)-1</f>
        <v>0.22401731931345803</v>
      </c>
      <c r="L72" s="645">
        <f>(L69/L70)-1</f>
        <v>-0.1975028403092377</v>
      </c>
      <c r="M72" s="17"/>
      <c r="N72" s="17"/>
      <c r="O72" s="17"/>
      <c r="P72" s="7"/>
      <c r="Q72" s="7"/>
      <c r="R72" s="7"/>
      <c r="S72" s="7"/>
      <c r="T72" s="7"/>
      <c r="U72" s="102"/>
      <c r="V72" s="7"/>
      <c r="W72" s="7"/>
      <c r="X72" s="7"/>
      <c r="Y72" s="7"/>
    </row>
    <row r="73" spans="2:25" ht="15.75" thickBot="1" x14ac:dyDescent="0.3">
      <c r="B73" s="7"/>
      <c r="C73" s="7"/>
      <c r="D73" s="7"/>
      <c r="E73" s="116"/>
      <c r="G73" s="7"/>
      <c r="H73" s="144" t="s">
        <v>277</v>
      </c>
      <c r="I73" s="646">
        <f>(I69/I71)-1</f>
        <v>-1</v>
      </c>
      <c r="J73" s="647">
        <f>(J69/J71)-1</f>
        <v>0.39356254746486719</v>
      </c>
      <c r="K73" s="647">
        <f>(K69/K71)-1</f>
        <v>0.28286162223756794</v>
      </c>
      <c r="L73" s="648">
        <f>(L69/L71)-1</f>
        <v>-0.15892300551811911</v>
      </c>
      <c r="M73" s="17"/>
      <c r="N73" s="17"/>
      <c r="O73" s="17"/>
      <c r="P73" s="7"/>
      <c r="Q73" s="7"/>
      <c r="R73" s="7"/>
      <c r="S73" s="7"/>
      <c r="T73" s="7"/>
      <c r="U73" s="102"/>
      <c r="V73" s="546"/>
      <c r="W73" s="54"/>
      <c r="X73" s="7"/>
      <c r="Y73" s="7"/>
    </row>
    <row r="74" spans="2:25" ht="15" customHeight="1" x14ac:dyDescent="0.25">
      <c r="B74" s="7"/>
      <c r="C74" s="7"/>
      <c r="D74" s="7"/>
      <c r="E74" s="116"/>
      <c r="G74" s="7"/>
      <c r="H74" s="7"/>
      <c r="I74" s="7"/>
      <c r="J74" s="17"/>
      <c r="K74" s="17"/>
      <c r="L74" s="17"/>
      <c r="M74" s="17"/>
      <c r="N74" s="17"/>
      <c r="O74" s="17"/>
      <c r="P74" s="7"/>
      <c r="Q74" s="7"/>
      <c r="R74" s="7"/>
      <c r="S74" s="7"/>
      <c r="T74" s="7"/>
      <c r="U74" s="102"/>
      <c r="V74" s="7"/>
      <c r="W74" s="7"/>
      <c r="X74" s="7"/>
      <c r="Y74" s="7"/>
    </row>
    <row r="75" spans="2:25" x14ac:dyDescent="0.25">
      <c r="B75" s="7"/>
      <c r="C75" s="7"/>
      <c r="D75" s="7"/>
      <c r="E75" s="116"/>
      <c r="G75" s="7"/>
      <c r="H75" s="774" t="s">
        <v>341</v>
      </c>
      <c r="I75" s="775">
        <f>M$26</f>
        <v>0.10000150634671325</v>
      </c>
      <c r="J75" s="775">
        <f t="shared" ref="J75:L75" si="10">N$26</f>
        <v>0.19999972881778538</v>
      </c>
      <c r="K75" s="775">
        <f t="shared" si="10"/>
        <v>0.29999914623744173</v>
      </c>
      <c r="L75" s="775">
        <f t="shared" si="10"/>
        <v>0.39999961859805949</v>
      </c>
      <c r="M75" s="145"/>
      <c r="O75" s="145"/>
      <c r="P75" s="8"/>
      <c r="Q75" s="8"/>
      <c r="R75" s="8"/>
      <c r="S75" s="8"/>
      <c r="T75" s="8"/>
      <c r="U75" s="615"/>
      <c r="V75" s="8"/>
      <c r="W75" s="8"/>
      <c r="X75" s="8"/>
      <c r="Y75" s="8"/>
    </row>
    <row r="76" spans="2:25" x14ac:dyDescent="0.25">
      <c r="B76" s="7"/>
      <c r="C76" s="7"/>
      <c r="D76" s="7"/>
      <c r="E76" s="116"/>
      <c r="G76" s="7"/>
      <c r="H76" s="776" t="s">
        <v>342</v>
      </c>
      <c r="I76" s="777">
        <f>M$27</f>
        <v>5.0672702701916809E-2</v>
      </c>
      <c r="J76" s="777">
        <f>N$27</f>
        <v>0.25023610390709966</v>
      </c>
      <c r="K76" s="777">
        <f t="shared" ref="K76:L76" si="11">O$27</f>
        <v>0.34934715113776654</v>
      </c>
      <c r="L76" s="777">
        <f t="shared" si="11"/>
        <v>0.34974404225321715</v>
      </c>
      <c r="M76" s="145"/>
      <c r="O76" s="145"/>
      <c r="P76" s="8"/>
      <c r="Q76" s="8"/>
      <c r="R76" s="8"/>
      <c r="S76" s="8"/>
      <c r="T76" s="8"/>
      <c r="U76" s="653"/>
      <c r="V76" s="8"/>
      <c r="W76" s="8"/>
      <c r="X76" s="8"/>
      <c r="Y76" s="8"/>
    </row>
    <row r="77" spans="2:25" x14ac:dyDescent="0.25">
      <c r="B77" s="7"/>
      <c r="C77" s="7"/>
      <c r="D77" s="7"/>
      <c r="E77" s="116"/>
      <c r="G77" s="7"/>
      <c r="I77" s="86"/>
      <c r="J77" s="145"/>
      <c r="K77" s="145"/>
      <c r="L77" s="145"/>
      <c r="M77" s="146"/>
      <c r="O77" s="146"/>
      <c r="P77" s="147"/>
      <c r="Q77" s="8"/>
      <c r="R77" s="8"/>
      <c r="S77" s="8"/>
      <c r="T77" s="8"/>
      <c r="U77" s="615"/>
      <c r="V77" s="8"/>
      <c r="W77" s="8"/>
      <c r="X77" s="8"/>
      <c r="Y77" s="8"/>
    </row>
    <row r="78" spans="2:25" x14ac:dyDescent="0.25">
      <c r="B78" s="7"/>
      <c r="C78" s="7"/>
      <c r="D78" s="7"/>
      <c r="E78" s="116"/>
      <c r="H78" s="21"/>
      <c r="I78" s="1217" t="s">
        <v>343</v>
      </c>
      <c r="J78" s="1217"/>
      <c r="K78" s="1217"/>
      <c r="L78" s="1217"/>
      <c r="O78" s="146"/>
      <c r="P78" s="147"/>
      <c r="Q78" s="8"/>
      <c r="R78" s="8"/>
      <c r="S78" s="8"/>
      <c r="T78" s="8"/>
      <c r="U78" s="615"/>
      <c r="V78" s="8"/>
      <c r="W78" s="8"/>
      <c r="X78" s="8"/>
      <c r="Y78" s="8"/>
    </row>
    <row r="79" spans="2:25" x14ac:dyDescent="0.25">
      <c r="B79" s="7"/>
      <c r="C79" s="7"/>
      <c r="D79" s="7"/>
      <c r="E79" s="116"/>
      <c r="H79" s="21"/>
      <c r="I79" s="1219" t="s">
        <v>731</v>
      </c>
      <c r="J79" s="1220"/>
      <c r="K79" s="1221" t="s">
        <v>725</v>
      </c>
      <c r="L79" s="1220"/>
      <c r="M79" s="17"/>
      <c r="O79" s="146"/>
      <c r="P79" s="147"/>
      <c r="Q79" s="8"/>
      <c r="R79" s="8"/>
      <c r="S79" s="8"/>
      <c r="T79" s="8"/>
      <c r="U79" s="615"/>
      <c r="V79" s="8"/>
      <c r="W79" s="8"/>
      <c r="X79" s="8"/>
      <c r="Y79" s="8"/>
    </row>
    <row r="80" spans="2:25" ht="15.75" thickBot="1" x14ac:dyDescent="0.3">
      <c r="B80" s="7"/>
      <c r="C80" s="7"/>
      <c r="D80" s="7"/>
      <c r="E80" s="116"/>
      <c r="G80" s="7"/>
      <c r="I80" s="778" t="s">
        <v>732</v>
      </c>
      <c r="J80" s="779" t="s">
        <v>733</v>
      </c>
      <c r="K80" s="145" t="s">
        <v>732</v>
      </c>
      <c r="L80" s="779" t="s">
        <v>733</v>
      </c>
      <c r="M80" s="7"/>
      <c r="O80" s="146"/>
      <c r="P80" s="147"/>
      <c r="Q80" s="8"/>
      <c r="R80" s="8"/>
      <c r="S80" s="7"/>
      <c r="T80" s="8"/>
      <c r="U80" s="615"/>
      <c r="V80" s="8"/>
      <c r="W80" s="8"/>
      <c r="X80" s="8"/>
      <c r="Y80" s="8"/>
    </row>
    <row r="81" spans="2:25" x14ac:dyDescent="0.25">
      <c r="B81" s="7"/>
      <c r="C81" s="7"/>
      <c r="D81" s="7"/>
      <c r="E81" s="116"/>
      <c r="G81" s="7"/>
      <c r="H81" s="780" t="s">
        <v>344</v>
      </c>
      <c r="I81" s="781">
        <f>I75/SUM(I75:J75)</f>
        <v>0.33333698206902307</v>
      </c>
      <c r="J81" s="782">
        <f>J75/SUM(I75:J75)</f>
        <v>0.66666301793097693</v>
      </c>
      <c r="K81" s="781">
        <f>K75/SUM(K75:L75)</f>
        <v>0.42857096513297577</v>
      </c>
      <c r="L81" s="782">
        <f>L75/SUM(K75:L75)</f>
        <v>0.57142903486702412</v>
      </c>
      <c r="M81" s="783"/>
      <c r="O81" s="146"/>
      <c r="P81" s="147"/>
      <c r="Q81" s="8"/>
      <c r="R81" s="8"/>
      <c r="S81" s="7"/>
      <c r="T81" s="8"/>
      <c r="U81" s="615"/>
      <c r="V81" s="8"/>
      <c r="W81" s="8"/>
      <c r="X81" s="8"/>
      <c r="Y81" s="8"/>
    </row>
    <row r="82" spans="2:25" ht="15.75" thickBot="1" x14ac:dyDescent="0.3">
      <c r="B82" s="7"/>
      <c r="C82" s="7"/>
      <c r="D82" s="7"/>
      <c r="E82" s="116"/>
      <c r="G82" s="7"/>
      <c r="H82" s="784" t="s">
        <v>345</v>
      </c>
      <c r="I82" s="785">
        <f>I76/SUM(I76:J76)</f>
        <v>0.16839886898942771</v>
      </c>
      <c r="J82" s="786">
        <f>J76/SUM(I76:J76)</f>
        <v>0.8316011310105722</v>
      </c>
      <c r="K82" s="785">
        <f>K76/SUM(K76:L76)</f>
        <v>0.49971613780919949</v>
      </c>
      <c r="L82" s="786">
        <f>L76/SUM(K76:L76)</f>
        <v>0.50028386219080045</v>
      </c>
      <c r="M82" s="787"/>
      <c r="O82" s="146"/>
      <c r="P82" s="147"/>
      <c r="Q82" s="8"/>
      <c r="R82" s="8"/>
      <c r="S82" s="8"/>
      <c r="T82" s="8"/>
      <c r="U82" s="615"/>
      <c r="V82" s="8"/>
      <c r="W82" s="8"/>
      <c r="X82" s="8"/>
      <c r="Y82" s="8"/>
    </row>
    <row r="83" spans="2:25" x14ac:dyDescent="0.25">
      <c r="B83" s="7"/>
      <c r="C83" s="7"/>
      <c r="D83" s="7"/>
      <c r="E83" s="116"/>
      <c r="O83" s="146"/>
      <c r="P83" s="147"/>
      <c r="Q83" s="8"/>
      <c r="R83" s="8"/>
      <c r="S83" s="8"/>
      <c r="T83" s="8"/>
      <c r="U83" s="615"/>
      <c r="V83" s="8"/>
      <c r="W83" s="8"/>
      <c r="X83" s="8"/>
      <c r="Y83" s="8"/>
    </row>
    <row r="84" spans="2:25" x14ac:dyDescent="0.25">
      <c r="B84" s="7"/>
      <c r="C84" s="7"/>
      <c r="D84" s="7"/>
      <c r="E84" s="116"/>
      <c r="G84" s="7"/>
      <c r="I84" s="1217" t="s">
        <v>279</v>
      </c>
      <c r="J84" s="1217"/>
      <c r="K84" s="1217"/>
      <c r="L84" s="1217"/>
      <c r="O84" s="146"/>
      <c r="P84" s="147"/>
      <c r="Q84" s="8"/>
      <c r="R84" s="8"/>
      <c r="S84" s="8"/>
      <c r="T84" s="8"/>
      <c r="U84" s="615"/>
      <c r="V84" s="8"/>
      <c r="W84" s="8"/>
      <c r="X84" s="8"/>
      <c r="Y84" s="8"/>
    </row>
    <row r="85" spans="2:25" x14ac:dyDescent="0.25">
      <c r="B85" s="7"/>
      <c r="C85" s="7"/>
      <c r="D85" s="7"/>
      <c r="E85" s="116"/>
      <c r="G85" s="7"/>
      <c r="H85" s="774" t="s">
        <v>346</v>
      </c>
      <c r="I85" s="788">
        <f>SUMPRODUCT($I$73:$J$73,I81:J81)</f>
        <v>-7.096338643149136E-2</v>
      </c>
      <c r="J85" s="142"/>
      <c r="K85" s="17"/>
      <c r="L85" s="789">
        <f>SUMPRODUCT($K$73:$L$73,K81:L81)</f>
        <v>3.041305878004813E-2</v>
      </c>
      <c r="M85" s="783"/>
      <c r="N85" s="656"/>
      <c r="O85" s="146"/>
      <c r="P85" s="147"/>
      <c r="Q85" s="8"/>
      <c r="R85" s="8"/>
      <c r="S85" s="8"/>
      <c r="T85" s="8"/>
      <c r="U85" s="615"/>
      <c r="V85" s="8"/>
      <c r="W85" s="8"/>
      <c r="X85" s="8"/>
      <c r="Y85" s="8"/>
    </row>
    <row r="86" spans="2:25" x14ac:dyDescent="0.25">
      <c r="B86" s="7"/>
      <c r="C86" s="7"/>
      <c r="D86" s="7"/>
      <c r="E86" s="116"/>
      <c r="G86" s="7"/>
      <c r="H86" s="776" t="s">
        <v>347</v>
      </c>
      <c r="I86" s="790">
        <f>SUMPRODUCT($I$73:$J$73,I82:J82)</f>
        <v>0.15888819060575785</v>
      </c>
      <c r="J86" s="142" t="s">
        <v>348</v>
      </c>
      <c r="K86" s="17"/>
      <c r="L86" s="791">
        <f>SUMPRODUCT($K$73:$L$73,K82:L82)</f>
        <v>6.1843902407427709E-2</v>
      </c>
      <c r="M86" s="787"/>
      <c r="O86" s="146"/>
      <c r="P86" s="147"/>
      <c r="Q86" s="8"/>
      <c r="R86" s="8"/>
      <c r="S86" s="8"/>
      <c r="T86" s="8"/>
      <c r="U86" s="615"/>
      <c r="V86" s="8"/>
      <c r="W86" s="8"/>
      <c r="X86" s="8"/>
      <c r="Y86" s="8"/>
    </row>
    <row r="87" spans="2:25" x14ac:dyDescent="0.25">
      <c r="B87" s="17"/>
      <c r="C87" s="17"/>
      <c r="D87" s="17"/>
      <c r="E87" s="657"/>
      <c r="F87" s="7"/>
      <c r="G87" s="7"/>
      <c r="M87" s="149"/>
      <c r="N87" s="149"/>
      <c r="O87" s="147"/>
      <c r="P87" s="8"/>
      <c r="Q87" s="8"/>
      <c r="R87" s="8"/>
      <c r="S87" s="8"/>
      <c r="T87" s="8"/>
      <c r="U87" s="615"/>
      <c r="V87" s="8"/>
      <c r="W87" s="8"/>
      <c r="X87" s="8"/>
      <c r="Y87" s="8"/>
    </row>
    <row r="88" spans="2:25" ht="15.75" thickBot="1" x14ac:dyDescent="0.3">
      <c r="B88" s="7"/>
      <c r="C88" s="7"/>
      <c r="D88" s="7"/>
      <c r="E88" s="116"/>
      <c r="F88" s="7"/>
      <c r="G88" s="7"/>
      <c r="I88" s="1218" t="s">
        <v>281</v>
      </c>
      <c r="J88" s="1218"/>
      <c r="K88" s="1218"/>
      <c r="L88" s="1218"/>
      <c r="M88" s="149"/>
      <c r="N88" s="149"/>
      <c r="O88" s="147"/>
      <c r="P88" s="8"/>
      <c r="Q88" s="8"/>
      <c r="R88" s="8"/>
      <c r="S88" s="8"/>
      <c r="T88" s="8"/>
      <c r="U88" s="615"/>
      <c r="V88" s="8"/>
      <c r="W88" s="8"/>
      <c r="X88" s="8"/>
      <c r="Y88" s="8"/>
    </row>
    <row r="89" spans="2:25" ht="15.75" customHeight="1" x14ac:dyDescent="0.35">
      <c r="B89" s="7"/>
      <c r="C89" s="7"/>
      <c r="D89" s="7"/>
      <c r="E89" s="116"/>
      <c r="F89" s="568"/>
      <c r="G89" s="7"/>
      <c r="J89" s="792" t="s">
        <v>26</v>
      </c>
      <c r="K89" s="793">
        <f>SUMPRODUCT(I75:L75,I73:L73)</f>
        <v>1.8041124150158794E-16</v>
      </c>
      <c r="L89" s="191" t="s">
        <v>349</v>
      </c>
      <c r="M89" s="17"/>
      <c r="N89" s="17"/>
      <c r="O89" s="7"/>
      <c r="P89" s="7"/>
      <c r="Q89" s="7"/>
      <c r="R89" s="7"/>
      <c r="S89" s="7"/>
      <c r="T89" s="7"/>
      <c r="U89" s="102"/>
      <c r="V89" s="8"/>
      <c r="W89" s="8"/>
      <c r="X89" s="8"/>
      <c r="Y89" s="8"/>
    </row>
    <row r="90" spans="2:25" ht="15.75" thickBot="1" x14ac:dyDescent="0.3">
      <c r="B90" s="7"/>
      <c r="C90" s="7"/>
      <c r="D90" s="7"/>
      <c r="E90" s="116"/>
      <c r="F90" s="7"/>
      <c r="G90" s="7"/>
      <c r="H90" s="7"/>
      <c r="J90" s="794" t="s">
        <v>27</v>
      </c>
      <c r="K90" s="795">
        <f>SUMPRODUCT(I73:L73,I82:L82)</f>
        <v>0.22073209301318553</v>
      </c>
      <c r="L90" s="796" t="s">
        <v>350</v>
      </c>
      <c r="M90" s="17"/>
      <c r="N90" s="17"/>
      <c r="O90" s="7"/>
      <c r="P90" s="7"/>
      <c r="Q90" s="7"/>
      <c r="R90" s="7"/>
      <c r="S90" s="7"/>
      <c r="T90" s="7"/>
      <c r="U90" s="102"/>
      <c r="V90" s="617"/>
      <c r="W90" s="617"/>
      <c r="X90" s="617"/>
      <c r="Y90" s="8"/>
    </row>
    <row r="91" spans="2:25" x14ac:dyDescent="0.25">
      <c r="B91" s="7"/>
      <c r="C91" s="7"/>
      <c r="D91" s="7"/>
      <c r="E91" s="116"/>
      <c r="F91" s="7"/>
      <c r="G91" s="7"/>
      <c r="H91" s="7"/>
      <c r="I91" s="142"/>
      <c r="J91" s="797"/>
      <c r="K91" s="798"/>
      <c r="L91" s="796"/>
      <c r="M91" s="17"/>
      <c r="N91" s="17"/>
      <c r="O91" s="7"/>
      <c r="P91" s="7"/>
      <c r="Q91" s="7"/>
      <c r="R91" s="7"/>
      <c r="S91" s="7"/>
      <c r="T91" s="7"/>
      <c r="U91" s="102"/>
      <c r="V91" s="617"/>
      <c r="W91" s="617"/>
      <c r="X91" s="617"/>
      <c r="Y91" s="8"/>
    </row>
    <row r="92" spans="2:25" x14ac:dyDescent="0.25">
      <c r="B92" s="7"/>
      <c r="C92" s="7"/>
      <c r="D92" s="7"/>
      <c r="E92" s="116"/>
      <c r="F92" s="7"/>
      <c r="G92" s="7"/>
      <c r="H92" s="7"/>
      <c r="I92" s="142" t="s">
        <v>730</v>
      </c>
      <c r="J92" s="797"/>
      <c r="K92" s="798"/>
      <c r="L92" s="796"/>
      <c r="M92" s="17"/>
      <c r="N92" s="17"/>
      <c r="O92" s="7"/>
      <c r="P92" s="7"/>
      <c r="Q92" s="7"/>
      <c r="R92" s="7"/>
      <c r="S92" s="7"/>
      <c r="T92" s="7"/>
      <c r="U92" s="102"/>
      <c r="V92" s="617"/>
      <c r="W92" s="617"/>
      <c r="X92" s="617"/>
      <c r="Y92" s="8"/>
    </row>
    <row r="93" spans="2:25" ht="15.75" thickBot="1" x14ac:dyDescent="0.3">
      <c r="B93" s="7"/>
      <c r="C93" s="7"/>
      <c r="D93" s="7"/>
      <c r="E93" s="121"/>
      <c r="F93" s="168"/>
      <c r="G93" s="168"/>
      <c r="H93" s="168"/>
      <c r="I93" s="254" t="s">
        <v>351</v>
      </c>
      <c r="J93" s="254"/>
      <c r="K93" s="254"/>
      <c r="L93" s="254"/>
      <c r="M93" s="254"/>
      <c r="N93" s="254"/>
      <c r="O93" s="168"/>
      <c r="P93" s="168"/>
      <c r="Q93" s="168"/>
      <c r="R93" s="168"/>
      <c r="S93" s="168"/>
      <c r="T93" s="168"/>
      <c r="U93" s="104"/>
      <c r="V93" s="617"/>
      <c r="W93" s="617"/>
      <c r="X93" s="617"/>
      <c r="Y93" s="8"/>
    </row>
    <row r="94" spans="2:25" x14ac:dyDescent="0.25">
      <c r="B94" s="7"/>
      <c r="C94" s="7"/>
      <c r="D94" s="7"/>
      <c r="E94" s="7"/>
      <c r="F94" s="7"/>
      <c r="V94" s="617"/>
      <c r="W94" s="617"/>
      <c r="X94" s="617"/>
      <c r="Y94" s="8"/>
    </row>
    <row r="95" spans="2:25" ht="15.75" thickBot="1" x14ac:dyDescent="0.3">
      <c r="J95" s="565"/>
      <c r="K95" s="565"/>
      <c r="L95" s="565"/>
      <c r="M95" s="565"/>
      <c r="N95" s="565"/>
      <c r="O95" s="565"/>
      <c r="P95" s="565"/>
      <c r="Q95" s="565"/>
      <c r="R95" s="630"/>
      <c r="S95" s="8"/>
      <c r="T95" s="8"/>
      <c r="U95" s="8"/>
      <c r="V95" s="8"/>
      <c r="W95" s="8"/>
      <c r="X95" s="8"/>
      <c r="Y95" s="8"/>
    </row>
    <row r="96" spans="2:25" ht="21" x14ac:dyDescent="0.35">
      <c r="E96" s="9"/>
      <c r="F96" s="609" t="s">
        <v>734</v>
      </c>
      <c r="G96" s="10"/>
      <c r="H96" s="10"/>
      <c r="I96" s="253"/>
      <c r="J96" s="253"/>
      <c r="K96" s="253"/>
      <c r="L96" s="253"/>
      <c r="M96" s="253"/>
      <c r="N96" s="253"/>
      <c r="O96" s="10"/>
      <c r="P96" s="10"/>
      <c r="Q96" s="10"/>
      <c r="R96" s="613"/>
      <c r="S96" s="613"/>
      <c r="T96" s="613"/>
      <c r="U96" s="614"/>
      <c r="V96" s="8"/>
      <c r="W96" s="8"/>
      <c r="X96" s="8"/>
      <c r="Y96" s="8"/>
    </row>
    <row r="97" spans="5:25" x14ac:dyDescent="0.25">
      <c r="E97" s="116"/>
      <c r="F97" s="7" t="s">
        <v>359</v>
      </c>
      <c r="G97" s="7"/>
      <c r="H97" s="7"/>
      <c r="I97" s="17"/>
      <c r="J97" s="17"/>
      <c r="K97" s="17"/>
      <c r="L97" s="17"/>
      <c r="M97" s="17"/>
      <c r="N97" s="17"/>
      <c r="O97" s="7"/>
      <c r="P97" s="7"/>
      <c r="Q97" s="7"/>
      <c r="R97" s="8"/>
      <c r="S97" s="8"/>
      <c r="T97" s="8"/>
      <c r="U97" s="615"/>
      <c r="V97" s="8"/>
      <c r="W97" s="8"/>
      <c r="X97" s="8"/>
      <c r="Y97" s="8"/>
    </row>
    <row r="98" spans="5:25" x14ac:dyDescent="0.25">
      <c r="E98" s="116"/>
      <c r="F98" s="7"/>
      <c r="G98" s="7"/>
      <c r="H98" s="7"/>
      <c r="I98" s="17"/>
      <c r="J98" s="17"/>
      <c r="K98" s="17"/>
      <c r="L98" s="17"/>
      <c r="M98" s="17"/>
      <c r="N98" s="17"/>
      <c r="O98" s="17"/>
      <c r="P98" s="17"/>
      <c r="Q98" s="17"/>
      <c r="R98" s="142"/>
      <c r="S98" s="142"/>
      <c r="T98" s="142"/>
      <c r="U98" s="659"/>
      <c r="V98" s="142"/>
      <c r="W98" s="142"/>
      <c r="X98" s="8"/>
      <c r="Y98" s="8"/>
    </row>
    <row r="99" spans="5:25" x14ac:dyDescent="0.25">
      <c r="E99" s="116"/>
      <c r="F99" s="7"/>
      <c r="G99" s="7"/>
      <c r="H99" s="608" t="s">
        <v>282</v>
      </c>
      <c r="I99" s="142"/>
      <c r="J99" s="142"/>
      <c r="K99" s="142"/>
      <c r="L99" s="142"/>
      <c r="M99" s="149"/>
      <c r="N99" s="149"/>
      <c r="O99" s="147"/>
      <c r="P99" s="8"/>
      <c r="Q99" s="8"/>
      <c r="R99" s="142"/>
      <c r="S99" s="142"/>
      <c r="T99" s="142"/>
      <c r="U99" s="659"/>
      <c r="V99" s="142"/>
      <c r="W99" s="142"/>
      <c r="X99" s="8"/>
      <c r="Y99" s="8"/>
    </row>
    <row r="100" spans="5:25" x14ac:dyDescent="0.25">
      <c r="E100" s="116"/>
      <c r="F100" s="7"/>
      <c r="G100" s="7"/>
      <c r="H100" s="7" t="s">
        <v>735</v>
      </c>
      <c r="I100" s="142"/>
      <c r="J100" s="142"/>
      <c r="K100" s="142"/>
      <c r="L100" s="142"/>
      <c r="M100" s="149"/>
      <c r="N100" s="149"/>
      <c r="O100" s="147"/>
      <c r="P100" s="8"/>
      <c r="Q100" s="8"/>
      <c r="R100" s="142"/>
      <c r="S100" s="142"/>
      <c r="T100" s="142"/>
      <c r="U100" s="659"/>
      <c r="V100" s="142"/>
      <c r="W100" s="142"/>
      <c r="X100" s="8"/>
      <c r="Y100" s="8"/>
    </row>
    <row r="101" spans="5:25" x14ac:dyDescent="0.25">
      <c r="E101" s="116"/>
      <c r="F101" s="7"/>
      <c r="G101" s="7"/>
      <c r="H101" s="7"/>
      <c r="I101" s="17"/>
      <c r="J101" s="17"/>
      <c r="K101" s="17"/>
      <c r="L101" s="17"/>
      <c r="M101" s="548"/>
      <c r="N101" s="548"/>
      <c r="O101" s="616"/>
      <c r="P101" s="7"/>
      <c r="Q101" s="7"/>
      <c r="R101" s="8"/>
      <c r="S101" s="8"/>
      <c r="T101" s="8"/>
      <c r="U101" s="615"/>
      <c r="V101" s="8"/>
      <c r="W101" s="8"/>
      <c r="X101" s="8"/>
      <c r="Y101" s="8"/>
    </row>
    <row r="102" spans="5:25" ht="15.75" thickBot="1" x14ac:dyDescent="0.3">
      <c r="E102" s="116"/>
      <c r="F102" s="7"/>
      <c r="G102" s="7"/>
      <c r="H102" s="660">
        <v>7</v>
      </c>
      <c r="I102" s="17"/>
      <c r="J102" s="256">
        <v>0</v>
      </c>
      <c r="K102" s="256">
        <v>1</v>
      </c>
      <c r="L102" s="616"/>
      <c r="M102" s="7"/>
      <c r="N102" s="7" t="s">
        <v>54</v>
      </c>
      <c r="O102" s="7"/>
      <c r="P102" s="7"/>
      <c r="Q102" s="7"/>
      <c r="R102" s="8"/>
      <c r="S102" s="8"/>
      <c r="T102" s="8"/>
      <c r="U102" s="615"/>
      <c r="V102" s="8"/>
      <c r="W102" s="8"/>
      <c r="X102" s="8"/>
      <c r="Y102" s="8"/>
    </row>
    <row r="103" spans="5:25" x14ac:dyDescent="0.25">
      <c r="E103" s="116"/>
      <c r="F103" s="7"/>
      <c r="G103" s="7"/>
      <c r="H103" s="21" t="s">
        <v>724</v>
      </c>
      <c r="I103" s="18">
        <v>0</v>
      </c>
      <c r="J103" s="87">
        <f>M29</f>
        <v>0.10000150634671325</v>
      </c>
      <c r="K103" s="88">
        <f>N29</f>
        <v>0.19999972881778538</v>
      </c>
      <c r="L103" s="89">
        <f>SUM(J103:K103)</f>
        <v>0.30000123516449861</v>
      </c>
      <c r="M103" s="7"/>
      <c r="N103" s="622">
        <f>K103/SUM(J103:K103)</f>
        <v>0.66666301793097693</v>
      </c>
      <c r="O103" s="623" t="s">
        <v>283</v>
      </c>
      <c r="P103" s="7"/>
      <c r="Q103" s="7"/>
      <c r="R103" s="8"/>
      <c r="S103" s="8"/>
      <c r="T103" s="8"/>
      <c r="U103" s="615"/>
      <c r="V103" s="8"/>
      <c r="W103" s="8"/>
      <c r="X103" s="8"/>
      <c r="Y103" s="8"/>
    </row>
    <row r="104" spans="5:25" ht="15.75" thickBot="1" x14ac:dyDescent="0.3">
      <c r="E104" s="116"/>
      <c r="F104" s="7"/>
      <c r="G104" s="7"/>
      <c r="H104" s="21" t="s">
        <v>725</v>
      </c>
      <c r="I104" s="18">
        <v>1</v>
      </c>
      <c r="J104" s="90">
        <f>O29</f>
        <v>0.29999914623744173</v>
      </c>
      <c r="K104" s="91">
        <f>P29</f>
        <v>0.39999961859805949</v>
      </c>
      <c r="L104" s="661">
        <f>SUM(J104:K104)</f>
        <v>0.69999876483550127</v>
      </c>
      <c r="M104" s="7"/>
      <c r="N104" s="626">
        <f>K104/SUM(J104:K104)</f>
        <v>0.57142903486702412</v>
      </c>
      <c r="O104" s="7"/>
      <c r="P104" s="7"/>
      <c r="Q104" s="7"/>
      <c r="R104" s="8"/>
      <c r="S104" s="8"/>
      <c r="T104" s="8"/>
      <c r="U104" s="615"/>
      <c r="V104" s="8"/>
      <c r="W104" s="8"/>
      <c r="X104" s="8"/>
      <c r="Y104" s="8"/>
    </row>
    <row r="105" spans="5:25" ht="15.75" thickBot="1" x14ac:dyDescent="0.3">
      <c r="E105" s="116"/>
      <c r="F105" s="7"/>
      <c r="G105" s="7"/>
      <c r="H105" s="17"/>
      <c r="I105" s="17"/>
      <c r="J105" s="118">
        <f>SUM(J103:J104)</f>
        <v>0.40000065258415496</v>
      </c>
      <c r="K105" s="149">
        <f>SUM(K103:K104)</f>
        <v>0.59999934741584493</v>
      </c>
      <c r="L105" s="94">
        <f>SUM(J103:K104)</f>
        <v>0.99999999999999978</v>
      </c>
      <c r="M105" s="7"/>
      <c r="N105" s="8"/>
      <c r="O105" s="7"/>
      <c r="P105" s="7"/>
      <c r="Q105" s="7" t="s">
        <v>284</v>
      </c>
      <c r="R105" s="7"/>
      <c r="S105" s="662"/>
      <c r="T105" s="8"/>
      <c r="U105" s="615"/>
      <c r="V105" s="8"/>
      <c r="W105" s="8"/>
      <c r="X105" s="8"/>
      <c r="Y105" s="8"/>
    </row>
    <row r="106" spans="5:25" x14ac:dyDescent="0.25">
      <c r="E106" s="116"/>
      <c r="F106" s="7"/>
      <c r="G106" s="7"/>
      <c r="H106" s="17"/>
      <c r="I106" s="17"/>
      <c r="J106" s="17"/>
      <c r="K106" s="17"/>
      <c r="L106" s="7"/>
      <c r="M106" s="7"/>
      <c r="N106" s="8"/>
      <c r="O106" s="7"/>
      <c r="P106" s="7"/>
      <c r="Q106" s="631">
        <f>MIN($V$30)</f>
        <v>1.0682434104463567</v>
      </c>
      <c r="R106" s="11">
        <f>COUNT($I$30:$L$30)</f>
        <v>4</v>
      </c>
      <c r="S106" s="8"/>
      <c r="T106" s="8"/>
      <c r="U106" s="615"/>
      <c r="V106" s="8"/>
      <c r="W106" s="8"/>
      <c r="X106" s="8"/>
      <c r="Y106" s="8"/>
    </row>
    <row r="107" spans="5:25" x14ac:dyDescent="0.25">
      <c r="E107" s="116"/>
      <c r="F107" s="7"/>
      <c r="G107" s="7"/>
      <c r="H107" s="564"/>
      <c r="I107" s="564"/>
      <c r="J107" s="564"/>
      <c r="K107" s="564"/>
      <c r="L107" s="564"/>
      <c r="M107" s="564"/>
      <c r="N107" s="8"/>
      <c r="O107" s="7"/>
      <c r="P107" s="564"/>
      <c r="Q107" s="116" t="b">
        <f t="array" ref="Q107">$I$29:$L$29&lt;=$I$30:$L$30</f>
        <v>1</v>
      </c>
      <c r="R107" s="102" t="b">
        <f>$L$104=$L$112</f>
        <v>0</v>
      </c>
      <c r="S107" s="8"/>
      <c r="T107" s="8"/>
      <c r="U107" s="615"/>
      <c r="V107" s="8"/>
      <c r="W107" s="8"/>
      <c r="X107" s="8"/>
      <c r="Y107" s="8"/>
    </row>
    <row r="108" spans="5:25" x14ac:dyDescent="0.25">
      <c r="E108" s="116"/>
      <c r="F108" s="7"/>
      <c r="G108" s="7"/>
      <c r="H108" s="564"/>
      <c r="I108" s="564"/>
      <c r="J108" s="564"/>
      <c r="K108" s="564"/>
      <c r="L108" s="564"/>
      <c r="M108" s="564"/>
      <c r="N108" s="630"/>
      <c r="O108" s="564"/>
      <c r="P108" s="564"/>
      <c r="Q108" s="116" t="b">
        <f>$N$103=$N$111</f>
        <v>0</v>
      </c>
      <c r="R108" s="102" t="b">
        <f>$P$30=$E$30</f>
        <v>0</v>
      </c>
      <c r="S108" s="7"/>
      <c r="T108" s="7"/>
      <c r="U108" s="102"/>
    </row>
    <row r="109" spans="5:25" ht="15.75" thickBot="1" x14ac:dyDescent="0.3">
      <c r="E109" s="116"/>
      <c r="F109" s="7"/>
      <c r="G109" s="7"/>
      <c r="H109" s="17"/>
      <c r="I109" s="17"/>
      <c r="J109" s="17"/>
      <c r="K109" s="17"/>
      <c r="L109" s="7"/>
      <c r="M109" s="7"/>
      <c r="N109" s="630"/>
      <c r="O109" s="564"/>
      <c r="P109" s="7"/>
      <c r="Q109" s="121">
        <f>{32767,32767,0.000001,0.01,FALSE,FALSE,TRUE,1,1,1,0.0001,FALSE}</f>
        <v>32767</v>
      </c>
      <c r="R109" s="104">
        <f>{0,0,1,100,0,FALSE,TRUE,0.075,0,0,FALSE,30}</f>
        <v>0</v>
      </c>
      <c r="S109" s="7"/>
      <c r="T109" s="7"/>
      <c r="U109" s="102"/>
    </row>
    <row r="110" spans="5:25" ht="15.75" thickBot="1" x14ac:dyDescent="0.3">
      <c r="E110" s="116"/>
      <c r="F110" s="7"/>
      <c r="G110" s="7"/>
      <c r="H110" s="663">
        <v>8</v>
      </c>
      <c r="I110" s="17"/>
      <c r="J110" s="256">
        <v>0</v>
      </c>
      <c r="K110" s="256">
        <v>1</v>
      </c>
      <c r="L110" s="616"/>
      <c r="M110" s="7"/>
      <c r="N110" s="8" t="s">
        <v>54</v>
      </c>
      <c r="O110" s="7"/>
      <c r="P110" s="7"/>
      <c r="Q110" s="7"/>
      <c r="R110" s="7"/>
      <c r="S110" s="7"/>
      <c r="T110" s="7"/>
      <c r="U110" s="102"/>
    </row>
    <row r="111" spans="5:25" x14ac:dyDescent="0.25">
      <c r="E111" s="116"/>
      <c r="F111" s="7"/>
      <c r="G111" s="7"/>
      <c r="H111" s="21" t="s">
        <v>724</v>
      </c>
      <c r="I111" s="18">
        <v>0</v>
      </c>
      <c r="J111" s="87">
        <f>M30</f>
        <v>0.10000150127410369</v>
      </c>
      <c r="K111" s="88">
        <f>N30</f>
        <v>0.19999971867295302</v>
      </c>
      <c r="L111" s="89">
        <f>SUM(J111:K111)</f>
        <v>0.3000012199470567</v>
      </c>
      <c r="M111" s="7"/>
      <c r="N111" s="622">
        <f>K111/SUM(J111:K111)</f>
        <v>0.66666301793122162</v>
      </c>
      <c r="O111" s="7"/>
      <c r="P111" s="7"/>
      <c r="Q111" s="7"/>
      <c r="R111" s="7"/>
      <c r="S111" s="7"/>
      <c r="T111" s="7"/>
      <c r="U111" s="102"/>
    </row>
    <row r="112" spans="5:25" ht="15.75" thickBot="1" x14ac:dyDescent="0.3">
      <c r="E112" s="116"/>
      <c r="F112" s="7"/>
      <c r="G112" s="7"/>
      <c r="H112" s="21" t="s">
        <v>725</v>
      </c>
      <c r="I112" s="18">
        <v>1</v>
      </c>
      <c r="J112" s="90">
        <f>O30</f>
        <v>0.34999877556824549</v>
      </c>
      <c r="K112" s="91">
        <f>P30</f>
        <v>0.35000000448469776</v>
      </c>
      <c r="L112" s="661">
        <f>SUM(J112:K112)</f>
        <v>0.69999878005294325</v>
      </c>
      <c r="M112" s="623" t="s">
        <v>736</v>
      </c>
      <c r="N112" s="626"/>
      <c r="O112" s="7"/>
      <c r="P112" s="7"/>
      <c r="Q112" s="7"/>
      <c r="R112" s="7"/>
      <c r="S112" s="7"/>
      <c r="T112" s="7"/>
      <c r="U112" s="102"/>
    </row>
    <row r="113" spans="5:21" ht="15.75" thickBot="1" x14ac:dyDescent="0.3">
      <c r="E113" s="116"/>
      <c r="F113" s="7"/>
      <c r="G113" s="7"/>
      <c r="H113" s="17"/>
      <c r="I113" s="17"/>
      <c r="J113" s="118">
        <f>SUM(J111:J112)</f>
        <v>0.45000027684234917</v>
      </c>
      <c r="K113" s="548">
        <f>SUM(K111:K112)</f>
        <v>0.54999972315765078</v>
      </c>
      <c r="L113" s="94">
        <f>SUM(J111:K112)</f>
        <v>1</v>
      </c>
      <c r="M113" s="7"/>
      <c r="N113" s="7"/>
      <c r="O113" s="7"/>
      <c r="P113" s="7"/>
      <c r="Q113" s="7"/>
      <c r="R113" s="7"/>
      <c r="S113" s="7"/>
      <c r="T113" s="7"/>
      <c r="U113" s="102"/>
    </row>
    <row r="114" spans="5:21" x14ac:dyDescent="0.25">
      <c r="E114" s="116"/>
      <c r="F114" s="7"/>
      <c r="G114" s="7"/>
      <c r="H114" s="17"/>
      <c r="I114" s="17"/>
      <c r="J114" s="17"/>
      <c r="K114" s="17"/>
      <c r="L114" s="7"/>
      <c r="M114" s="7"/>
      <c r="N114" s="7"/>
      <c r="O114" s="7"/>
      <c r="P114" s="7"/>
      <c r="Q114" s="7"/>
      <c r="R114" s="7"/>
      <c r="S114" s="7"/>
      <c r="T114" s="7"/>
      <c r="U114" s="102"/>
    </row>
    <row r="115" spans="5:21" x14ac:dyDescent="0.25">
      <c r="E115" s="116"/>
      <c r="F115" s="7"/>
      <c r="G115" s="7"/>
      <c r="H115" s="564"/>
      <c r="I115" s="564"/>
      <c r="J115" s="564"/>
      <c r="K115" s="564"/>
      <c r="L115" s="564"/>
      <c r="M115" s="564"/>
      <c r="N115" s="564"/>
      <c r="O115" s="564"/>
      <c r="P115" s="564"/>
      <c r="Q115" s="564"/>
      <c r="R115" s="7"/>
      <c r="S115" s="7"/>
      <c r="T115" s="7"/>
      <c r="U115" s="102"/>
    </row>
    <row r="116" spans="5:21" x14ac:dyDescent="0.25">
      <c r="E116" s="116"/>
      <c r="F116" s="7"/>
      <c r="G116" s="7"/>
      <c r="H116" s="7"/>
      <c r="I116" s="17"/>
      <c r="J116" s="17"/>
      <c r="K116" s="17"/>
      <c r="L116" s="17"/>
      <c r="M116" s="17"/>
      <c r="N116" s="17"/>
      <c r="O116" s="7"/>
      <c r="P116" s="7"/>
      <c r="Q116" s="7"/>
      <c r="R116" s="7"/>
      <c r="S116" s="7"/>
      <c r="T116" s="7"/>
      <c r="U116" s="102"/>
    </row>
    <row r="117" spans="5:21" x14ac:dyDescent="0.25">
      <c r="E117" s="116"/>
      <c r="F117" s="7"/>
      <c r="G117" s="7"/>
      <c r="H117" s="21" t="s">
        <v>340</v>
      </c>
      <c r="I117" s="635">
        <f>I30-I29</f>
        <v>1.068243004643695</v>
      </c>
      <c r="J117" s="635">
        <f t="shared" ref="J117:L117" si="12">J30-J29</f>
        <v>1.0682430046525013</v>
      </c>
      <c r="K117" s="635">
        <f t="shared" si="12"/>
        <v>2.3014436290378857</v>
      </c>
      <c r="L117" s="635">
        <f t="shared" si="12"/>
        <v>0</v>
      </c>
      <c r="M117" s="17"/>
      <c r="N117" s="17"/>
      <c r="O117" s="7"/>
      <c r="P117" s="7"/>
      <c r="Q117" s="7"/>
      <c r="R117" s="7"/>
      <c r="S117" s="7"/>
      <c r="T117" s="7"/>
      <c r="U117" s="102"/>
    </row>
    <row r="118" spans="5:21" hidden="1" x14ac:dyDescent="0.25">
      <c r="E118" s="116"/>
      <c r="F118" s="7"/>
      <c r="G118" s="7"/>
      <c r="H118" s="7"/>
      <c r="I118" s="17"/>
      <c r="J118" s="636" t="s">
        <v>271</v>
      </c>
      <c r="K118" s="276">
        <v>1</v>
      </c>
      <c r="L118" s="276">
        <v>0</v>
      </c>
      <c r="M118" s="276">
        <v>0</v>
      </c>
      <c r="N118" s="167">
        <v>0</v>
      </c>
      <c r="O118" s="7"/>
      <c r="P118" s="7"/>
      <c r="Q118" s="7"/>
      <c r="R118" s="7"/>
      <c r="S118" s="7"/>
      <c r="T118" s="7"/>
      <c r="U118" s="102"/>
    </row>
    <row r="119" spans="5:21" hidden="1" x14ac:dyDescent="0.25">
      <c r="E119" s="116"/>
      <c r="F119" s="7"/>
      <c r="G119" s="7"/>
      <c r="H119" s="7"/>
      <c r="I119" s="17"/>
      <c r="J119" s="637" t="s">
        <v>272</v>
      </c>
      <c r="K119" s="18">
        <v>0</v>
      </c>
      <c r="L119" s="18">
        <v>1</v>
      </c>
      <c r="M119" s="18">
        <v>0</v>
      </c>
      <c r="N119" s="183">
        <v>0</v>
      </c>
      <c r="O119" s="7"/>
      <c r="P119" s="7"/>
      <c r="Q119" s="7"/>
      <c r="R119" s="7"/>
      <c r="S119" s="7"/>
      <c r="T119" s="7"/>
      <c r="U119" s="102"/>
    </row>
    <row r="120" spans="5:21" hidden="1" x14ac:dyDescent="0.25">
      <c r="E120" s="116"/>
      <c r="F120" s="7"/>
      <c r="G120" s="7"/>
      <c r="H120" s="7"/>
      <c r="I120" s="17"/>
      <c r="J120" s="637" t="s">
        <v>273</v>
      </c>
      <c r="K120" s="18">
        <v>0</v>
      </c>
      <c r="L120" s="18">
        <v>0</v>
      </c>
      <c r="M120" s="18">
        <v>1</v>
      </c>
      <c r="N120" s="183">
        <v>0</v>
      </c>
      <c r="O120" s="7"/>
      <c r="P120" s="7"/>
      <c r="Q120" s="7"/>
      <c r="R120" s="7"/>
      <c r="S120" s="7"/>
      <c r="T120" s="7"/>
      <c r="U120" s="102"/>
    </row>
    <row r="121" spans="5:21" ht="15.75" hidden="1" thickBot="1" x14ac:dyDescent="0.3">
      <c r="E121" s="116"/>
      <c r="F121" s="7"/>
      <c r="G121" s="7"/>
      <c r="H121" s="7"/>
      <c r="I121" s="17"/>
      <c r="J121" s="638" t="s">
        <v>274</v>
      </c>
      <c r="K121" s="566">
        <v>0</v>
      </c>
      <c r="L121" s="566">
        <v>0</v>
      </c>
      <c r="M121" s="566">
        <v>0</v>
      </c>
      <c r="N121" s="567">
        <v>1</v>
      </c>
      <c r="O121" s="7"/>
      <c r="P121" s="7"/>
      <c r="Q121" s="7"/>
      <c r="R121" s="7"/>
      <c r="S121" s="7"/>
      <c r="T121" s="7"/>
      <c r="U121" s="102"/>
    </row>
    <row r="122" spans="5:21" hidden="1" x14ac:dyDescent="0.25">
      <c r="E122" s="116"/>
      <c r="F122" s="7"/>
      <c r="G122" s="7"/>
      <c r="H122" s="7"/>
      <c r="I122" s="17"/>
      <c r="J122" s="17"/>
      <c r="K122" s="17"/>
      <c r="L122" s="17"/>
      <c r="M122" s="17"/>
      <c r="N122" s="17"/>
      <c r="O122" s="7"/>
      <c r="P122" s="7"/>
      <c r="Q122" s="7"/>
      <c r="R122" s="7"/>
      <c r="S122" s="7"/>
      <c r="T122" s="7"/>
      <c r="U122" s="102"/>
    </row>
    <row r="123" spans="5:21" ht="15.75" hidden="1" thickBot="1" x14ac:dyDescent="0.3">
      <c r="E123" s="116"/>
      <c r="F123" s="7"/>
      <c r="G123" s="7"/>
      <c r="H123" s="7"/>
      <c r="I123" s="364" t="s">
        <v>271</v>
      </c>
      <c r="J123" s="364" t="s">
        <v>272</v>
      </c>
      <c r="K123" s="364" t="s">
        <v>273</v>
      </c>
      <c r="L123" s="364" t="s">
        <v>274</v>
      </c>
      <c r="M123" s="17"/>
      <c r="N123" s="17"/>
      <c r="O123" s="7"/>
      <c r="P123" s="7"/>
      <c r="Q123" s="7"/>
      <c r="R123" s="7"/>
      <c r="S123" s="7"/>
      <c r="T123" s="7"/>
      <c r="U123" s="102"/>
    </row>
    <row r="124" spans="5:21" hidden="1" x14ac:dyDescent="0.25">
      <c r="E124" s="116"/>
      <c r="F124" s="7"/>
      <c r="G124" s="7"/>
      <c r="H124" s="21" t="s">
        <v>275</v>
      </c>
      <c r="I124" s="639">
        <f>SUMPRODUCT($K118:$N118,$I$117:$L$117)</f>
        <v>1.068243004643695</v>
      </c>
      <c r="J124" s="640">
        <f>SUMPRODUCT($K119:$N119,$I$117:$L$117)</f>
        <v>1.0682430046525013</v>
      </c>
      <c r="K124" s="640">
        <f>SUMPRODUCT($K120:$N120,$I$117:$L$117)</f>
        <v>2.3014436290378857</v>
      </c>
      <c r="L124" s="641">
        <f>SUMPRODUCT($K121:$N121,$I$117:$L$117)</f>
        <v>0</v>
      </c>
      <c r="M124" s="17"/>
      <c r="N124" s="17"/>
      <c r="O124" s="7"/>
      <c r="P124" s="7"/>
      <c r="Q124" s="7"/>
      <c r="R124" s="7"/>
      <c r="S124" s="7"/>
      <c r="T124" s="7"/>
      <c r="U124" s="102"/>
    </row>
    <row r="125" spans="5:21" hidden="1" x14ac:dyDescent="0.25">
      <c r="E125" s="116"/>
      <c r="F125" s="7"/>
      <c r="G125" s="7"/>
      <c r="H125" s="21" t="s">
        <v>177</v>
      </c>
      <c r="I125" s="642">
        <f>$V$30</f>
        <v>1.0682434104463567</v>
      </c>
      <c r="J125" s="255">
        <f t="shared" ref="J125:L125" si="13">$V$30</f>
        <v>1.0682434104463567</v>
      </c>
      <c r="K125" s="255">
        <f t="shared" si="13"/>
        <v>1.0682434104463567</v>
      </c>
      <c r="L125" s="643">
        <f t="shared" si="13"/>
        <v>1.0682434104463567</v>
      </c>
      <c r="M125" s="17"/>
      <c r="N125" s="17"/>
      <c r="O125" s="7"/>
      <c r="P125" s="7"/>
      <c r="Q125" s="7"/>
      <c r="R125" s="7"/>
      <c r="S125" s="7"/>
      <c r="T125" s="7"/>
      <c r="U125" s="102"/>
    </row>
    <row r="126" spans="5:21" hidden="1" x14ac:dyDescent="0.25">
      <c r="E126" s="116"/>
      <c r="F126" s="7"/>
      <c r="G126" s="7"/>
      <c r="H126" s="21" t="s">
        <v>276</v>
      </c>
      <c r="I126" s="642">
        <f>SUMPRODUCT($I$117:$L$117,$M$29:$P$29)</f>
        <v>1.0109053446756704</v>
      </c>
      <c r="J126" s="255">
        <f>SUMPRODUCT($I$117:$L$117,$M$29:$P$29)</f>
        <v>1.0109053446756704</v>
      </c>
      <c r="K126" s="255">
        <f>SUMPRODUCT($I$117:$L$117,$M$29:$P$29)</f>
        <v>1.0109053446756704</v>
      </c>
      <c r="L126" s="643">
        <f>SUMPRODUCT($I$117:$L$117,$M$29:$P$29)</f>
        <v>1.0109053446756704</v>
      </c>
      <c r="M126" s="17"/>
      <c r="N126" s="17"/>
      <c r="O126" s="7"/>
      <c r="P126" s="7"/>
      <c r="Q126" s="7"/>
      <c r="R126" s="7"/>
      <c r="S126" s="7"/>
      <c r="T126" s="7"/>
      <c r="U126" s="102"/>
    </row>
    <row r="127" spans="5:21" hidden="1" x14ac:dyDescent="0.25">
      <c r="E127" s="116"/>
      <c r="F127" s="7"/>
      <c r="G127" s="7"/>
      <c r="H127" s="21" t="s">
        <v>236</v>
      </c>
      <c r="I127" s="644">
        <f>(I124/I125)-1</f>
        <v>-3.7987846002174308E-7</v>
      </c>
      <c r="J127" s="19">
        <f>(J124/J125)-1</f>
        <v>-3.7987021628271833E-7</v>
      </c>
      <c r="K127" s="19">
        <f>(K124/K125)-1</f>
        <v>1.1544187462633131</v>
      </c>
      <c r="L127" s="645">
        <f>(L124/L125)-1</f>
        <v>-1</v>
      </c>
      <c r="M127" s="17"/>
      <c r="N127" s="17"/>
      <c r="O127" s="7"/>
      <c r="P127" s="7"/>
      <c r="Q127" s="7"/>
      <c r="R127" s="7"/>
      <c r="S127" s="7"/>
      <c r="T127" s="7"/>
      <c r="U127" s="102"/>
    </row>
    <row r="128" spans="5:21" ht="15.75" hidden="1" thickBot="1" x14ac:dyDescent="0.3">
      <c r="E128" s="116"/>
      <c r="F128" s="7"/>
      <c r="G128" s="7"/>
      <c r="H128" s="144" t="s">
        <v>277</v>
      </c>
      <c r="I128" s="646">
        <f>(I124/I126)-1</f>
        <v>5.6719118431825422E-2</v>
      </c>
      <c r="J128" s="647">
        <f>(J124/J126)-1</f>
        <v>5.6719118440536676E-2</v>
      </c>
      <c r="K128" s="647">
        <f>(K124/K126)-1</f>
        <v>1.2766163431218773</v>
      </c>
      <c r="L128" s="648">
        <f>(L124/L126)-1</f>
        <v>-1</v>
      </c>
      <c r="M128" s="17"/>
      <c r="N128" s="17"/>
      <c r="O128" s="7"/>
      <c r="P128" s="7"/>
      <c r="Q128" s="7"/>
      <c r="R128" s="7"/>
      <c r="S128" s="7"/>
      <c r="T128" s="7"/>
      <c r="U128" s="102"/>
    </row>
    <row r="129" spans="5:21" ht="15.75" hidden="1" thickBot="1" x14ac:dyDescent="0.3">
      <c r="E129" s="116"/>
      <c r="F129" s="7"/>
      <c r="G129" s="7"/>
      <c r="H129" s="7"/>
      <c r="I129" s="17"/>
      <c r="J129" s="17"/>
      <c r="K129" s="17"/>
      <c r="L129" s="17"/>
      <c r="M129" s="17"/>
      <c r="N129" s="17"/>
      <c r="O129" s="7"/>
      <c r="P129" s="7"/>
      <c r="Q129" s="7"/>
      <c r="R129" s="7"/>
      <c r="S129" s="7"/>
      <c r="T129" s="7"/>
      <c r="U129" s="102"/>
    </row>
    <row r="130" spans="5:21" hidden="1" x14ac:dyDescent="0.25">
      <c r="E130" s="116"/>
      <c r="F130" s="7"/>
      <c r="G130" s="7"/>
      <c r="H130" s="21" t="s">
        <v>278</v>
      </c>
      <c r="I130" s="649">
        <f>M$30</f>
        <v>0.10000150127410369</v>
      </c>
      <c r="J130" s="650">
        <f>N$30</f>
        <v>0.19999971867295302</v>
      </c>
      <c r="K130" s="383">
        <f>O$30</f>
        <v>0.34999877556824549</v>
      </c>
      <c r="L130" s="383">
        <f>P$30</f>
        <v>0.35000000448469776</v>
      </c>
      <c r="M130" s="145"/>
      <c r="N130" s="145"/>
      <c r="O130" s="8"/>
      <c r="P130" s="799">
        <v>0.10000150127410369</v>
      </c>
      <c r="Q130" s="800">
        <v>0.19999971867295302</v>
      </c>
      <c r="R130" s="801">
        <v>0.34999877556824549</v>
      </c>
      <c r="S130" s="802">
        <v>0.35000000448469776</v>
      </c>
      <c r="T130" s="770"/>
      <c r="U130" s="102"/>
    </row>
    <row r="131" spans="5:21" ht="15.75" hidden="1" thickBot="1" x14ac:dyDescent="0.3">
      <c r="E131" s="116"/>
      <c r="F131" s="7"/>
      <c r="G131" s="7"/>
      <c r="H131" s="142"/>
      <c r="I131" s="651">
        <f>I130/SUM(I130:J130)</f>
        <v>0.33333698206877843</v>
      </c>
      <c r="J131" s="652">
        <f>J130/SUM(I130:J130)</f>
        <v>0.66666301793122162</v>
      </c>
      <c r="K131" s="143"/>
      <c r="L131" s="142"/>
      <c r="M131" s="145"/>
      <c r="N131" s="145"/>
      <c r="O131" s="8"/>
      <c r="P131" s="189" t="s">
        <v>352</v>
      </c>
      <c r="Q131" s="7"/>
      <c r="R131" s="7"/>
      <c r="S131" s="7"/>
      <c r="T131" s="7"/>
      <c r="U131" s="102"/>
    </row>
    <row r="132" spans="5:21" hidden="1" x14ac:dyDescent="0.25">
      <c r="E132" s="116"/>
      <c r="F132" s="7"/>
      <c r="G132" s="7"/>
      <c r="H132" s="144" t="s">
        <v>279</v>
      </c>
      <c r="I132" s="654">
        <f>SUMPRODUCT(I128:J128,I131:J131)</f>
        <v>5.6719118437632894E-2</v>
      </c>
      <c r="J132" s="142"/>
      <c r="K132" s="144"/>
      <c r="L132" s="145"/>
      <c r="M132" s="146"/>
      <c r="N132" s="146"/>
      <c r="O132" s="147"/>
      <c r="P132" s="803">
        <f>P130</f>
        <v>0.10000150127410369</v>
      </c>
      <c r="Q132" s="7"/>
      <c r="R132" s="804">
        <f>R130</f>
        <v>0.34999877556824549</v>
      </c>
      <c r="S132" s="7"/>
      <c r="T132" s="7"/>
      <c r="U132" s="102"/>
    </row>
    <row r="133" spans="5:21" ht="15.75" hidden="1" thickBot="1" x14ac:dyDescent="0.3">
      <c r="E133" s="116"/>
      <c r="F133" s="7"/>
      <c r="G133" s="7"/>
      <c r="H133" s="8"/>
      <c r="I133" s="142"/>
      <c r="J133" s="142"/>
      <c r="K133" s="144"/>
      <c r="L133" s="145"/>
      <c r="M133" s="146"/>
      <c r="N133" s="146"/>
      <c r="O133" s="147"/>
      <c r="P133" s="189">
        <f>P130/SUM(P130,R130)</f>
        <v>0.22222542167265757</v>
      </c>
      <c r="Q133" s="7"/>
      <c r="R133" s="189">
        <f>R130/SUM(R130,P130)</f>
        <v>0.77777457832734243</v>
      </c>
      <c r="S133" s="7"/>
      <c r="T133" s="7"/>
      <c r="U133" s="102"/>
    </row>
    <row r="134" spans="5:21" hidden="1" x14ac:dyDescent="0.25">
      <c r="E134" s="116"/>
      <c r="F134" s="7"/>
      <c r="G134" s="7"/>
      <c r="H134" s="7"/>
      <c r="I134" s="655"/>
      <c r="J134" s="655"/>
      <c r="K134" s="649">
        <f>O$30</f>
        <v>0.34999877556824549</v>
      </c>
      <c r="L134" s="650">
        <f>P$30</f>
        <v>0.35000000448469776</v>
      </c>
      <c r="M134" s="7" t="s">
        <v>280</v>
      </c>
      <c r="N134" s="146"/>
      <c r="O134" s="147"/>
      <c r="Q134" s="805">
        <f>P133*I128 + R133*K128</f>
        <v>1.005524167967826</v>
      </c>
      <c r="S134" s="7"/>
      <c r="T134" s="7"/>
      <c r="U134" s="102"/>
    </row>
    <row r="135" spans="5:21" ht="15.75" hidden="1" thickBot="1" x14ac:dyDescent="0.3">
      <c r="E135" s="116"/>
      <c r="F135" s="7"/>
      <c r="G135" s="7"/>
      <c r="H135" s="142"/>
      <c r="I135" s="655"/>
      <c r="J135" s="655"/>
      <c r="K135" s="651">
        <f>K134/SUM(K134:L134)</f>
        <v>0.49999912220100429</v>
      </c>
      <c r="L135" s="652">
        <f>L134/SUM(K134:L134)</f>
        <v>0.50000087779899571</v>
      </c>
      <c r="M135" s="146"/>
      <c r="N135" s="146"/>
      <c r="O135" s="147"/>
      <c r="P135" s="7"/>
      <c r="Q135" s="7"/>
      <c r="R135" s="7"/>
      <c r="S135" s="7" t="s">
        <v>353</v>
      </c>
      <c r="T135" s="7"/>
      <c r="U135" s="102"/>
    </row>
    <row r="136" spans="5:21" hidden="1" x14ac:dyDescent="0.25">
      <c r="E136" s="116"/>
      <c r="F136" s="7"/>
      <c r="G136" s="7"/>
      <c r="H136" s="8"/>
      <c r="I136" s="17"/>
      <c r="J136" s="142"/>
      <c r="K136" s="17"/>
      <c r="L136" s="654">
        <f>SUMPRODUCT(K128:L128,K135:L135)</f>
        <v>0.13830617314939908</v>
      </c>
      <c r="M136" s="656" t="s">
        <v>279</v>
      </c>
      <c r="N136" s="146"/>
      <c r="O136" s="147"/>
      <c r="P136" s="7"/>
      <c r="Q136" s="806">
        <f>Q130</f>
        <v>0.19999971867295302</v>
      </c>
      <c r="R136" s="7"/>
      <c r="S136" s="806">
        <f>S130</f>
        <v>0.35000000448469776</v>
      </c>
      <c r="T136" s="7"/>
      <c r="U136" s="102"/>
    </row>
    <row r="137" spans="5:21" hidden="1" x14ac:dyDescent="0.25">
      <c r="E137" s="116"/>
      <c r="F137" s="7"/>
      <c r="G137" s="7"/>
      <c r="I137" s="623" t="s">
        <v>281</v>
      </c>
      <c r="J137" s="17"/>
      <c r="K137" s="17"/>
      <c r="L137" s="17"/>
      <c r="M137" s="17"/>
      <c r="N137" s="17"/>
      <c r="O137" s="7"/>
      <c r="P137" s="7"/>
      <c r="T137" s="7"/>
      <c r="U137" s="102"/>
    </row>
    <row r="138" spans="5:21" hidden="1" x14ac:dyDescent="0.25">
      <c r="E138" s="116"/>
      <c r="F138" s="7"/>
      <c r="G138" s="7"/>
      <c r="I138" s="21" t="s">
        <v>354</v>
      </c>
      <c r="J138" s="658">
        <f>I132*L111+L136*L112</f>
        <v>0.11382995720398197</v>
      </c>
      <c r="K138" s="17"/>
      <c r="L138" s="17"/>
      <c r="M138" s="17"/>
      <c r="N138" s="17"/>
      <c r="O138" s="7"/>
      <c r="P138" s="7"/>
      <c r="Q138" s="7"/>
      <c r="R138" s="7"/>
      <c r="S138" s="7"/>
      <c r="T138" s="7"/>
      <c r="U138" s="102"/>
    </row>
    <row r="139" spans="5:21" hidden="1" x14ac:dyDescent="0.25">
      <c r="E139" s="116"/>
      <c r="F139" s="7"/>
      <c r="G139" s="7"/>
      <c r="I139" s="564"/>
      <c r="J139" s="17"/>
      <c r="K139" s="17"/>
      <c r="L139" s="17"/>
      <c r="M139" s="17"/>
      <c r="N139" s="17"/>
      <c r="O139" s="7">
        <v>0.11382995720398197</v>
      </c>
      <c r="P139" s="7"/>
      <c r="Q139" s="7"/>
      <c r="R139" s="7"/>
      <c r="S139" s="7"/>
      <c r="T139" s="7"/>
      <c r="U139" s="102"/>
    </row>
    <row r="140" spans="5:21" hidden="1" x14ac:dyDescent="0.25">
      <c r="E140" s="116"/>
      <c r="F140" s="7"/>
      <c r="G140" s="7"/>
      <c r="I140" s="25" t="s">
        <v>355</v>
      </c>
      <c r="J140" s="658">
        <f>SUMPRODUCT(I128:L128,M29:P29)</f>
        <v>0</v>
      </c>
      <c r="K140" s="191" t="s">
        <v>349</v>
      </c>
      <c r="L140" s="17"/>
      <c r="M140" s="17"/>
      <c r="N140" s="17"/>
      <c r="O140" s="7"/>
      <c r="P140" s="7"/>
      <c r="Q140" s="7"/>
      <c r="R140" s="7"/>
      <c r="S140" s="7"/>
      <c r="T140" s="7"/>
      <c r="U140" s="102"/>
    </row>
    <row r="141" spans="5:21" ht="15.75" hidden="1" thickBot="1" x14ac:dyDescent="0.3">
      <c r="E141" s="121"/>
      <c r="F141" s="168"/>
      <c r="G141" s="168"/>
      <c r="H141" s="168"/>
      <c r="I141" s="254"/>
      <c r="J141" s="254"/>
      <c r="K141" s="254"/>
      <c r="L141" s="254"/>
      <c r="M141" s="254"/>
      <c r="N141" s="254"/>
      <c r="O141" s="168"/>
      <c r="P141" s="168"/>
      <c r="Q141" s="168"/>
      <c r="R141" s="168"/>
      <c r="S141" s="168"/>
      <c r="T141" s="168"/>
      <c r="U141" s="104"/>
    </row>
    <row r="142" spans="5:21" ht="15.75" hidden="1" thickBot="1" x14ac:dyDescent="0.3"/>
    <row r="143" spans="5:21" hidden="1" x14ac:dyDescent="0.25">
      <c r="E143" s="9"/>
      <c r="F143" s="10"/>
      <c r="G143" s="10"/>
      <c r="H143" s="10"/>
      <c r="I143" s="253"/>
      <c r="J143" s="253"/>
      <c r="K143" s="253"/>
      <c r="L143" s="253"/>
      <c r="M143" s="253"/>
      <c r="N143" s="253"/>
      <c r="O143" s="10"/>
      <c r="P143" s="10"/>
      <c r="Q143" s="10"/>
      <c r="R143" s="10"/>
      <c r="S143" s="10"/>
      <c r="T143" s="10"/>
      <c r="U143" s="11"/>
    </row>
    <row r="144" spans="5:21" hidden="1" x14ac:dyDescent="0.25">
      <c r="E144" s="116"/>
      <c r="F144" s="7"/>
      <c r="G144" s="7"/>
      <c r="H144" s="7"/>
      <c r="I144" s="17"/>
      <c r="J144" s="17"/>
      <c r="K144" s="17"/>
      <c r="L144" s="17"/>
      <c r="M144" s="17"/>
      <c r="N144" s="17"/>
      <c r="O144" s="7"/>
      <c r="P144" s="7"/>
      <c r="Q144" s="7"/>
      <c r="R144" s="7"/>
      <c r="S144" s="7"/>
      <c r="T144" s="7"/>
      <c r="U144" s="102"/>
    </row>
    <row r="145" spans="2:25" ht="15.75" thickBot="1" x14ac:dyDescent="0.3">
      <c r="B145" s="7"/>
      <c r="C145" s="7"/>
      <c r="D145" s="7"/>
      <c r="E145" s="116"/>
      <c r="F145" s="7"/>
      <c r="G145" s="7"/>
      <c r="H145" s="7"/>
      <c r="I145" s="17"/>
      <c r="J145" s="17"/>
      <c r="K145" s="17"/>
      <c r="L145" s="17"/>
      <c r="M145" s="17"/>
      <c r="N145" s="17"/>
      <c r="O145" s="7"/>
      <c r="P145" s="7"/>
      <c r="Q145" s="7"/>
      <c r="R145" s="7"/>
      <c r="S145" s="7"/>
      <c r="T145" s="7"/>
      <c r="U145" s="102"/>
      <c r="V145" s="196"/>
      <c r="W145" s="7"/>
    </row>
    <row r="146" spans="2:25" x14ac:dyDescent="0.25">
      <c r="B146" s="7"/>
      <c r="C146" s="7"/>
      <c r="D146" s="7"/>
      <c r="E146" s="116"/>
      <c r="F146" s="7"/>
      <c r="G146" s="7"/>
      <c r="H146" s="7"/>
      <c r="I146" s="7"/>
      <c r="J146" s="17"/>
      <c r="K146" s="17"/>
      <c r="L146" s="17"/>
      <c r="M146" s="636" t="s">
        <v>271</v>
      </c>
      <c r="N146" s="276">
        <v>1</v>
      </c>
      <c r="O146" s="276">
        <v>0</v>
      </c>
      <c r="P146" s="276">
        <v>0</v>
      </c>
      <c r="Q146" s="167">
        <v>0</v>
      </c>
      <c r="R146" s="7"/>
      <c r="S146" s="7"/>
      <c r="T146" s="7"/>
      <c r="U146" s="102"/>
      <c r="V146" s="196"/>
      <c r="W146" s="7"/>
    </row>
    <row r="147" spans="2:25" x14ac:dyDescent="0.25">
      <c r="B147" s="7"/>
      <c r="C147" s="7"/>
      <c r="D147" s="7"/>
      <c r="E147" s="116"/>
      <c r="F147" s="7"/>
      <c r="G147" s="7"/>
      <c r="H147" s="7"/>
      <c r="I147" s="7"/>
      <c r="J147" s="17"/>
      <c r="K147" s="17"/>
      <c r="L147" s="17"/>
      <c r="M147" s="637" t="s">
        <v>272</v>
      </c>
      <c r="N147" s="671">
        <v>0</v>
      </c>
      <c r="O147" s="671">
        <v>1</v>
      </c>
      <c r="P147" s="671">
        <v>0</v>
      </c>
      <c r="Q147" s="183">
        <v>0</v>
      </c>
      <c r="R147" s="7"/>
      <c r="S147" s="7"/>
      <c r="T147" s="7"/>
      <c r="U147" s="102"/>
      <c r="V147" s="257"/>
      <c r="W147" s="257"/>
      <c r="X147" s="257"/>
      <c r="Y147" s="257"/>
    </row>
    <row r="148" spans="2:25" x14ac:dyDescent="0.25">
      <c r="B148" s="7"/>
      <c r="C148" s="7"/>
      <c r="D148" s="7"/>
      <c r="E148" s="116"/>
      <c r="F148" s="7"/>
      <c r="G148" s="7"/>
      <c r="H148" s="7"/>
      <c r="I148" s="7"/>
      <c r="J148" s="17"/>
      <c r="K148" s="17"/>
      <c r="L148" s="17"/>
      <c r="M148" s="637" t="s">
        <v>273</v>
      </c>
      <c r="N148" s="671">
        <v>0</v>
      </c>
      <c r="O148" s="671">
        <v>0</v>
      </c>
      <c r="P148" s="671">
        <v>1</v>
      </c>
      <c r="Q148" s="183">
        <v>0</v>
      </c>
      <c r="R148" s="7"/>
      <c r="S148" s="7"/>
      <c r="T148" s="7"/>
      <c r="U148" s="102"/>
      <c r="V148" s="257"/>
      <c r="W148" s="257"/>
      <c r="X148" s="257"/>
      <c r="Y148" s="257"/>
    </row>
    <row r="149" spans="2:25" ht="15.75" thickBot="1" x14ac:dyDescent="0.3">
      <c r="B149" s="7"/>
      <c r="C149" s="7"/>
      <c r="D149" s="7"/>
      <c r="E149" s="116"/>
      <c r="F149" s="7"/>
      <c r="G149" s="7"/>
      <c r="H149" s="7"/>
      <c r="I149" s="7"/>
      <c r="J149" s="17"/>
      <c r="K149" s="17"/>
      <c r="L149" s="17"/>
      <c r="M149" s="638" t="s">
        <v>274</v>
      </c>
      <c r="N149" s="664">
        <v>0</v>
      </c>
      <c r="O149" s="664">
        <v>0</v>
      </c>
      <c r="P149" s="664">
        <v>0</v>
      </c>
      <c r="Q149" s="665">
        <v>1</v>
      </c>
      <c r="R149" s="7"/>
      <c r="S149" s="7"/>
      <c r="T149" s="7"/>
      <c r="U149" s="102"/>
      <c r="V149" s="257"/>
      <c r="W149" s="257"/>
      <c r="X149" s="257"/>
      <c r="Y149" s="257"/>
    </row>
    <row r="150" spans="2:25" ht="15.75" thickBot="1" x14ac:dyDescent="0.3">
      <c r="B150" s="7"/>
      <c r="C150" s="7"/>
      <c r="D150" s="7"/>
      <c r="E150" s="116"/>
      <c r="F150" s="7"/>
      <c r="G150" s="7"/>
      <c r="H150" s="7"/>
      <c r="I150" s="364" t="s">
        <v>271</v>
      </c>
      <c r="J150" s="364" t="s">
        <v>272</v>
      </c>
      <c r="K150" s="364" t="s">
        <v>273</v>
      </c>
      <c r="L150" s="364" t="s">
        <v>274</v>
      </c>
      <c r="M150" s="17"/>
      <c r="N150" s="17"/>
      <c r="O150" s="17"/>
      <c r="P150" s="7"/>
      <c r="Q150" s="7"/>
      <c r="R150" s="7"/>
      <c r="S150" s="7"/>
      <c r="T150" s="7"/>
      <c r="U150" s="102"/>
      <c r="V150" s="257"/>
      <c r="W150" s="257"/>
      <c r="X150" s="257"/>
      <c r="Y150" s="257"/>
    </row>
    <row r="151" spans="2:25" x14ac:dyDescent="0.25">
      <c r="B151" s="7"/>
      <c r="C151" s="7"/>
      <c r="D151" s="7"/>
      <c r="E151" s="116"/>
      <c r="F151" s="7"/>
      <c r="G151" s="7"/>
      <c r="H151" s="21" t="s">
        <v>275</v>
      </c>
      <c r="I151" s="639">
        <f>SUMPRODUCT($N146:$Q146,$I$117:$L$117)</f>
        <v>1.068243004643695</v>
      </c>
      <c r="J151" s="640">
        <f>SUMPRODUCT($N147:$Q147,$I$117:$L$117)</f>
        <v>1.0682430046525013</v>
      </c>
      <c r="K151" s="640">
        <f>SUMPRODUCT($N148:$Q148,$I$117:$L$117)</f>
        <v>2.3014436290378857</v>
      </c>
      <c r="L151" s="641">
        <f>SUMPRODUCT($N149:$Q149,$I$117:$L$117)</f>
        <v>0</v>
      </c>
      <c r="M151" s="17"/>
      <c r="N151" s="17"/>
      <c r="O151" s="17"/>
      <c r="P151" s="7"/>
      <c r="Q151" s="7"/>
      <c r="R151" s="7"/>
      <c r="S151" s="7"/>
      <c r="T151" s="7"/>
      <c r="U151" s="102"/>
      <c r="V151" s="257"/>
      <c r="W151" s="257"/>
      <c r="X151" s="257"/>
      <c r="Y151" s="257"/>
    </row>
    <row r="152" spans="2:25" x14ac:dyDescent="0.25">
      <c r="B152" s="7"/>
      <c r="C152" s="7"/>
      <c r="D152" s="7"/>
      <c r="E152" s="116"/>
      <c r="F152" s="7"/>
      <c r="G152" s="7"/>
      <c r="H152" s="21" t="s">
        <v>177</v>
      </c>
      <c r="I152" s="642">
        <f>$V$30</f>
        <v>1.0682434104463567</v>
      </c>
      <c r="J152" s="255">
        <f t="shared" ref="J152:L152" si="14">$V$30</f>
        <v>1.0682434104463567</v>
      </c>
      <c r="K152" s="255">
        <f t="shared" si="14"/>
        <v>1.0682434104463567</v>
      </c>
      <c r="L152" s="643">
        <f t="shared" si="14"/>
        <v>1.0682434104463567</v>
      </c>
      <c r="M152" s="17"/>
      <c r="N152" s="17"/>
      <c r="O152" s="17"/>
      <c r="P152" s="7"/>
      <c r="Q152" s="7"/>
      <c r="R152" s="7"/>
      <c r="S152" s="7"/>
      <c r="T152" s="7"/>
      <c r="U152" s="102"/>
      <c r="V152" s="257"/>
      <c r="W152" s="257"/>
      <c r="X152" s="257"/>
      <c r="Y152" s="257"/>
    </row>
    <row r="153" spans="2:25" x14ac:dyDescent="0.25">
      <c r="B153" s="7"/>
      <c r="C153" s="7"/>
      <c r="D153" s="7"/>
      <c r="E153" s="116"/>
      <c r="F153" s="7"/>
      <c r="G153" s="7"/>
      <c r="H153" s="21" t="s">
        <v>276</v>
      </c>
      <c r="I153" s="642">
        <f>SUMPRODUCT($I$117:$L$117,$M$29:$P$29)</f>
        <v>1.0109053446756704</v>
      </c>
      <c r="J153" s="255">
        <f t="shared" ref="J153:L153" si="15">SUMPRODUCT($I$117:$L$117,$M$29:$P$29)</f>
        <v>1.0109053446756704</v>
      </c>
      <c r="K153" s="255">
        <f t="shared" si="15"/>
        <v>1.0109053446756704</v>
      </c>
      <c r="L153" s="643">
        <f t="shared" si="15"/>
        <v>1.0109053446756704</v>
      </c>
      <c r="M153" s="17"/>
      <c r="N153" s="17"/>
      <c r="O153" s="17"/>
      <c r="P153" s="7"/>
      <c r="Q153" s="7"/>
      <c r="R153" s="7"/>
      <c r="S153" s="7"/>
      <c r="T153" s="7"/>
      <c r="U153" s="102"/>
      <c r="V153" s="257"/>
      <c r="W153" s="257"/>
      <c r="X153" s="257"/>
      <c r="Y153" s="257"/>
    </row>
    <row r="154" spans="2:25" x14ac:dyDescent="0.25">
      <c r="B154" s="7"/>
      <c r="C154" s="7"/>
      <c r="D154" s="7"/>
      <c r="E154" s="116"/>
      <c r="F154" s="7"/>
      <c r="G154" s="7"/>
      <c r="H154" s="21" t="s">
        <v>236</v>
      </c>
      <c r="I154" s="644">
        <f>(I151/I152)-1</f>
        <v>-3.7987846002174308E-7</v>
      </c>
      <c r="J154" s="19">
        <f>(J151/J152)-1</f>
        <v>-3.7987021628271833E-7</v>
      </c>
      <c r="K154" s="19">
        <f>(K151/K152)-1</f>
        <v>1.1544187462633131</v>
      </c>
      <c r="L154" s="645">
        <f>(L151/L152)-1</f>
        <v>-1</v>
      </c>
      <c r="M154" s="17"/>
      <c r="N154" s="17"/>
      <c r="O154" s="17"/>
      <c r="P154" s="7"/>
      <c r="Q154" s="7"/>
      <c r="R154" s="7"/>
      <c r="S154" s="7"/>
      <c r="T154" s="7"/>
      <c r="U154" s="102"/>
      <c r="V154" s="7"/>
      <c r="W154" s="7"/>
      <c r="X154" s="7"/>
      <c r="Y154" s="7"/>
    </row>
    <row r="155" spans="2:25" ht="15.75" thickBot="1" x14ac:dyDescent="0.3">
      <c r="B155" s="7"/>
      <c r="C155" s="7"/>
      <c r="D155" s="7"/>
      <c r="E155" s="116"/>
      <c r="F155" s="7"/>
      <c r="G155" s="7"/>
      <c r="H155" s="144" t="s">
        <v>277</v>
      </c>
      <c r="I155" s="646">
        <f>(I151/I153)-1</f>
        <v>5.6719118431825422E-2</v>
      </c>
      <c r="J155" s="647">
        <f>(J151/J153)-1</f>
        <v>5.6719118440536676E-2</v>
      </c>
      <c r="K155" s="647">
        <f>(K151/K153)-1</f>
        <v>1.2766163431218773</v>
      </c>
      <c r="L155" s="648">
        <f>(L151/L153)-1</f>
        <v>-1</v>
      </c>
      <c r="M155" s="17"/>
      <c r="N155" s="17"/>
      <c r="O155" s="17"/>
      <c r="P155" s="7"/>
      <c r="Q155" s="7"/>
      <c r="R155" s="7"/>
      <c r="S155" s="7"/>
      <c r="T155" s="7"/>
      <c r="U155" s="102"/>
      <c r="V155" s="546"/>
      <c r="W155" s="54"/>
      <c r="X155" s="7"/>
      <c r="Y155" s="7"/>
    </row>
    <row r="156" spans="2:25" ht="15" customHeight="1" x14ac:dyDescent="0.25">
      <c r="B156" s="7"/>
      <c r="C156" s="7"/>
      <c r="D156" s="7"/>
      <c r="E156" s="116"/>
      <c r="F156" s="7"/>
      <c r="G156" s="7"/>
      <c r="H156" s="7"/>
      <c r="I156" s="7"/>
      <c r="J156" s="17"/>
      <c r="K156" s="17"/>
      <c r="L156" s="17"/>
      <c r="M156" s="17"/>
      <c r="N156" s="17"/>
      <c r="O156" s="17"/>
      <c r="P156" s="7"/>
      <c r="Q156" s="7"/>
      <c r="R156" s="7"/>
      <c r="S156" s="7"/>
      <c r="T156" s="7"/>
      <c r="U156" s="102"/>
      <c r="V156" s="7"/>
      <c r="W156" s="7"/>
      <c r="X156" s="7"/>
      <c r="Y156" s="7"/>
    </row>
    <row r="157" spans="2:25" x14ac:dyDescent="0.25">
      <c r="B157" s="7"/>
      <c r="C157" s="7"/>
      <c r="D157" s="7"/>
      <c r="E157" s="116"/>
      <c r="F157" s="7"/>
      <c r="G157" s="7"/>
      <c r="H157" s="774" t="s">
        <v>341</v>
      </c>
      <c r="I157" s="775">
        <f>M$29</f>
        <v>0.10000150634671325</v>
      </c>
      <c r="J157" s="775">
        <f t="shared" ref="J157:L157" si="16">N$29</f>
        <v>0.19999972881778538</v>
      </c>
      <c r="K157" s="775">
        <f t="shared" si="16"/>
        <v>0.29999914623744173</v>
      </c>
      <c r="L157" s="775">
        <f t="shared" si="16"/>
        <v>0.39999961859805949</v>
      </c>
      <c r="M157" s="145"/>
      <c r="N157" s="17"/>
      <c r="O157" s="145"/>
      <c r="P157" s="8"/>
      <c r="Q157" s="8"/>
      <c r="R157" s="8"/>
      <c r="S157" s="8"/>
      <c r="T157" s="8"/>
      <c r="U157" s="615"/>
      <c r="V157" s="8"/>
      <c r="W157" s="8"/>
      <c r="X157" s="8"/>
      <c r="Y157" s="8"/>
    </row>
    <row r="158" spans="2:25" x14ac:dyDescent="0.25">
      <c r="B158" s="7"/>
      <c r="C158" s="7"/>
      <c r="D158" s="7"/>
      <c r="E158" s="116"/>
      <c r="F158" s="7"/>
      <c r="G158" s="7"/>
      <c r="H158" s="776" t="s">
        <v>342</v>
      </c>
      <c r="I158" s="777">
        <f>M$30</f>
        <v>0.10000150127410369</v>
      </c>
      <c r="J158" s="777">
        <f t="shared" ref="J158:K158" si="17">N$30</f>
        <v>0.19999971867295302</v>
      </c>
      <c r="K158" s="777">
        <f t="shared" si="17"/>
        <v>0.34999877556824549</v>
      </c>
      <c r="L158" s="777">
        <f>P$30</f>
        <v>0.35000000448469776</v>
      </c>
      <c r="M158" s="145"/>
      <c r="N158" s="17"/>
      <c r="O158" s="145"/>
      <c r="P158" s="8"/>
      <c r="Q158" s="8"/>
      <c r="R158" s="8"/>
      <c r="S158" s="8"/>
      <c r="T158" s="8"/>
      <c r="U158" s="653"/>
      <c r="V158" s="8"/>
      <c r="W158" s="8"/>
      <c r="X158" s="8"/>
      <c r="Y158" s="8"/>
    </row>
    <row r="159" spans="2:25" x14ac:dyDescent="0.25">
      <c r="B159" s="7"/>
      <c r="C159" s="7"/>
      <c r="D159" s="7"/>
      <c r="E159" s="116"/>
      <c r="F159" s="7"/>
      <c r="G159" s="7"/>
      <c r="H159" s="7"/>
      <c r="I159" s="671"/>
      <c r="J159" s="145"/>
      <c r="K159" s="145"/>
      <c r="L159" s="145"/>
      <c r="M159" s="146"/>
      <c r="N159" s="17"/>
      <c r="O159" s="146"/>
      <c r="P159" s="147"/>
      <c r="Q159" s="8"/>
      <c r="R159" s="8"/>
      <c r="S159" s="8"/>
      <c r="T159" s="8"/>
      <c r="U159" s="615"/>
      <c r="V159" s="8"/>
      <c r="W159" s="8"/>
      <c r="X159" s="8"/>
      <c r="Y159" s="8"/>
    </row>
    <row r="160" spans="2:25" x14ac:dyDescent="0.25">
      <c r="B160" s="7"/>
      <c r="C160" s="7"/>
      <c r="D160" s="7"/>
      <c r="E160" s="116"/>
      <c r="F160" s="7"/>
      <c r="G160" s="7"/>
      <c r="H160" s="21"/>
      <c r="I160" s="1217" t="s">
        <v>343</v>
      </c>
      <c r="J160" s="1217"/>
      <c r="K160" s="1217"/>
      <c r="L160" s="1217"/>
      <c r="M160" s="17"/>
      <c r="N160" s="17"/>
      <c r="O160" s="146"/>
      <c r="P160" s="147"/>
      <c r="Q160" s="8"/>
      <c r="R160" s="8"/>
      <c r="S160" s="8"/>
      <c r="T160" s="8"/>
      <c r="U160" s="615"/>
      <c r="V160" s="8"/>
      <c r="W160" s="8"/>
      <c r="X160" s="8"/>
      <c r="Y160" s="8"/>
    </row>
    <row r="161" spans="2:25" x14ac:dyDescent="0.25">
      <c r="B161" s="7"/>
      <c r="C161" s="7"/>
      <c r="D161" s="7"/>
      <c r="E161" s="116"/>
      <c r="F161" s="7"/>
      <c r="G161" s="7"/>
      <c r="H161" s="21"/>
      <c r="I161" s="1219" t="s">
        <v>731</v>
      </c>
      <c r="J161" s="1220"/>
      <c r="K161" s="1221" t="s">
        <v>725</v>
      </c>
      <c r="L161" s="1220"/>
      <c r="M161" s="17"/>
      <c r="N161" s="17"/>
      <c r="O161" s="146"/>
      <c r="P161" s="147"/>
      <c r="Q161" s="8"/>
      <c r="R161" s="8"/>
      <c r="S161" s="8"/>
      <c r="T161" s="8"/>
      <c r="U161" s="615"/>
      <c r="V161" s="8"/>
      <c r="W161" s="8"/>
      <c r="X161" s="8"/>
      <c r="Y161" s="8"/>
    </row>
    <row r="162" spans="2:25" ht="15.75" thickBot="1" x14ac:dyDescent="0.3">
      <c r="B162" s="7"/>
      <c r="C162" s="7"/>
      <c r="D162" s="7"/>
      <c r="E162" s="116"/>
      <c r="F162" s="7"/>
      <c r="G162" s="7"/>
      <c r="H162" s="7"/>
      <c r="I162" s="778" t="s">
        <v>732</v>
      </c>
      <c r="J162" s="779" t="s">
        <v>733</v>
      </c>
      <c r="K162" s="145" t="s">
        <v>732</v>
      </c>
      <c r="L162" s="779" t="s">
        <v>733</v>
      </c>
      <c r="M162" s="7"/>
      <c r="N162" s="17"/>
      <c r="O162" s="146"/>
      <c r="P162" s="147"/>
      <c r="Q162" s="8"/>
      <c r="R162" s="8"/>
      <c r="S162" s="7"/>
      <c r="T162" s="8"/>
      <c r="U162" s="615"/>
      <c r="V162" s="8"/>
      <c r="W162" s="8"/>
      <c r="X162" s="8"/>
      <c r="Y162" s="8"/>
    </row>
    <row r="163" spans="2:25" x14ac:dyDescent="0.25">
      <c r="B163" s="7"/>
      <c r="C163" s="7"/>
      <c r="D163" s="7"/>
      <c r="E163" s="116"/>
      <c r="F163" s="7"/>
      <c r="G163" s="7"/>
      <c r="H163" s="780" t="s">
        <v>344</v>
      </c>
      <c r="I163" s="781">
        <f>I157/SUM(I157:J157)</f>
        <v>0.33333698206902307</v>
      </c>
      <c r="J163" s="782">
        <f>J157/SUM(I157:J157)</f>
        <v>0.66666301793097693</v>
      </c>
      <c r="K163" s="781">
        <f>K157/SUM(K157:L157)</f>
        <v>0.42857096513297577</v>
      </c>
      <c r="L163" s="782">
        <f>L157/SUM(K157:L157)</f>
        <v>0.57142903486702412</v>
      </c>
      <c r="M163" s="783"/>
      <c r="N163" s="17"/>
      <c r="O163" s="146"/>
      <c r="P163" s="147"/>
      <c r="Q163" s="8"/>
      <c r="R163" s="8"/>
      <c r="S163" s="7"/>
      <c r="T163" s="8"/>
      <c r="U163" s="615"/>
      <c r="V163" s="8"/>
      <c r="W163" s="8"/>
      <c r="X163" s="8"/>
      <c r="Y163" s="8"/>
    </row>
    <row r="164" spans="2:25" ht="15.75" thickBot="1" x14ac:dyDescent="0.3">
      <c r="B164" s="7"/>
      <c r="C164" s="7"/>
      <c r="D164" s="7"/>
      <c r="E164" s="116"/>
      <c r="F164" s="7"/>
      <c r="G164" s="7"/>
      <c r="H164" s="784" t="s">
        <v>345</v>
      </c>
      <c r="I164" s="785">
        <f>I158/SUM(I158:J158)</f>
        <v>0.33333698206877843</v>
      </c>
      <c r="J164" s="786">
        <f>J158/SUM(I158:J158)</f>
        <v>0.66666301793122162</v>
      </c>
      <c r="K164" s="785">
        <f>K158/SUM(K158:L158)</f>
        <v>0.49999912220100429</v>
      </c>
      <c r="L164" s="786">
        <f>L158/SUM(K158:L158)</f>
        <v>0.50000087779899571</v>
      </c>
      <c r="M164" s="787"/>
      <c r="N164" s="17"/>
      <c r="O164" s="146"/>
      <c r="P164" s="147"/>
      <c r="Q164" s="8"/>
      <c r="R164" s="8"/>
      <c r="S164" s="8"/>
      <c r="T164" s="8"/>
      <c r="U164" s="615"/>
      <c r="V164" s="8"/>
      <c r="W164" s="8"/>
      <c r="X164" s="8"/>
      <c r="Y164" s="8"/>
    </row>
    <row r="165" spans="2:25" x14ac:dyDescent="0.25">
      <c r="B165" s="7"/>
      <c r="C165" s="7"/>
      <c r="D165" s="7"/>
      <c r="E165" s="116"/>
      <c r="F165" s="7"/>
      <c r="G165" s="7"/>
      <c r="H165" s="7"/>
      <c r="I165" s="17"/>
      <c r="J165" s="17"/>
      <c r="K165" s="17"/>
      <c r="L165" s="17"/>
      <c r="M165" s="17"/>
      <c r="N165" s="17"/>
      <c r="O165" s="146"/>
      <c r="P165" s="147"/>
      <c r="Q165" s="8"/>
      <c r="R165" s="8"/>
      <c r="S165" s="8"/>
      <c r="T165" s="8"/>
      <c r="U165" s="615"/>
      <c r="V165" s="8"/>
      <c r="W165" s="8"/>
      <c r="X165" s="8"/>
      <c r="Y165" s="8"/>
    </row>
    <row r="166" spans="2:25" x14ac:dyDescent="0.25">
      <c r="B166" s="7"/>
      <c r="C166" s="7"/>
      <c r="D166" s="7"/>
      <c r="E166" s="116"/>
      <c r="F166" s="7"/>
      <c r="G166" s="7"/>
      <c r="H166" s="7"/>
      <c r="I166" s="1217" t="s">
        <v>279</v>
      </c>
      <c r="J166" s="1217"/>
      <c r="K166" s="1217"/>
      <c r="L166" s="1217"/>
      <c r="M166" s="17"/>
      <c r="N166" s="17"/>
      <c r="O166" s="146"/>
      <c r="P166" s="147"/>
      <c r="Q166" s="8"/>
      <c r="R166" s="8"/>
      <c r="S166" s="8"/>
      <c r="T166" s="8"/>
      <c r="U166" s="615"/>
      <c r="V166" s="8"/>
      <c r="W166" s="8"/>
      <c r="X166" s="8"/>
      <c r="Y166" s="8"/>
    </row>
    <row r="167" spans="2:25" x14ac:dyDescent="0.25">
      <c r="B167" s="7"/>
      <c r="C167" s="7"/>
      <c r="D167" s="7"/>
      <c r="E167" s="116"/>
      <c r="F167" s="7"/>
      <c r="G167" s="7"/>
      <c r="H167" s="774" t="s">
        <v>346</v>
      </c>
      <c r="I167" s="788">
        <f>SUMPRODUCT($I$155:$J$155,I163:J163)</f>
        <v>5.6719118437632887E-2</v>
      </c>
      <c r="J167" s="142"/>
      <c r="K167" s="17"/>
      <c r="L167" s="789">
        <f>SUMPRODUCT($K$155:$L$155,K163:L163)</f>
        <v>-2.4308336590751045E-2</v>
      </c>
      <c r="M167" s="783"/>
      <c r="N167" s="656"/>
      <c r="O167" s="146"/>
      <c r="P167" s="147"/>
      <c r="Q167" s="8"/>
      <c r="R167" s="8"/>
      <c r="S167" s="8"/>
      <c r="T167" s="8"/>
      <c r="U167" s="615"/>
      <c r="V167" s="8"/>
      <c r="W167" s="8"/>
      <c r="X167" s="8"/>
      <c r="Y167" s="8"/>
    </row>
    <row r="168" spans="2:25" x14ac:dyDescent="0.25">
      <c r="B168" s="7"/>
      <c r="C168" s="7"/>
      <c r="D168" s="7"/>
      <c r="E168" s="116"/>
      <c r="F168" s="7"/>
      <c r="G168" s="7"/>
      <c r="H168" s="776" t="s">
        <v>347</v>
      </c>
      <c r="I168" s="790">
        <f>SUMPRODUCT($I$155:$J$155,I164:J164)</f>
        <v>5.6719118437632894E-2</v>
      </c>
      <c r="J168" s="142" t="s">
        <v>348</v>
      </c>
      <c r="K168" s="17"/>
      <c r="L168" s="791">
        <f>SUMPRODUCT($K$155:$L$155,K164:L164)</f>
        <v>0.13830617314939908</v>
      </c>
      <c r="M168" s="787"/>
      <c r="N168" s="17"/>
      <c r="O168" s="146"/>
      <c r="P168" s="147"/>
      <c r="Q168" s="8"/>
      <c r="R168" s="8"/>
      <c r="S168" s="8"/>
      <c r="T168" s="8"/>
      <c r="U168" s="615"/>
      <c r="V168" s="8"/>
      <c r="W168" s="8"/>
      <c r="X168" s="8"/>
      <c r="Y168" s="8"/>
    </row>
    <row r="169" spans="2:25" x14ac:dyDescent="0.25">
      <c r="B169" s="17"/>
      <c r="C169" s="17"/>
      <c r="D169" s="17"/>
      <c r="E169" s="657"/>
      <c r="F169" s="7"/>
      <c r="G169" s="7"/>
      <c r="H169" s="7"/>
      <c r="I169" s="17"/>
      <c r="J169" s="17"/>
      <c r="K169" s="17"/>
      <c r="L169" s="17"/>
      <c r="M169" s="149"/>
      <c r="N169" s="149"/>
      <c r="O169" s="147"/>
      <c r="P169" s="8"/>
      <c r="Q169" s="8"/>
      <c r="R169" s="8"/>
      <c r="S169" s="8"/>
      <c r="T169" s="8"/>
      <c r="U169" s="615"/>
      <c r="V169" s="8"/>
      <c r="W169" s="8"/>
      <c r="X169" s="8"/>
      <c r="Y169" s="8"/>
    </row>
    <row r="170" spans="2:25" ht="15.75" thickBot="1" x14ac:dyDescent="0.3">
      <c r="B170" s="7"/>
      <c r="C170" s="7"/>
      <c r="D170" s="7"/>
      <c r="E170" s="116"/>
      <c r="F170" s="7"/>
      <c r="G170" s="7"/>
      <c r="H170" s="7"/>
      <c r="I170" s="1218" t="s">
        <v>281</v>
      </c>
      <c r="J170" s="1218"/>
      <c r="K170" s="1218"/>
      <c r="L170" s="1218"/>
      <c r="M170" s="149"/>
      <c r="N170" s="149"/>
      <c r="O170" s="147"/>
      <c r="P170" s="8"/>
      <c r="Q170" s="8"/>
      <c r="R170" s="8"/>
      <c r="S170" s="8"/>
      <c r="T170" s="8"/>
      <c r="U170" s="615"/>
      <c r="V170" s="8"/>
      <c r="W170" s="8"/>
      <c r="X170" s="8"/>
      <c r="Y170" s="8"/>
    </row>
    <row r="171" spans="2:25" ht="15.75" customHeight="1" x14ac:dyDescent="0.35">
      <c r="B171" s="7"/>
      <c r="C171" s="7"/>
      <c r="D171" s="7"/>
      <c r="E171" s="116"/>
      <c r="F171" s="568"/>
      <c r="G171" s="7"/>
      <c r="H171" s="7"/>
      <c r="I171" s="17"/>
      <c r="J171" s="792" t="s">
        <v>26</v>
      </c>
      <c r="K171" s="793">
        <f>SUMPRODUCT(I157:L157,I155:L155)</f>
        <v>0</v>
      </c>
      <c r="L171" s="191" t="s">
        <v>349</v>
      </c>
      <c r="M171" s="17"/>
      <c r="N171" s="17"/>
      <c r="O171" s="7"/>
      <c r="P171" s="7"/>
      <c r="Q171" s="7"/>
      <c r="R171" s="7"/>
      <c r="S171" s="7"/>
      <c r="T171" s="7"/>
      <c r="U171" s="102"/>
      <c r="V171" s="8"/>
      <c r="W171" s="8"/>
      <c r="X171" s="8"/>
      <c r="Y171" s="8"/>
    </row>
    <row r="172" spans="2:25" ht="15.75" thickBot="1" x14ac:dyDescent="0.3">
      <c r="B172" s="7"/>
      <c r="C172" s="7"/>
      <c r="D172" s="7"/>
      <c r="E172" s="116"/>
      <c r="F172" s="7"/>
      <c r="G172" s="7"/>
      <c r="H172" s="7"/>
      <c r="I172" s="17"/>
      <c r="J172" s="794" t="s">
        <v>27</v>
      </c>
      <c r="K172" s="795">
        <f>SUMPRODUCT(I155:L155,I164:L164)</f>
        <v>0.19502529158703197</v>
      </c>
      <c r="L172" s="796" t="s">
        <v>350</v>
      </c>
      <c r="M172" s="17"/>
      <c r="N172" s="17"/>
      <c r="O172" s="7"/>
      <c r="P172" s="7"/>
      <c r="Q172" s="7"/>
      <c r="R172" s="7"/>
      <c r="S172" s="7"/>
      <c r="T172" s="7"/>
      <c r="U172" s="102"/>
      <c r="V172" s="617"/>
      <c r="W172" s="617"/>
      <c r="X172" s="617"/>
      <c r="Y172" s="8"/>
    </row>
    <row r="173" spans="2:25" x14ac:dyDescent="0.25">
      <c r="B173" s="7"/>
      <c r="C173" s="7"/>
      <c r="D173" s="7"/>
      <c r="E173" s="116"/>
      <c r="F173" s="7"/>
      <c r="G173" s="7"/>
      <c r="H173" s="7"/>
      <c r="I173" s="142"/>
      <c r="J173" s="797"/>
      <c r="K173" s="798"/>
      <c r="L173" s="796"/>
      <c r="M173" s="17"/>
      <c r="N173" s="17"/>
      <c r="O173" s="7"/>
      <c r="P173" s="7"/>
      <c r="Q173" s="7"/>
      <c r="R173" s="7"/>
      <c r="S173" s="7"/>
      <c r="T173" s="7"/>
      <c r="U173" s="102"/>
      <c r="V173" s="617"/>
      <c r="W173" s="617"/>
      <c r="X173" s="617"/>
      <c r="Y173" s="8"/>
    </row>
    <row r="174" spans="2:25" x14ac:dyDescent="0.25">
      <c r="B174" s="7"/>
      <c r="C174" s="7"/>
      <c r="D174" s="7"/>
      <c r="E174" s="116"/>
      <c r="F174" s="7"/>
      <c r="G174" s="7"/>
      <c r="H174" s="142" t="s">
        <v>358</v>
      </c>
      <c r="I174" s="17"/>
      <c r="J174" s="797"/>
      <c r="K174" s="798"/>
      <c r="L174" s="796"/>
      <c r="M174" s="17"/>
      <c r="N174" s="17"/>
      <c r="O174" s="7"/>
      <c r="P174" s="7"/>
      <c r="Q174" s="7"/>
      <c r="R174" s="7"/>
      <c r="S174" s="7"/>
      <c r="T174" s="7"/>
      <c r="U174" s="102"/>
      <c r="V174" s="617"/>
      <c r="W174" s="617"/>
      <c r="X174" s="617"/>
      <c r="Y174" s="8"/>
    </row>
    <row r="175" spans="2:25" ht="15.75" thickBot="1" x14ac:dyDescent="0.3">
      <c r="B175" s="7"/>
      <c r="C175" s="7"/>
      <c r="D175" s="7"/>
      <c r="E175" s="121"/>
      <c r="F175" s="168"/>
      <c r="G175" s="168"/>
      <c r="H175" s="254" t="s">
        <v>351</v>
      </c>
      <c r="I175" s="254"/>
      <c r="J175" s="254"/>
      <c r="K175" s="254"/>
      <c r="L175" s="254"/>
      <c r="M175" s="254"/>
      <c r="N175" s="254"/>
      <c r="O175" s="168"/>
      <c r="P175" s="168"/>
      <c r="Q175" s="168"/>
      <c r="R175" s="168"/>
      <c r="S175" s="168"/>
      <c r="T175" s="168"/>
      <c r="U175" s="104"/>
      <c r="V175" s="617"/>
      <c r="W175" s="617"/>
      <c r="X175" s="617"/>
      <c r="Y175" s="8"/>
    </row>
  </sheetData>
  <mergeCells count="13">
    <mergeCell ref="I160:L160"/>
    <mergeCell ref="I161:J161"/>
    <mergeCell ref="K161:L161"/>
    <mergeCell ref="I166:L166"/>
    <mergeCell ref="I170:L170"/>
    <mergeCell ref="I84:L84"/>
    <mergeCell ref="I88:L88"/>
    <mergeCell ref="G4:G6"/>
    <mergeCell ref="G8:G10"/>
    <mergeCell ref="G12:G15"/>
    <mergeCell ref="I78:L78"/>
    <mergeCell ref="I79:J79"/>
    <mergeCell ref="K79:L79"/>
  </mergeCells>
  <conditionalFormatting sqref="AD23:AG35">
    <cfRule type="dataBar" priority="1">
      <dataBar>
        <cfvo type="min"/>
        <cfvo type="max"/>
        <color rgb="FF638EC6"/>
      </dataBar>
      <extLst>
        <ext xmlns:x14="http://schemas.microsoft.com/office/spreadsheetml/2009/9/main" uri="{B025F937-C7B1-47D3-B67F-A62EFF666E3E}">
          <x14:id>{F7BF0FDF-DC55-451D-AACB-7539D1FFC338}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7BF0FDF-DC55-451D-AACB-7539D1FFC338}">
            <x14:dataBar minLength="0" maxLength="100" gradient="0">
              <x14:cfvo type="autoMin"/>
              <x14:cfvo type="autoMax"/>
              <x14:negativeFillColor rgb="FFFF0000"/>
              <x14:axisColor rgb="FF000000"/>
            </x14:dataBar>
          </x14:cfRule>
          <xm:sqref>AD23:AG35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B2:AV49"/>
  <sheetViews>
    <sheetView topLeftCell="A7" zoomScale="85" zoomScaleNormal="85" workbookViewId="0">
      <selection activeCell="E13" sqref="E13"/>
    </sheetView>
  </sheetViews>
  <sheetFormatPr defaultRowHeight="15" x14ac:dyDescent="0.25"/>
  <cols>
    <col min="3" max="3" width="13.28515625" customWidth="1"/>
    <col min="5" max="12" width="11.42578125" style="33" customWidth="1"/>
    <col min="13" max="23" width="13.140625" style="33" customWidth="1"/>
    <col min="24" max="24" width="13.140625" customWidth="1"/>
    <col min="25" max="25" width="12.85546875" customWidth="1"/>
    <col min="26" max="26" width="12.7109375" customWidth="1"/>
    <col min="27" max="27" width="10.28515625" customWidth="1"/>
    <col min="28" max="28" width="10.7109375" customWidth="1"/>
    <col min="29" max="29" width="11.7109375" customWidth="1"/>
    <col min="30" max="30" width="13.140625" customWidth="1"/>
    <col min="31" max="31" width="12.85546875" customWidth="1"/>
    <col min="32" max="32" width="12.140625" hidden="1" customWidth="1"/>
    <col min="33" max="33" width="10.5703125" hidden="1" customWidth="1"/>
    <col min="34" max="35" width="0" hidden="1" customWidth="1"/>
    <col min="36" max="36" width="11.140625" hidden="1" customWidth="1"/>
    <col min="37" max="38" width="0" hidden="1" customWidth="1"/>
    <col min="39" max="39" width="20" customWidth="1"/>
    <col min="42" max="42" width="10" customWidth="1"/>
    <col min="43" max="43" width="13" customWidth="1"/>
    <col min="45" max="46" width="10.42578125" customWidth="1"/>
  </cols>
  <sheetData>
    <row r="2" spans="2:36" ht="31.5" x14ac:dyDescent="0.5">
      <c r="B2" s="188" t="s">
        <v>335</v>
      </c>
      <c r="D2" s="141"/>
    </row>
    <row r="3" spans="2:36" ht="31.5" x14ac:dyDescent="0.5">
      <c r="B3" s="188"/>
      <c r="D3" s="141"/>
    </row>
    <row r="4" spans="2:36" x14ac:dyDescent="0.25">
      <c r="C4" s="1172" t="s">
        <v>163</v>
      </c>
      <c r="D4" s="152" t="s">
        <v>101</v>
      </c>
      <c r="E4" s="152" t="s">
        <v>737</v>
      </c>
      <c r="F4" s="152"/>
      <c r="G4" s="266"/>
      <c r="H4" s="266"/>
      <c r="I4" s="266"/>
      <c r="J4" s="266"/>
      <c r="K4" s="266"/>
      <c r="L4" s="266"/>
      <c r="M4" s="261"/>
    </row>
    <row r="5" spans="2:36" x14ac:dyDescent="0.25">
      <c r="C5" s="1173"/>
      <c r="D5" s="17" t="s">
        <v>149</v>
      </c>
      <c r="E5" s="18">
        <v>2</v>
      </c>
      <c r="F5" s="7" t="s">
        <v>150</v>
      </c>
      <c r="G5" s="17"/>
      <c r="H5" s="17" t="s">
        <v>251</v>
      </c>
      <c r="I5" s="17"/>
      <c r="J5" s="17"/>
      <c r="K5" s="17"/>
      <c r="L5" s="17"/>
      <c r="M5" s="241"/>
    </row>
    <row r="6" spans="2:36" x14ac:dyDescent="0.25">
      <c r="C6" s="1173"/>
      <c r="D6" s="17" t="s">
        <v>152</v>
      </c>
      <c r="E6" s="18">
        <v>50</v>
      </c>
      <c r="F6" s="7" t="s">
        <v>151</v>
      </c>
      <c r="G6" s="17"/>
      <c r="H6" s="17" t="s">
        <v>252</v>
      </c>
      <c r="I6" s="17"/>
      <c r="J6" s="17"/>
      <c r="K6" s="17"/>
      <c r="L6" s="17"/>
      <c r="M6" s="241"/>
    </row>
    <row r="7" spans="2:36" x14ac:dyDescent="0.25">
      <c r="C7" s="1173"/>
      <c r="D7" s="142" t="s">
        <v>153</v>
      </c>
      <c r="E7" s="18">
        <f>E6-E5</f>
        <v>48</v>
      </c>
      <c r="F7" s="7" t="s">
        <v>154</v>
      </c>
      <c r="G7" s="17"/>
      <c r="H7" s="17"/>
      <c r="I7" s="17"/>
      <c r="J7" s="17"/>
      <c r="K7" s="17"/>
      <c r="L7" s="17"/>
      <c r="M7" s="241"/>
    </row>
    <row r="8" spans="2:36" x14ac:dyDescent="0.25">
      <c r="C8" s="1173"/>
      <c r="D8" s="142" t="s">
        <v>157</v>
      </c>
      <c r="E8" s="192"/>
      <c r="F8" s="8" t="s">
        <v>160</v>
      </c>
      <c r="G8" s="17"/>
      <c r="H8" s="17"/>
      <c r="I8" s="17"/>
      <c r="J8" s="17"/>
      <c r="K8" s="17"/>
      <c r="L8" s="17"/>
      <c r="M8" s="241"/>
    </row>
    <row r="9" spans="2:36" x14ac:dyDescent="0.25">
      <c r="C9" s="1173"/>
      <c r="D9" s="142" t="s">
        <v>158</v>
      </c>
      <c r="E9" s="192"/>
      <c r="F9" s="8" t="s">
        <v>161</v>
      </c>
      <c r="G9" s="17"/>
      <c r="H9" s="17"/>
      <c r="I9" s="17"/>
      <c r="J9" s="17"/>
      <c r="K9" s="17"/>
      <c r="L9" s="17"/>
      <c r="M9" s="241"/>
    </row>
    <row r="10" spans="2:36" x14ac:dyDescent="0.25">
      <c r="C10" s="1174"/>
      <c r="D10" s="267" t="s">
        <v>159</v>
      </c>
      <c r="E10" s="268"/>
      <c r="F10" s="269" t="s">
        <v>162</v>
      </c>
      <c r="G10" s="259"/>
      <c r="H10" s="259"/>
      <c r="I10" s="259"/>
      <c r="J10" s="259"/>
      <c r="K10" s="259"/>
      <c r="L10" s="259"/>
      <c r="M10" s="262"/>
    </row>
    <row r="11" spans="2:36" x14ac:dyDescent="0.25">
      <c r="C11" s="258"/>
      <c r="D11" s="142"/>
      <c r="E11" s="192"/>
      <c r="F11" s="8"/>
      <c r="G11" s="17"/>
      <c r="H11" s="17"/>
      <c r="I11" s="17"/>
      <c r="J11" s="17"/>
      <c r="K11" s="17"/>
      <c r="L11" s="17"/>
    </row>
    <row r="12" spans="2:36" x14ac:dyDescent="0.25">
      <c r="C12" s="1172" t="s">
        <v>167</v>
      </c>
      <c r="D12" s="152" t="s">
        <v>101</v>
      </c>
      <c r="E12" s="152" t="s">
        <v>738</v>
      </c>
      <c r="F12" s="152"/>
      <c r="G12" s="266"/>
      <c r="H12" s="266"/>
      <c r="I12" s="266"/>
      <c r="J12" s="266"/>
      <c r="K12" s="266"/>
      <c r="L12" s="266"/>
      <c r="M12" s="261"/>
    </row>
    <row r="13" spans="2:36" x14ac:dyDescent="0.25">
      <c r="C13" s="1173"/>
      <c r="D13" s="17" t="s">
        <v>149</v>
      </c>
      <c r="E13" s="18">
        <v>5</v>
      </c>
      <c r="F13" s="7" t="s">
        <v>150</v>
      </c>
      <c r="G13" s="17"/>
      <c r="H13" s="17" t="s">
        <v>254</v>
      </c>
      <c r="I13" s="17"/>
      <c r="J13" s="17"/>
      <c r="K13" s="17"/>
      <c r="L13" s="17"/>
      <c r="M13" s="241"/>
    </row>
    <row r="14" spans="2:36" s="33" customFormat="1" x14ac:dyDescent="0.25">
      <c r="B14"/>
      <c r="C14" s="1173"/>
      <c r="D14" s="17" t="s">
        <v>152</v>
      </c>
      <c r="E14" s="18">
        <v>255</v>
      </c>
      <c r="F14" s="7" t="s">
        <v>151</v>
      </c>
      <c r="G14" s="17"/>
      <c r="H14" s="17" t="s">
        <v>253</v>
      </c>
      <c r="I14" s="17"/>
      <c r="J14" s="17"/>
      <c r="K14" s="17"/>
      <c r="L14" s="17"/>
      <c r="M14" s="241"/>
      <c r="X14"/>
      <c r="Y14"/>
      <c r="Z14"/>
      <c r="AA14"/>
      <c r="AB14"/>
      <c r="AC14"/>
      <c r="AD14"/>
      <c r="AE14"/>
      <c r="AF14"/>
      <c r="AG14"/>
      <c r="AH14"/>
      <c r="AI14"/>
      <c r="AJ14"/>
    </row>
    <row r="15" spans="2:36" s="33" customFormat="1" x14ac:dyDescent="0.25">
      <c r="B15"/>
      <c r="C15" s="1173"/>
      <c r="D15" s="142" t="s">
        <v>153</v>
      </c>
      <c r="E15" s="18">
        <f>E14-E13</f>
        <v>250</v>
      </c>
      <c r="F15" s="7" t="s">
        <v>154</v>
      </c>
      <c r="G15" s="17"/>
      <c r="H15" s="17"/>
      <c r="I15" s="17"/>
      <c r="J15" s="17"/>
      <c r="K15" s="17"/>
      <c r="L15" s="17"/>
      <c r="M15" s="241"/>
      <c r="X15"/>
      <c r="Y15"/>
      <c r="Z15"/>
      <c r="AA15"/>
      <c r="AB15"/>
      <c r="AC15"/>
      <c r="AD15"/>
      <c r="AE15"/>
      <c r="AF15"/>
      <c r="AG15"/>
      <c r="AH15"/>
      <c r="AI15"/>
      <c r="AJ15"/>
    </row>
    <row r="16" spans="2:36" s="33" customFormat="1" x14ac:dyDescent="0.25">
      <c r="B16"/>
      <c r="C16" s="1173"/>
      <c r="D16" s="142" t="s">
        <v>157</v>
      </c>
      <c r="E16" s="192"/>
      <c r="F16" s="8" t="s">
        <v>160</v>
      </c>
      <c r="G16" s="17"/>
      <c r="H16" s="17"/>
      <c r="I16" s="17"/>
      <c r="J16" s="17"/>
      <c r="K16" s="17"/>
      <c r="L16" s="17"/>
      <c r="M16" s="241"/>
      <c r="X16"/>
      <c r="Y16"/>
      <c r="Z16"/>
      <c r="AA16"/>
      <c r="AB16"/>
      <c r="AC16"/>
      <c r="AD16"/>
      <c r="AE16"/>
      <c r="AF16"/>
      <c r="AG16"/>
      <c r="AH16"/>
      <c r="AI16"/>
      <c r="AJ16"/>
    </row>
    <row r="17" spans="2:48" s="33" customFormat="1" x14ac:dyDescent="0.25">
      <c r="B17"/>
      <c r="C17" s="1173"/>
      <c r="D17" s="142" t="s">
        <v>158</v>
      </c>
      <c r="E17" s="192"/>
      <c r="F17" s="8" t="s">
        <v>161</v>
      </c>
      <c r="G17" s="17"/>
      <c r="H17" s="17"/>
      <c r="I17" s="17"/>
      <c r="J17" s="17"/>
      <c r="K17" s="17"/>
      <c r="L17" s="17"/>
      <c r="M17" s="241"/>
      <c r="X17"/>
      <c r="Y17"/>
      <c r="Z17"/>
      <c r="AA17"/>
      <c r="AB17"/>
      <c r="AC17"/>
      <c r="AD17"/>
      <c r="AE17"/>
      <c r="AF17"/>
      <c r="AG17"/>
      <c r="AH17"/>
      <c r="AI17"/>
      <c r="AJ17"/>
    </row>
    <row r="18" spans="2:48" s="33" customFormat="1" x14ac:dyDescent="0.25">
      <c r="B18"/>
      <c r="C18" s="1174"/>
      <c r="D18" s="267" t="s">
        <v>159</v>
      </c>
      <c r="E18" s="268"/>
      <c r="F18" s="269" t="s">
        <v>162</v>
      </c>
      <c r="G18" s="259"/>
      <c r="H18" s="259"/>
      <c r="I18" s="259"/>
      <c r="J18" s="259"/>
      <c r="K18" s="259"/>
      <c r="L18" s="259"/>
      <c r="M18" s="262"/>
      <c r="X18"/>
      <c r="Y18"/>
      <c r="Z18"/>
      <c r="AA18"/>
      <c r="AB18"/>
      <c r="AC18"/>
      <c r="AD18"/>
      <c r="AE18"/>
      <c r="AF18"/>
      <c r="AG18"/>
      <c r="AH18"/>
      <c r="AI18"/>
      <c r="AJ18"/>
    </row>
    <row r="19" spans="2:48" s="33" customFormat="1" ht="15.75" thickBot="1" x14ac:dyDescent="0.3">
      <c r="B19"/>
      <c r="C19" s="258"/>
      <c r="D19" s="142"/>
      <c r="E19" s="192"/>
      <c r="F19" s="8"/>
      <c r="G19" s="17"/>
      <c r="H19" s="17"/>
      <c r="I19" s="17"/>
      <c r="J19" s="17"/>
      <c r="K19" s="17"/>
      <c r="L19" s="17"/>
      <c r="X19"/>
      <c r="Y19"/>
      <c r="Z19"/>
      <c r="AA19"/>
      <c r="AB19"/>
      <c r="AC19"/>
      <c r="AD19"/>
      <c r="AE19"/>
      <c r="AF19"/>
      <c r="AG19"/>
      <c r="AH19"/>
      <c r="AI19"/>
      <c r="AJ19"/>
    </row>
    <row r="20" spans="2:48" s="33" customFormat="1" x14ac:dyDescent="0.25">
      <c r="B20"/>
      <c r="C20" s="1175" t="s">
        <v>152</v>
      </c>
      <c r="D20" s="275" t="s">
        <v>164</v>
      </c>
      <c r="E20" s="276" t="s">
        <v>168</v>
      </c>
      <c r="F20" s="253" t="s">
        <v>166</v>
      </c>
      <c r="G20" s="253"/>
      <c r="H20" s="253"/>
      <c r="I20" s="251"/>
      <c r="X20"/>
      <c r="Y20"/>
      <c r="Z20"/>
      <c r="AA20"/>
      <c r="AB20"/>
      <c r="AC20"/>
      <c r="AD20"/>
      <c r="AE20"/>
      <c r="AF20"/>
      <c r="AG20"/>
      <c r="AH20"/>
      <c r="AI20"/>
      <c r="AJ20"/>
    </row>
    <row r="21" spans="2:48" x14ac:dyDescent="0.25">
      <c r="C21" s="1176"/>
      <c r="D21" s="17" t="s">
        <v>139</v>
      </c>
      <c r="E21" s="256">
        <v>4</v>
      </c>
      <c r="F21" s="17" t="s">
        <v>140</v>
      </c>
      <c r="G21" s="17"/>
      <c r="H21" s="17"/>
      <c r="I21" s="197"/>
    </row>
    <row r="22" spans="2:48" x14ac:dyDescent="0.25">
      <c r="C22" s="1176"/>
      <c r="D22" s="17" t="s">
        <v>5</v>
      </c>
      <c r="E22" s="18">
        <v>1</v>
      </c>
      <c r="F22" s="17" t="s">
        <v>143</v>
      </c>
      <c r="G22" s="17"/>
      <c r="H22" s="17"/>
      <c r="I22" s="197"/>
    </row>
    <row r="23" spans="2:48" ht="15" customHeight="1" x14ac:dyDescent="0.25">
      <c r="C23" s="1176"/>
      <c r="D23" s="142" t="s">
        <v>155</v>
      </c>
      <c r="E23" s="18">
        <f>SUM(E7,E15)</f>
        <v>298</v>
      </c>
      <c r="F23" s="551" t="s">
        <v>226</v>
      </c>
      <c r="G23" s="17"/>
      <c r="H23" s="17"/>
      <c r="I23" s="197"/>
      <c r="K23" s="1228" t="s">
        <v>443</v>
      </c>
      <c r="L23" s="1228"/>
      <c r="M23" s="1228"/>
      <c r="N23" s="1228"/>
    </row>
    <row r="24" spans="2:48" ht="15.75" thickBot="1" x14ac:dyDescent="0.3">
      <c r="C24" s="1177"/>
      <c r="D24" s="168" t="s">
        <v>141</v>
      </c>
      <c r="E24" s="277">
        <f>E22*E23*LN(E21)</f>
        <v>413.11571961372738</v>
      </c>
      <c r="F24" s="168" t="s">
        <v>142</v>
      </c>
      <c r="G24" s="254"/>
      <c r="H24" s="254"/>
      <c r="I24" s="252"/>
      <c r="K24" s="1228"/>
      <c r="L24" s="1228"/>
      <c r="M24" s="1228"/>
      <c r="N24" s="1228"/>
    </row>
    <row r="25" spans="2:48" x14ac:dyDescent="0.25">
      <c r="B25" s="7"/>
    </row>
    <row r="26" spans="2:48" ht="15.75" thickBot="1" x14ac:dyDescent="0.3">
      <c r="W26" s="142"/>
      <c r="X26" s="8"/>
      <c r="Y26" s="8"/>
      <c r="Z26" s="8"/>
      <c r="AA26" s="8"/>
      <c r="AB26" s="8"/>
      <c r="AC26" s="8"/>
      <c r="AD26" s="8"/>
      <c r="AF26" s="8"/>
      <c r="AG26" s="7"/>
      <c r="AH26" s="7"/>
      <c r="AI26" s="7"/>
      <c r="AJ26" s="7"/>
      <c r="AK26" s="7"/>
    </row>
    <row r="27" spans="2:48" ht="19.5" thickBot="1" x14ac:dyDescent="0.35">
      <c r="C27" s="7"/>
      <c r="E27" s="201" t="s">
        <v>12</v>
      </c>
      <c r="F27" s="202"/>
      <c r="G27" s="202"/>
      <c r="H27" s="203"/>
      <c r="I27" s="201" t="s">
        <v>229</v>
      </c>
      <c r="J27" s="202"/>
      <c r="K27" s="202"/>
      <c r="L27" s="203"/>
      <c r="M27" s="201" t="s">
        <v>228</v>
      </c>
      <c r="N27" s="202"/>
      <c r="O27" s="202"/>
      <c r="P27" s="203"/>
      <c r="Q27" s="201" t="s">
        <v>227</v>
      </c>
      <c r="R27" s="202"/>
      <c r="S27" s="202"/>
      <c r="T27" s="203"/>
      <c r="U27" s="201" t="s">
        <v>231</v>
      </c>
      <c r="V27" s="202"/>
      <c r="W27" s="202"/>
      <c r="X27" s="203"/>
      <c r="Y27" s="201" t="s">
        <v>230</v>
      </c>
      <c r="Z27" s="202"/>
      <c r="AA27" s="202"/>
      <c r="AB27" s="203"/>
      <c r="AC27" s="201" t="s">
        <v>36</v>
      </c>
      <c r="AD27" s="203" t="s">
        <v>35</v>
      </c>
      <c r="AE27" s="195"/>
      <c r="AF27" s="464" t="s">
        <v>98</v>
      </c>
      <c r="AG27" s="465"/>
      <c r="AH27" s="185" t="s">
        <v>99</v>
      </c>
      <c r="AI27" s="7"/>
      <c r="AJ27" s="7" t="s">
        <v>100</v>
      </c>
      <c r="AK27" s="20"/>
      <c r="AL27" s="186" t="s">
        <v>100</v>
      </c>
      <c r="AM27" s="20"/>
      <c r="AN27" s="20"/>
      <c r="AO27" s="20"/>
      <c r="AP27" s="7"/>
      <c r="AQ27" s="7"/>
      <c r="AR27" s="7"/>
      <c r="AS27" s="7"/>
      <c r="AT27" s="7"/>
      <c r="AU27" s="7"/>
      <c r="AV27" s="7"/>
    </row>
    <row r="28" spans="2:48" ht="16.5" thickTop="1" thickBot="1" x14ac:dyDescent="0.3">
      <c r="C28" s="32"/>
      <c r="D28" s="117" t="s">
        <v>45</v>
      </c>
      <c r="E28" s="249" t="str">
        <f>"S("&amp;$E$5&amp;", "&amp;$E$13&amp;")"</f>
        <v>S(2, 5)</v>
      </c>
      <c r="F28" s="178" t="str">
        <f>"S("&amp;$E$5&amp;", "&amp;$E$14&amp;")"</f>
        <v>S(2, 255)</v>
      </c>
      <c r="G28" s="175" t="str">
        <f>"S("&amp;$E$6&amp;", "&amp;$E$13&amp;")"</f>
        <v>S(50, 5)</v>
      </c>
      <c r="H28" s="317" t="str">
        <f>"S("&amp;$E$6&amp;", "&amp;$E$14&amp;")"</f>
        <v>S(50, 255)</v>
      </c>
      <c r="I28" s="249" t="str">
        <f>"P"&amp;(RIGHT(E28,LEN(E28)-1))</f>
        <v>P(2, 5)</v>
      </c>
      <c r="J28" s="178" t="str">
        <f t="shared" ref="J28:K28" si="0">"P"&amp;(RIGHT(F28,LEN(F28)-1))</f>
        <v>P(2, 255)</v>
      </c>
      <c r="K28" s="175" t="str">
        <f t="shared" si="0"/>
        <v>P(50, 5)</v>
      </c>
      <c r="L28" s="317" t="str">
        <f>"P"&amp;(RIGHT(H28,LEN(H28)-1))</f>
        <v>P(50, 255)</v>
      </c>
      <c r="M28" s="1225" t="str">
        <f>"P("&amp;$E$5&amp;",:)      &lt;--- d1 ---&gt;      P("&amp;$E$6&amp;",:)"</f>
        <v>P(2,:)      &lt;--- d1 ---&gt;      P(50,:)</v>
      </c>
      <c r="N28" s="1226"/>
      <c r="O28" s="1223" t="str">
        <f>"P(:,"&amp;$E$13&amp;")     &lt;--- d2 ---&gt;    P(:,"&amp;$E$14&amp;")"</f>
        <v>P(:,5)     &lt;--- d2 ---&gt;    P(:,255)</v>
      </c>
      <c r="P28" s="1224"/>
      <c r="Q28" s="1225" t="str">
        <f>"V"&amp;RIGHT(M28,LEN(M28)-1)</f>
        <v>V(2,:)      &lt;--- d1 ---&gt;      P(50,:)</v>
      </c>
      <c r="R28" s="1226"/>
      <c r="S28" s="1227" t="str">
        <f t="shared" ref="S28" si="1">"V"&amp;RIGHT(O28,LEN(O28)-1)</f>
        <v>V(:,5)     &lt;--- d2 ---&gt;    P(:,255)</v>
      </c>
      <c r="T28" s="1224"/>
      <c r="U28" s="1225" t="str">
        <f>Q28</f>
        <v>V(2,:)      &lt;--- d1 ---&gt;      P(50,:)</v>
      </c>
      <c r="V28" s="1226"/>
      <c r="W28" s="1227" t="str">
        <f t="shared" ref="W28" si="2">S28</f>
        <v>V(:,5)     &lt;--- d2 ---&gt;    P(:,255)</v>
      </c>
      <c r="X28" s="1224"/>
      <c r="Y28" s="249" t="str">
        <f>I28</f>
        <v>P(2, 5)</v>
      </c>
      <c r="Z28" s="178" t="str">
        <f>J28</f>
        <v>P(2, 255)</v>
      </c>
      <c r="AA28" s="175" t="str">
        <f>K28</f>
        <v>P(50, 5)</v>
      </c>
      <c r="AB28" s="317" t="str">
        <f>L28</f>
        <v>P(50, 255)</v>
      </c>
      <c r="AC28" s="508">
        <v>0</v>
      </c>
      <c r="AD28" s="205"/>
      <c r="AE28" s="142"/>
      <c r="AF28" s="182" t="str">
        <f>I28</f>
        <v>P(2, 5)</v>
      </c>
      <c r="AG28" s="183" t="str">
        <f>L28</f>
        <v>P(50, 255)</v>
      </c>
      <c r="AH28" s="7"/>
      <c r="AI28" s="7"/>
      <c r="AJ28" s="7"/>
      <c r="AK28" s="7"/>
      <c r="AM28" s="7" t="s">
        <v>180</v>
      </c>
      <c r="AN28" s="7"/>
      <c r="AO28" s="7"/>
      <c r="AP28" s="7"/>
      <c r="AQ28" s="7"/>
      <c r="AR28" s="7"/>
      <c r="AS28" s="7"/>
      <c r="AT28" s="7"/>
      <c r="AU28" s="7"/>
      <c r="AV28" s="7"/>
    </row>
    <row r="29" spans="2:48" ht="15.75" thickTop="1" x14ac:dyDescent="0.25">
      <c r="C29" s="7"/>
      <c r="D29" s="25">
        <v>1</v>
      </c>
      <c r="E29" s="318">
        <v>0</v>
      </c>
      <c r="F29" s="216">
        <v>0</v>
      </c>
      <c r="G29" s="215">
        <v>0</v>
      </c>
      <c r="H29" s="319">
        <v>0</v>
      </c>
      <c r="I29" s="328">
        <f t="shared" ref="I29:I37" si="3">EXP(E29/$E$22)/(EXP($E29/$E$22)+EXP($F29/$E$22)+EXP($G29/$E$22)+EXP($H29/$E$22))</f>
        <v>0.25</v>
      </c>
      <c r="J29" s="212">
        <f t="shared" ref="J29:J37" si="4">EXP(F29/$E$22)/(EXP($E29/$E$22)+EXP($F29/$E$22)+EXP($G29/$E$22)+EXP($H29/$E$22))</f>
        <v>0.25</v>
      </c>
      <c r="K29" s="211">
        <f t="shared" ref="K29:K37" si="5">EXP(G29/$E$22)/(EXP($E29/$E$22)+EXP($F29/$E$22)+EXP($G29/$E$22)+EXP($H29/$E$22))</f>
        <v>0.25</v>
      </c>
      <c r="L29" s="329">
        <f t="shared" ref="L29:L37" si="6">EXP(H29/$E$22)/(EXP($E29/$E$22)+EXP($F29/$E$22)+EXP($G29/$E$22)+EXP($H29/$E$22))</f>
        <v>0.25</v>
      </c>
      <c r="M29" s="490">
        <f>SUM(I29:J29)</f>
        <v>0.5</v>
      </c>
      <c r="N29" s="1085">
        <f>SUM(K29,L29)</f>
        <v>0.5</v>
      </c>
      <c r="O29" s="1089">
        <f>SUM(K29,I29)</f>
        <v>0.5</v>
      </c>
      <c r="P29" s="476">
        <f>SUM(J29,L29)</f>
        <v>0.5</v>
      </c>
      <c r="Q29" s="490">
        <f>M29*$E$7</f>
        <v>24</v>
      </c>
      <c r="R29" s="1082">
        <f>N29*$E$7</f>
        <v>24</v>
      </c>
      <c r="S29" s="495">
        <f>O29*$E$15</f>
        <v>125</v>
      </c>
      <c r="T29" s="476">
        <f>P29*$E$15</f>
        <v>125</v>
      </c>
      <c r="U29" s="490">
        <f>Q29+$E$5</f>
        <v>26</v>
      </c>
      <c r="V29" s="1082">
        <f>R29+$E$5</f>
        <v>26</v>
      </c>
      <c r="W29" s="495">
        <f>S29+$E$13</f>
        <v>130</v>
      </c>
      <c r="X29" s="476">
        <f>T29+$E$13</f>
        <v>130</v>
      </c>
      <c r="Y29" s="318">
        <f>SUM(Q29,S29)</f>
        <v>149</v>
      </c>
      <c r="Z29" s="216">
        <f t="shared" ref="Z29:Z38" si="7">SUM(Q29,T29)</f>
        <v>149</v>
      </c>
      <c r="AA29" s="215">
        <f t="shared" ref="AA29:AA38" si="8">SUM(R29,S29)</f>
        <v>149</v>
      </c>
      <c r="AB29" s="319">
        <f t="shared" ref="AB29:AB38" si="9">SUM(R29,T29)</f>
        <v>149</v>
      </c>
      <c r="AC29" s="81">
        <f>$E$23*$E$22*LN(EXP($E29/$E$22) + EXP($F29/$E$22) + EXP($G29/$E$22) +EXP($H29/$E$22) )</f>
        <v>413.11571961372738</v>
      </c>
      <c r="AD29" s="206">
        <f>(AC29-AC28)</f>
        <v>413.11571961372738</v>
      </c>
      <c r="AE29" s="196"/>
      <c r="AF29" s="116"/>
      <c r="AG29" s="102"/>
      <c r="AH29" s="7"/>
      <c r="AI29" s="7"/>
      <c r="AJ29" s="7"/>
      <c r="AK29" s="7"/>
      <c r="AM29" s="315" t="s">
        <v>212</v>
      </c>
      <c r="AN29" s="7"/>
      <c r="AO29" s="7"/>
      <c r="AP29" s="7"/>
      <c r="AQ29" s="7"/>
      <c r="AR29" s="7"/>
      <c r="AS29" s="7"/>
      <c r="AT29" s="189"/>
      <c r="AU29" s="7"/>
      <c r="AV29" s="7"/>
    </row>
    <row r="30" spans="2:48" ht="18.75" x14ac:dyDescent="0.3">
      <c r="C30" s="7"/>
      <c r="D30" s="25">
        <v>2</v>
      </c>
      <c r="E30" s="320">
        <v>0</v>
      </c>
      <c r="F30" s="234">
        <v>0</v>
      </c>
      <c r="G30" s="233">
        <v>1</v>
      </c>
      <c r="H30" s="321">
        <v>1</v>
      </c>
      <c r="I30" s="330">
        <f t="shared" si="3"/>
        <v>0.13447071068499758</v>
      </c>
      <c r="J30" s="230">
        <f t="shared" si="4"/>
        <v>0.13447071068499758</v>
      </c>
      <c r="K30" s="229">
        <f t="shared" si="5"/>
        <v>0.3655292893150025</v>
      </c>
      <c r="L30" s="331">
        <f t="shared" si="6"/>
        <v>0.3655292893150025</v>
      </c>
      <c r="M30" s="491">
        <f t="shared" ref="M30:M37" si="10">SUM(I30:J30)</f>
        <v>0.26894142136999516</v>
      </c>
      <c r="N30" s="1080">
        <f t="shared" ref="N30:N38" si="11">SUM(K30,L30)</f>
        <v>0.73105857863000501</v>
      </c>
      <c r="O30" s="1088">
        <f t="shared" ref="O30:O38" si="12">SUM(K30,I30)</f>
        <v>0.50000000000000011</v>
      </c>
      <c r="P30" s="477">
        <f t="shared" ref="P30:P38" si="13">SUM(J30,L30)</f>
        <v>0.50000000000000011</v>
      </c>
      <c r="Q30" s="491">
        <f t="shared" ref="Q30:Q38" si="14">M30*$E$7</f>
        <v>12.909188225759767</v>
      </c>
      <c r="R30" s="1081">
        <f t="shared" ref="R30:R38" si="15">N30*$E$7</f>
        <v>35.090811774240237</v>
      </c>
      <c r="S30" s="496">
        <f t="shared" ref="S30:S38" si="16">O30*$E$15</f>
        <v>125.00000000000003</v>
      </c>
      <c r="T30" s="477">
        <f t="shared" ref="T30:T37" si="17">P30*$E$15</f>
        <v>125.00000000000003</v>
      </c>
      <c r="U30" s="491">
        <f t="shared" ref="U30:U38" si="18">Q30+$E$5</f>
        <v>14.909188225759767</v>
      </c>
      <c r="V30" s="1081">
        <f t="shared" ref="V30:V38" si="19">R30+$E$5</f>
        <v>37.090811774240237</v>
      </c>
      <c r="W30" s="496">
        <f t="shared" ref="W30:W38" si="20">S30+$E$13</f>
        <v>130.00000000000003</v>
      </c>
      <c r="X30" s="477">
        <f>T30+$E$13</f>
        <v>130.00000000000003</v>
      </c>
      <c r="Y30" s="320">
        <f t="shared" ref="Y30:Y38" si="21">SUM(Q30,S30)</f>
        <v>137.90918822575981</v>
      </c>
      <c r="Z30" s="234">
        <f t="shared" si="7"/>
        <v>137.90918822575981</v>
      </c>
      <c r="AA30" s="233">
        <f t="shared" si="8"/>
        <v>160.09081177424025</v>
      </c>
      <c r="AB30" s="321">
        <f t="shared" si="9"/>
        <v>160.09081177424025</v>
      </c>
      <c r="AC30" s="82">
        <f t="shared" ref="AC30:AC37" si="22">$E$23*$E$22*LN(EXP($E30/$E$22) + EXP($F30/$E$22) + EXP($G30/$E$22) +EXP($H30/$E$22) )</f>
        <v>597.90984268729403</v>
      </c>
      <c r="AD30" s="208">
        <f>(AC30-AC29)</f>
        <v>184.79412307356665</v>
      </c>
      <c r="AE30" s="196"/>
      <c r="AF30" s="116">
        <f>I30-I29</f>
        <v>-0.11552928931500242</v>
      </c>
      <c r="AG30" s="102">
        <f>L30-L29</f>
        <v>0.1155292893150025</v>
      </c>
      <c r="AH30" s="184">
        <f t="shared" ref="AH30:AH37" si="23">AD30</f>
        <v>184.79412307356665</v>
      </c>
      <c r="AI30" s="7"/>
      <c r="AJ30" s="7" t="str">
        <f t="shared" ref="AJ30:AJ37" si="24">IF(AF30&gt;0,"Bought ",IF(AF30&lt;0,"Sold ",""))&amp;IF(AF30&lt;0,AF30*-1,IF(AF30&gt;0,AF30,""))&amp;IF(AF30&lt;&gt;0," Shares of State 1 at a cost of "&amp;ROUND($AD30,5),"")</f>
        <v>Sold 0.115529289315002 Shares of State 1 at a cost of 184.79412</v>
      </c>
      <c r="AK30" s="7" t="str">
        <f t="shared" ref="AK30:AK37" si="25">IF(AG30&gt;0,"Bought ",IF(AG30&lt;0,"Sold ",""))&amp;IF(AG30&lt;0,AG30*-1,IF(AG30&gt;0,AG30,""))&amp;IF(AG30&lt;&gt;0," Shares of State 2 at a cost of "&amp;ROUND($AD30,5),"")</f>
        <v>Bought 0.115529289315003 Shares of State 2 at a cost of 184.79412</v>
      </c>
      <c r="AL30" s="187" t="str">
        <f t="shared" ref="AL30:AL37" si="26">AJ30&amp;AK30</f>
        <v>Sold 0.115529289315002 Shares of State 1 at a cost of 184.79412Bought 0.115529289315003 Shares of State 2 at a cost of 184.79412</v>
      </c>
      <c r="AM30" s="7" t="s">
        <v>233</v>
      </c>
      <c r="AN30" s="499">
        <f>R38/R29</f>
        <v>2</v>
      </c>
      <c r="AO30" s="7"/>
      <c r="AP30" s="7"/>
      <c r="AQ30" s="7"/>
      <c r="AR30" s="7"/>
      <c r="AS30" s="7"/>
      <c r="AT30" s="7"/>
      <c r="AU30" s="7"/>
      <c r="AV30" s="7"/>
    </row>
    <row r="31" spans="2:48" ht="18.75" x14ac:dyDescent="0.3">
      <c r="C31" s="21"/>
      <c r="D31" s="25">
        <v>3</v>
      </c>
      <c r="E31" s="320">
        <v>6</v>
      </c>
      <c r="F31" s="234">
        <v>8</v>
      </c>
      <c r="G31" s="233">
        <v>6</v>
      </c>
      <c r="H31" s="321">
        <v>8</v>
      </c>
      <c r="I31" s="330">
        <f t="shared" si="3"/>
        <v>5.9601461011058773E-2</v>
      </c>
      <c r="J31" s="230">
        <f t="shared" si="4"/>
        <v>0.44039853898894121</v>
      </c>
      <c r="K31" s="229">
        <f t="shared" si="5"/>
        <v>5.9601461011058773E-2</v>
      </c>
      <c r="L31" s="331">
        <f t="shared" si="6"/>
        <v>0.44039853898894121</v>
      </c>
      <c r="M31" s="491">
        <f t="shared" si="10"/>
        <v>0.5</v>
      </c>
      <c r="N31" s="1080">
        <f t="shared" si="11"/>
        <v>0.5</v>
      </c>
      <c r="O31" s="1088">
        <f t="shared" si="12"/>
        <v>0.11920292202211755</v>
      </c>
      <c r="P31" s="477">
        <f t="shared" si="13"/>
        <v>0.88079707797788243</v>
      </c>
      <c r="Q31" s="491">
        <f t="shared" si="14"/>
        <v>24</v>
      </c>
      <c r="R31" s="1081">
        <f t="shared" si="15"/>
        <v>24</v>
      </c>
      <c r="S31" s="496">
        <f t="shared" si="16"/>
        <v>29.800730505529387</v>
      </c>
      <c r="T31" s="477">
        <f t="shared" si="17"/>
        <v>220.1992694944706</v>
      </c>
      <c r="U31" s="491">
        <f t="shared" si="18"/>
        <v>26</v>
      </c>
      <c r="V31" s="1081">
        <f t="shared" si="19"/>
        <v>26</v>
      </c>
      <c r="W31" s="496">
        <f t="shared" si="20"/>
        <v>34.800730505529387</v>
      </c>
      <c r="X31" s="477">
        <f t="shared" ref="X31:X38" si="27">T31+$E$13</f>
        <v>225.1992694944706</v>
      </c>
      <c r="Y31" s="320">
        <f t="shared" si="21"/>
        <v>53.800730505529387</v>
      </c>
      <c r="Z31" s="234">
        <f t="shared" si="7"/>
        <v>244.1992694944706</v>
      </c>
      <c r="AA31" s="233">
        <f t="shared" si="8"/>
        <v>53.800730505529387</v>
      </c>
      <c r="AB31" s="321">
        <f t="shared" si="9"/>
        <v>244.1992694944706</v>
      </c>
      <c r="AC31" s="82">
        <f>$E$23*$E$22*LN(EXP($E31/$E$22) + EXP($F31/$E$22) + EXP($G31/$E$22) +EXP($H31/$E$22) )</f>
        <v>2628.3824070976693</v>
      </c>
      <c r="AD31" s="208">
        <f t="shared" ref="AD31" si="28">(AC31-AC30)</f>
        <v>2030.4725644103753</v>
      </c>
      <c r="AE31" s="196"/>
      <c r="AF31" s="116">
        <f>I31-I30</f>
        <v>-7.4869249673938806E-2</v>
      </c>
      <c r="AG31" s="102">
        <f>L31-L30</f>
        <v>7.4869249673938709E-2</v>
      </c>
      <c r="AH31" s="184">
        <f t="shared" si="23"/>
        <v>2030.4725644103753</v>
      </c>
      <c r="AI31" s="7"/>
      <c r="AJ31" s="7" t="str">
        <f t="shared" si="24"/>
        <v>Sold 0.0748692496739388 Shares of State 1 at a cost of 2030.47256</v>
      </c>
      <c r="AK31" s="7" t="str">
        <f t="shared" si="25"/>
        <v>Bought 0.0748692496739387 Shares of State 2 at a cost of 2030.47256</v>
      </c>
      <c r="AL31" s="187" t="str">
        <f t="shared" si="26"/>
        <v>Sold 0.0748692496739388 Shares of State 1 at a cost of 2030.47256Bought 0.0748692496739387 Shares of State 2 at a cost of 2030.47256</v>
      </c>
      <c r="AN31" s="7" t="s">
        <v>177</v>
      </c>
      <c r="AO31" s="7" t="s">
        <v>178</v>
      </c>
      <c r="AP31" t="s">
        <v>236</v>
      </c>
      <c r="AU31" s="7"/>
      <c r="AV31" s="7"/>
    </row>
    <row r="32" spans="2:48" ht="18.75" x14ac:dyDescent="0.3">
      <c r="C32" s="21"/>
      <c r="D32" s="25">
        <v>4</v>
      </c>
      <c r="E32" s="320">
        <v>6</v>
      </c>
      <c r="F32" s="234">
        <v>8</v>
      </c>
      <c r="G32" s="233">
        <v>5</v>
      </c>
      <c r="H32" s="321">
        <v>7</v>
      </c>
      <c r="I32" s="330">
        <f t="shared" si="3"/>
        <v>8.7144318742032559E-2</v>
      </c>
      <c r="J32" s="230">
        <f t="shared" si="4"/>
        <v>0.64391425988797235</v>
      </c>
      <c r="K32" s="229">
        <f t="shared" si="5"/>
        <v>3.2058603280084988E-2</v>
      </c>
      <c r="L32" s="331">
        <f t="shared" si="6"/>
        <v>0.2368828180899101</v>
      </c>
      <c r="M32" s="491">
        <f t="shared" si="10"/>
        <v>0.7310585786300049</v>
      </c>
      <c r="N32" s="1080">
        <f t="shared" si="11"/>
        <v>0.2689414213699951</v>
      </c>
      <c r="O32" s="1088">
        <f t="shared" si="12"/>
        <v>0.11920292202211755</v>
      </c>
      <c r="P32" s="477">
        <f t="shared" si="13"/>
        <v>0.88079707797788243</v>
      </c>
      <c r="Q32" s="491">
        <f t="shared" si="14"/>
        <v>35.090811774240237</v>
      </c>
      <c r="R32" s="1081">
        <f t="shared" si="15"/>
        <v>12.909188225759765</v>
      </c>
      <c r="S32" s="496">
        <f t="shared" si="16"/>
        <v>29.800730505529387</v>
      </c>
      <c r="T32" s="477">
        <f t="shared" si="17"/>
        <v>220.1992694944706</v>
      </c>
      <c r="U32" s="491">
        <f t="shared" si="18"/>
        <v>37.090811774240237</v>
      </c>
      <c r="V32" s="1081">
        <f t="shared" si="19"/>
        <v>14.909188225759765</v>
      </c>
      <c r="W32" s="496">
        <f t="shared" si="20"/>
        <v>34.800730505529387</v>
      </c>
      <c r="X32" s="477">
        <f t="shared" si="27"/>
        <v>225.1992694944706</v>
      </c>
      <c r="Y32" s="320">
        <f t="shared" si="21"/>
        <v>64.891542279769624</v>
      </c>
      <c r="Z32" s="234">
        <f t="shared" si="7"/>
        <v>255.29008126871082</v>
      </c>
      <c r="AA32" s="233">
        <f t="shared" si="8"/>
        <v>42.70991873128915</v>
      </c>
      <c r="AB32" s="321">
        <f t="shared" si="9"/>
        <v>233.10845772023038</v>
      </c>
      <c r="AC32" s="82">
        <f t="shared" si="22"/>
        <v>2515.1765301712362</v>
      </c>
      <c r="AD32" s="208">
        <f>(AC32-AC31)</f>
        <v>-113.20587692643312</v>
      </c>
      <c r="AE32" s="196"/>
      <c r="AF32" s="116">
        <f>I32-I31</f>
        <v>2.7542857730973785E-2</v>
      </c>
      <c r="AG32" s="102">
        <f>L32-L31</f>
        <v>-0.20351572089903111</v>
      </c>
      <c r="AH32" s="184">
        <f t="shared" si="23"/>
        <v>-113.20587692643312</v>
      </c>
      <c r="AI32" s="7"/>
      <c r="AJ32" s="7" t="str">
        <f t="shared" si="24"/>
        <v>Bought 0.0275428577309738 Shares of State 1 at a cost of -113.20588</v>
      </c>
      <c r="AK32" s="7" t="str">
        <f t="shared" si="25"/>
        <v>Sold 0.203515720899031 Shares of State 2 at a cost of -113.20588</v>
      </c>
      <c r="AL32" s="187" t="str">
        <f t="shared" si="26"/>
        <v>Bought 0.0275428577309738 Shares of State 1 at a cost of -113.20588Sold 0.203515720899031 Shares of State 2 at a cost of -113.20588</v>
      </c>
      <c r="AM32" s="7" t="s">
        <v>176</v>
      </c>
      <c r="AN32" s="500">
        <f>AD30</f>
        <v>184.79412307356665</v>
      </c>
      <c r="AO32" s="501">
        <f>SUM(AA38:AB38)</f>
        <v>346</v>
      </c>
      <c r="AP32" s="502">
        <f>AO32/AN32</f>
        <v>1.8723539160509839</v>
      </c>
      <c r="AQ32" s="7" t="s">
        <v>237</v>
      </c>
      <c r="AU32" s="7"/>
      <c r="AV32" s="7"/>
    </row>
    <row r="33" spans="2:48" ht="18.75" customHeight="1" x14ac:dyDescent="0.3">
      <c r="C33" s="887"/>
      <c r="D33" s="25">
        <v>5</v>
      </c>
      <c r="E33" s="320">
        <v>6</v>
      </c>
      <c r="F33" s="234">
        <v>8</v>
      </c>
      <c r="G33" s="233">
        <v>5</v>
      </c>
      <c r="H33" s="321">
        <v>7</v>
      </c>
      <c r="I33" s="330">
        <f t="shared" si="3"/>
        <v>8.7144318742032559E-2</v>
      </c>
      <c r="J33" s="230">
        <f t="shared" si="4"/>
        <v>0.64391425988797235</v>
      </c>
      <c r="K33" s="229">
        <f t="shared" si="5"/>
        <v>3.2058603280084988E-2</v>
      </c>
      <c r="L33" s="331">
        <f t="shared" si="6"/>
        <v>0.2368828180899101</v>
      </c>
      <c r="M33" s="491">
        <f t="shared" si="10"/>
        <v>0.7310585786300049</v>
      </c>
      <c r="N33" s="1080">
        <f t="shared" si="11"/>
        <v>0.2689414213699951</v>
      </c>
      <c r="O33" s="1088">
        <f t="shared" si="12"/>
        <v>0.11920292202211755</v>
      </c>
      <c r="P33" s="477">
        <f t="shared" si="13"/>
        <v>0.88079707797788243</v>
      </c>
      <c r="Q33" s="491">
        <f t="shared" si="14"/>
        <v>35.090811774240237</v>
      </c>
      <c r="R33" s="1081">
        <f t="shared" si="15"/>
        <v>12.909188225759765</v>
      </c>
      <c r="S33" s="496">
        <f t="shared" si="16"/>
        <v>29.800730505529387</v>
      </c>
      <c r="T33" s="477">
        <f t="shared" si="17"/>
        <v>220.1992694944706</v>
      </c>
      <c r="U33" s="491">
        <f t="shared" si="18"/>
        <v>37.090811774240237</v>
      </c>
      <c r="V33" s="1081">
        <f t="shared" si="19"/>
        <v>14.909188225759765</v>
      </c>
      <c r="W33" s="496">
        <f t="shared" si="20"/>
        <v>34.800730505529387</v>
      </c>
      <c r="X33" s="477">
        <f t="shared" si="27"/>
        <v>225.1992694944706</v>
      </c>
      <c r="Y33" s="320">
        <f t="shared" si="21"/>
        <v>64.891542279769624</v>
      </c>
      <c r="Z33" s="234">
        <f t="shared" si="7"/>
        <v>255.29008126871082</v>
      </c>
      <c r="AA33" s="233">
        <f t="shared" si="8"/>
        <v>42.70991873128915</v>
      </c>
      <c r="AB33" s="321">
        <f t="shared" si="9"/>
        <v>233.10845772023038</v>
      </c>
      <c r="AC33" s="82">
        <f t="shared" si="22"/>
        <v>2515.1765301712362</v>
      </c>
      <c r="AD33" s="208">
        <f t="shared" ref="AD33:AD37" si="29">(AC33-AC32)</f>
        <v>0</v>
      </c>
      <c r="AE33" s="196"/>
      <c r="AF33" s="116">
        <f>I33-I32</f>
        <v>0</v>
      </c>
      <c r="AG33" s="102">
        <f>L33-L32</f>
        <v>0</v>
      </c>
      <c r="AH33" s="184">
        <f t="shared" si="23"/>
        <v>0</v>
      </c>
      <c r="AI33" s="7"/>
      <c r="AJ33" s="7" t="str">
        <f t="shared" si="24"/>
        <v/>
      </c>
      <c r="AK33" s="7" t="str">
        <f t="shared" si="25"/>
        <v/>
      </c>
      <c r="AL33" s="187" t="str">
        <f t="shared" si="26"/>
        <v/>
      </c>
      <c r="AM33" s="8" t="s">
        <v>179</v>
      </c>
      <c r="AN33" s="503">
        <f>SUM(AA29:AB29)</f>
        <v>298</v>
      </c>
      <c r="AO33" s="162">
        <f>SUM(AA38:AB38)</f>
        <v>346</v>
      </c>
      <c r="AP33" s="504">
        <f>AO33/AN33</f>
        <v>1.1610738255033557</v>
      </c>
      <c r="AQ33" s="7" t="s">
        <v>235</v>
      </c>
      <c r="AU33" s="7"/>
      <c r="AV33" s="7"/>
    </row>
    <row r="34" spans="2:48" ht="18.75" customHeight="1" x14ac:dyDescent="0.3">
      <c r="B34" s="1228" t="s">
        <v>421</v>
      </c>
      <c r="C34" s="1228"/>
      <c r="D34" s="25">
        <v>6</v>
      </c>
      <c r="E34" s="861">
        <v>7</v>
      </c>
      <c r="F34" s="862">
        <v>9</v>
      </c>
      <c r="G34" s="862">
        <v>6</v>
      </c>
      <c r="H34" s="863">
        <v>8</v>
      </c>
      <c r="I34" s="330">
        <f t="shared" si="3"/>
        <v>8.7144318742032559E-2</v>
      </c>
      <c r="J34" s="230">
        <f t="shared" si="4"/>
        <v>0.64391425988797235</v>
      </c>
      <c r="K34" s="229">
        <f t="shared" si="5"/>
        <v>3.2058603280084988E-2</v>
      </c>
      <c r="L34" s="331">
        <f t="shared" si="6"/>
        <v>0.23688281808991013</v>
      </c>
      <c r="M34" s="491">
        <f t="shared" si="10"/>
        <v>0.7310585786300049</v>
      </c>
      <c r="N34" s="1080">
        <f t="shared" si="11"/>
        <v>0.2689414213699951</v>
      </c>
      <c r="O34" s="1088">
        <f t="shared" si="12"/>
        <v>0.11920292202211755</v>
      </c>
      <c r="P34" s="477">
        <f t="shared" si="13"/>
        <v>0.88079707797788243</v>
      </c>
      <c r="Q34" s="491">
        <f t="shared" si="14"/>
        <v>35.090811774240237</v>
      </c>
      <c r="R34" s="1081">
        <f t="shared" si="15"/>
        <v>12.909188225759765</v>
      </c>
      <c r="S34" s="496">
        <f t="shared" si="16"/>
        <v>29.800730505529387</v>
      </c>
      <c r="T34" s="477">
        <f t="shared" si="17"/>
        <v>220.1992694944706</v>
      </c>
      <c r="U34" s="491">
        <f t="shared" si="18"/>
        <v>37.090811774240237</v>
      </c>
      <c r="V34" s="1081">
        <f t="shared" si="19"/>
        <v>14.909188225759765</v>
      </c>
      <c r="W34" s="496">
        <f t="shared" si="20"/>
        <v>34.800730505529387</v>
      </c>
      <c r="X34" s="477">
        <f t="shared" si="27"/>
        <v>225.1992694944706</v>
      </c>
      <c r="Y34" s="320">
        <f t="shared" si="21"/>
        <v>64.891542279769624</v>
      </c>
      <c r="Z34" s="234">
        <f t="shared" si="7"/>
        <v>255.29008126871082</v>
      </c>
      <c r="AA34" s="233">
        <f t="shared" si="8"/>
        <v>42.70991873128915</v>
      </c>
      <c r="AB34" s="321">
        <f t="shared" si="9"/>
        <v>233.10845772023038</v>
      </c>
      <c r="AC34" s="82">
        <f t="shared" si="22"/>
        <v>2813.1765301712362</v>
      </c>
      <c r="AD34" s="860">
        <f>(AC34-AC33)</f>
        <v>298</v>
      </c>
      <c r="AE34" s="196"/>
      <c r="AF34" s="116">
        <f>I34-I31</f>
        <v>2.7542857730973785E-2</v>
      </c>
      <c r="AG34" s="102">
        <f>L34-L31</f>
        <v>-0.20351572089903108</v>
      </c>
      <c r="AH34" s="184">
        <f t="shared" si="23"/>
        <v>298</v>
      </c>
      <c r="AI34" s="7"/>
      <c r="AJ34" s="7" t="str">
        <f t="shared" si="24"/>
        <v>Bought 0.0275428577309738 Shares of State 1 at a cost of 298</v>
      </c>
      <c r="AK34" s="7" t="str">
        <f t="shared" si="25"/>
        <v>Sold 0.203515720899031 Shares of State 2 at a cost of 298</v>
      </c>
      <c r="AL34" s="187" t="str">
        <f t="shared" si="26"/>
        <v>Bought 0.0275428577309738 Shares of State 1 at a cost of 298Sold 0.203515720899031 Shares of State 2 at a cost of 298</v>
      </c>
      <c r="AM34" s="8" t="s">
        <v>88</v>
      </c>
      <c r="AN34" s="503">
        <f>AN32-$E$15</f>
        <v>-65.205876926433348</v>
      </c>
      <c r="AO34" s="162">
        <f>AO32-$E$15</f>
        <v>96</v>
      </c>
      <c r="AP34" s="504">
        <f>AO34/AN34</f>
        <v>-1.4722599330779529</v>
      </c>
      <c r="AQ34" s="7" t="s">
        <v>232</v>
      </c>
      <c r="AU34" s="7"/>
      <c r="AV34" s="7"/>
    </row>
    <row r="35" spans="2:48" ht="18.75" x14ac:dyDescent="0.3">
      <c r="B35" s="1228"/>
      <c r="C35" s="1228"/>
      <c r="D35" s="25">
        <v>16</v>
      </c>
      <c r="E35" s="320">
        <v>1</v>
      </c>
      <c r="F35" s="234">
        <v>99</v>
      </c>
      <c r="G35" s="233">
        <v>1</v>
      </c>
      <c r="H35" s="321">
        <v>1</v>
      </c>
      <c r="I35" s="330">
        <f t="shared" si="3"/>
        <v>2.7487850079102147E-43</v>
      </c>
      <c r="J35" s="230">
        <f t="shared" si="4"/>
        <v>1</v>
      </c>
      <c r="K35" s="229">
        <f t="shared" si="5"/>
        <v>2.7487850079102147E-43</v>
      </c>
      <c r="L35" s="331">
        <f t="shared" si="6"/>
        <v>2.7487850079102147E-43</v>
      </c>
      <c r="M35" s="491">
        <f t="shared" si="10"/>
        <v>1</v>
      </c>
      <c r="N35" s="1080">
        <f t="shared" si="11"/>
        <v>5.4975700158204295E-43</v>
      </c>
      <c r="O35" s="1088">
        <f t="shared" si="12"/>
        <v>5.4975700158204295E-43</v>
      </c>
      <c r="P35" s="477">
        <f>SUM(J35,L35)</f>
        <v>1</v>
      </c>
      <c r="Q35" s="491">
        <f t="shared" si="14"/>
        <v>48</v>
      </c>
      <c r="R35" s="1081">
        <f t="shared" si="15"/>
        <v>2.6388336075938062E-41</v>
      </c>
      <c r="S35" s="496">
        <f t="shared" si="16"/>
        <v>1.3743925039551074E-40</v>
      </c>
      <c r="T35" s="477">
        <f t="shared" si="17"/>
        <v>250</v>
      </c>
      <c r="U35" s="491">
        <f t="shared" si="18"/>
        <v>50</v>
      </c>
      <c r="V35" s="1081">
        <f t="shared" si="19"/>
        <v>2</v>
      </c>
      <c r="W35" s="496">
        <f t="shared" si="20"/>
        <v>5</v>
      </c>
      <c r="X35" s="477">
        <f t="shared" si="27"/>
        <v>255</v>
      </c>
      <c r="Y35" s="320">
        <f t="shared" si="21"/>
        <v>48</v>
      </c>
      <c r="Z35" s="234">
        <f t="shared" si="7"/>
        <v>298</v>
      </c>
      <c r="AA35" s="233">
        <f t="shared" si="8"/>
        <v>1.6382758647144881E-40</v>
      </c>
      <c r="AB35" s="321">
        <f t="shared" si="9"/>
        <v>250</v>
      </c>
      <c r="AC35" s="82">
        <f t="shared" si="22"/>
        <v>29502</v>
      </c>
      <c r="AD35" s="208">
        <f t="shared" si="29"/>
        <v>26688.823469828763</v>
      </c>
      <c r="AE35" s="196"/>
      <c r="AF35" s="480">
        <f>I35-I32</f>
        <v>-8.7144318742032559E-2</v>
      </c>
      <c r="AG35" s="102">
        <f>L35-L32</f>
        <v>-0.2368828180899101</v>
      </c>
      <c r="AH35" s="184">
        <f t="shared" si="23"/>
        <v>26688.823469828763</v>
      </c>
      <c r="AI35" s="7"/>
      <c r="AJ35" s="7" t="str">
        <f t="shared" si="24"/>
        <v>Sold 0.0871443187420326 Shares of State 1 at a cost of 26688.82347</v>
      </c>
      <c r="AK35" s="7" t="str">
        <f t="shared" si="25"/>
        <v>Sold 0.23688281808991 Shares of State 2 at a cost of 26688.82347</v>
      </c>
      <c r="AL35" s="187" t="str">
        <f t="shared" si="26"/>
        <v>Sold 0.0871443187420326 Shares of State 1 at a cost of 26688.82347Sold 0.23688281808991 Shares of State 2 at a cost of 26688.82347</v>
      </c>
      <c r="AM35" s="8" t="s">
        <v>182</v>
      </c>
      <c r="AN35" s="505">
        <f>AN33-$E$15</f>
        <v>48</v>
      </c>
      <c r="AO35" s="506">
        <f>AO33-$E$15</f>
        <v>96</v>
      </c>
      <c r="AP35" s="507">
        <f>AO35/AN35</f>
        <v>2</v>
      </c>
      <c r="AQ35" s="7" t="s">
        <v>234</v>
      </c>
      <c r="AU35" s="7"/>
      <c r="AV35" s="7"/>
    </row>
    <row r="36" spans="2:48" ht="18.75" x14ac:dyDescent="0.3">
      <c r="C36" s="21"/>
      <c r="D36" s="25">
        <v>17</v>
      </c>
      <c r="E36" s="320">
        <v>6</v>
      </c>
      <c r="F36" s="234">
        <v>8</v>
      </c>
      <c r="G36" s="233">
        <v>5</v>
      </c>
      <c r="H36" s="321">
        <v>7</v>
      </c>
      <c r="I36" s="330">
        <f t="shared" si="3"/>
        <v>8.7144318742032559E-2</v>
      </c>
      <c r="J36" s="230">
        <f t="shared" si="4"/>
        <v>0.64391425988797235</v>
      </c>
      <c r="K36" s="229">
        <f t="shared" si="5"/>
        <v>3.2058603280084988E-2</v>
      </c>
      <c r="L36" s="331">
        <f t="shared" si="6"/>
        <v>0.2368828180899101</v>
      </c>
      <c r="M36" s="491">
        <f t="shared" si="10"/>
        <v>0.7310585786300049</v>
      </c>
      <c r="N36" s="1080">
        <f t="shared" si="11"/>
        <v>0.2689414213699951</v>
      </c>
      <c r="O36" s="1088">
        <f t="shared" si="12"/>
        <v>0.11920292202211755</v>
      </c>
      <c r="P36" s="477">
        <f t="shared" si="13"/>
        <v>0.88079707797788243</v>
      </c>
      <c r="Q36" s="491">
        <f t="shared" si="14"/>
        <v>35.090811774240237</v>
      </c>
      <c r="R36" s="1081">
        <f t="shared" si="15"/>
        <v>12.909188225759765</v>
      </c>
      <c r="S36" s="496">
        <f t="shared" si="16"/>
        <v>29.800730505529387</v>
      </c>
      <c r="T36" s="477">
        <f t="shared" si="17"/>
        <v>220.1992694944706</v>
      </c>
      <c r="U36" s="491">
        <f t="shared" si="18"/>
        <v>37.090811774240237</v>
      </c>
      <c r="V36" s="1081">
        <f t="shared" si="19"/>
        <v>14.909188225759765</v>
      </c>
      <c r="W36" s="496">
        <f t="shared" si="20"/>
        <v>34.800730505529387</v>
      </c>
      <c r="X36" s="477">
        <f t="shared" si="27"/>
        <v>225.1992694944706</v>
      </c>
      <c r="Y36" s="320">
        <f t="shared" si="21"/>
        <v>64.891542279769624</v>
      </c>
      <c r="Z36" s="234">
        <f t="shared" si="7"/>
        <v>255.29008126871082</v>
      </c>
      <c r="AA36" s="233">
        <f t="shared" si="8"/>
        <v>42.70991873128915</v>
      </c>
      <c r="AB36" s="321">
        <f t="shared" si="9"/>
        <v>233.10845772023038</v>
      </c>
      <c r="AC36" s="82">
        <f t="shared" si="22"/>
        <v>2515.1765301712362</v>
      </c>
      <c r="AD36" s="208">
        <f t="shared" si="29"/>
        <v>-26986.823469828763</v>
      </c>
      <c r="AE36" s="196"/>
      <c r="AF36" s="116">
        <f>I36-I35</f>
        <v>8.7144318742032559E-2</v>
      </c>
      <c r="AG36" s="102">
        <f>L36-L35</f>
        <v>0.2368828180899101</v>
      </c>
      <c r="AH36" s="184">
        <f t="shared" si="23"/>
        <v>-26986.823469828763</v>
      </c>
      <c r="AI36" s="7"/>
      <c r="AJ36" s="7" t="str">
        <f t="shared" si="24"/>
        <v>Bought 0.0871443187420326 Shares of State 1 at a cost of -26986.82347</v>
      </c>
      <c r="AK36" s="7" t="str">
        <f t="shared" si="25"/>
        <v>Bought 0.23688281808991 Shares of State 2 at a cost of -26986.82347</v>
      </c>
      <c r="AL36" s="187" t="str">
        <f t="shared" si="26"/>
        <v>Bought 0.0871443187420326 Shares of State 1 at a cost of -26986.82347Bought 0.23688281808991 Shares of State 2 at a cost of -26986.82347</v>
      </c>
      <c r="AM36" s="7"/>
      <c r="AN36" s="7"/>
      <c r="AO36" s="7"/>
      <c r="AP36" s="7"/>
      <c r="AQ36" s="7"/>
      <c r="AR36" s="7"/>
      <c r="AS36" s="7"/>
      <c r="AT36" s="7"/>
      <c r="AU36" s="7"/>
      <c r="AV36" s="7"/>
    </row>
    <row r="37" spans="2:48" ht="19.5" thickBot="1" x14ac:dyDescent="0.35">
      <c r="C37" s="21"/>
      <c r="D37" s="25">
        <v>18</v>
      </c>
      <c r="E37" s="322">
        <v>8</v>
      </c>
      <c r="F37" s="226">
        <v>7</v>
      </c>
      <c r="G37" s="225">
        <v>8</v>
      </c>
      <c r="H37" s="323">
        <v>7</v>
      </c>
      <c r="I37" s="332">
        <f t="shared" si="3"/>
        <v>0.3655292893150025</v>
      </c>
      <c r="J37" s="222">
        <f t="shared" si="4"/>
        <v>0.13447071068499755</v>
      </c>
      <c r="K37" s="221">
        <f t="shared" si="5"/>
        <v>0.3655292893150025</v>
      </c>
      <c r="L37" s="333">
        <f t="shared" si="6"/>
        <v>0.13447071068499755</v>
      </c>
      <c r="M37" s="492">
        <f t="shared" si="10"/>
        <v>0.5</v>
      </c>
      <c r="N37" s="1086">
        <f t="shared" si="11"/>
        <v>0.5</v>
      </c>
      <c r="O37" s="1090">
        <f t="shared" si="12"/>
        <v>0.73105857863000501</v>
      </c>
      <c r="P37" s="478">
        <f t="shared" si="13"/>
        <v>0.2689414213699951</v>
      </c>
      <c r="Q37" s="492">
        <f t="shared" si="14"/>
        <v>24</v>
      </c>
      <c r="R37" s="1083">
        <f t="shared" si="15"/>
        <v>24</v>
      </c>
      <c r="S37" s="497">
        <f t="shared" si="16"/>
        <v>182.76464465750126</v>
      </c>
      <c r="T37" s="478">
        <f t="shared" si="17"/>
        <v>67.235355342498778</v>
      </c>
      <c r="U37" s="492">
        <f t="shared" si="18"/>
        <v>26</v>
      </c>
      <c r="V37" s="1083">
        <f t="shared" si="19"/>
        <v>26</v>
      </c>
      <c r="W37" s="497">
        <f t="shared" si="20"/>
        <v>187.76464465750126</v>
      </c>
      <c r="X37" s="478">
        <f t="shared" si="27"/>
        <v>72.235355342498778</v>
      </c>
      <c r="Y37" s="322">
        <f t="shared" si="21"/>
        <v>206.76464465750126</v>
      </c>
      <c r="Z37" s="226">
        <f t="shared" si="7"/>
        <v>91.235355342498778</v>
      </c>
      <c r="AA37" s="225">
        <f t="shared" si="8"/>
        <v>206.76464465750126</v>
      </c>
      <c r="AB37" s="323">
        <f t="shared" si="9"/>
        <v>91.235355342498778</v>
      </c>
      <c r="AC37" s="114">
        <f t="shared" si="22"/>
        <v>2683.9098426872943</v>
      </c>
      <c r="AD37" s="509">
        <f t="shared" si="29"/>
        <v>168.73331251605805</v>
      </c>
      <c r="AE37" s="196"/>
      <c r="AF37" s="121">
        <f>I37-I36</f>
        <v>0.27838497057296996</v>
      </c>
      <c r="AG37" s="104">
        <f>L37-L36</f>
        <v>-0.10241210740491255</v>
      </c>
      <c r="AH37" s="184">
        <f t="shared" si="23"/>
        <v>168.73331251605805</v>
      </c>
      <c r="AI37" s="7"/>
      <c r="AJ37" s="7" t="str">
        <f t="shared" si="24"/>
        <v>Bought 0.27838497057297 Shares of State 1 at a cost of 168.73331</v>
      </c>
      <c r="AK37" s="7" t="str">
        <f t="shared" si="25"/>
        <v>Sold 0.102412107404913 Shares of State 2 at a cost of 168.73331</v>
      </c>
      <c r="AL37" s="187" t="str">
        <f t="shared" si="26"/>
        <v>Bought 0.27838497057297 Shares of State 1 at a cost of 168.73331Sold 0.102412107404913 Shares of State 2 at a cost of 168.73331</v>
      </c>
      <c r="AM37" s="7"/>
      <c r="AN37" s="7"/>
      <c r="AO37" s="7"/>
      <c r="AP37" s="7"/>
      <c r="AQ37" s="7"/>
      <c r="AR37" s="7"/>
      <c r="AS37" s="7"/>
      <c r="AT37" s="7"/>
      <c r="AU37" s="7"/>
      <c r="AV37" s="7"/>
    </row>
    <row r="38" spans="2:48" ht="16.5" thickTop="1" thickBot="1" x14ac:dyDescent="0.3">
      <c r="C38" s="7"/>
      <c r="D38" s="25" t="s">
        <v>97</v>
      </c>
      <c r="E38" s="324">
        <f>E37</f>
        <v>8</v>
      </c>
      <c r="F38" s="325">
        <f t="shared" ref="F38:H38" si="30">F37</f>
        <v>7</v>
      </c>
      <c r="G38" s="326">
        <f t="shared" si="30"/>
        <v>8</v>
      </c>
      <c r="H38" s="327">
        <f t="shared" si="30"/>
        <v>7</v>
      </c>
      <c r="I38" s="473">
        <f>F41*F42</f>
        <v>0</v>
      </c>
      <c r="J38" s="474">
        <f>E42*F41</f>
        <v>0</v>
      </c>
      <c r="K38" s="474">
        <f>E41*F42</f>
        <v>0</v>
      </c>
      <c r="L38" s="475">
        <f>E41*E42</f>
        <v>1</v>
      </c>
      <c r="M38" s="493">
        <f>SUM(I38:J38)</f>
        <v>0</v>
      </c>
      <c r="N38" s="1087">
        <f t="shared" si="11"/>
        <v>1</v>
      </c>
      <c r="O38" s="1091">
        <f t="shared" si="12"/>
        <v>0</v>
      </c>
      <c r="P38" s="479">
        <f t="shared" si="13"/>
        <v>1</v>
      </c>
      <c r="Q38" s="493">
        <f t="shared" si="14"/>
        <v>0</v>
      </c>
      <c r="R38" s="1084">
        <f t="shared" si="15"/>
        <v>48</v>
      </c>
      <c r="S38" s="498">
        <f t="shared" si="16"/>
        <v>0</v>
      </c>
      <c r="T38" s="479">
        <f>P38*$E$15</f>
        <v>250</v>
      </c>
      <c r="U38" s="493">
        <f t="shared" si="18"/>
        <v>2</v>
      </c>
      <c r="V38" s="1084">
        <f t="shared" si="19"/>
        <v>50</v>
      </c>
      <c r="W38" s="498">
        <f t="shared" si="20"/>
        <v>5</v>
      </c>
      <c r="X38" s="479">
        <f t="shared" si="27"/>
        <v>255</v>
      </c>
      <c r="Y38" s="324">
        <f t="shared" si="21"/>
        <v>0</v>
      </c>
      <c r="Z38" s="325">
        <f t="shared" si="7"/>
        <v>250</v>
      </c>
      <c r="AA38" s="326">
        <f t="shared" si="8"/>
        <v>48</v>
      </c>
      <c r="AB38" s="327">
        <f t="shared" si="9"/>
        <v>298</v>
      </c>
      <c r="AC38" s="341">
        <f>$E$23*$E$22*LN(EXP($E38/$E$22) + EXP($F38/$E$22) + EXP($G38/$E$22) +EXP($H38/$E$22) )</f>
        <v>2683.9098426872943</v>
      </c>
      <c r="AD38" s="8" t="s">
        <v>238</v>
      </c>
      <c r="AE38" s="7"/>
      <c r="AF38" s="7"/>
      <c r="AG38" s="7"/>
      <c r="AH38" s="7"/>
      <c r="AI38" s="7"/>
      <c r="AJ38" s="7"/>
      <c r="AK38" s="8"/>
      <c r="AL38" s="8"/>
      <c r="AM38" s="8"/>
      <c r="AN38" s="8"/>
      <c r="AO38" s="8"/>
      <c r="AP38" s="7"/>
      <c r="AQ38" s="7"/>
      <c r="AR38" s="7"/>
      <c r="AS38" s="7"/>
      <c r="AT38" s="7"/>
      <c r="AU38" s="7"/>
      <c r="AV38" s="7"/>
    </row>
    <row r="39" spans="2:48" ht="15.75" thickBot="1" x14ac:dyDescent="0.3">
      <c r="N39" s="244"/>
      <c r="P39" s="244"/>
      <c r="R39" s="244"/>
      <c r="T39" s="244"/>
      <c r="V39" s="244"/>
      <c r="X39" s="1092"/>
      <c r="Y39" s="33"/>
      <c r="Z39" s="33"/>
      <c r="AA39" s="142"/>
      <c r="AB39" s="142"/>
      <c r="AC39" s="246">
        <f>SUMPRODUCT(I38:L38,Y38:AB38)</f>
        <v>298</v>
      </c>
      <c r="AD39" t="s">
        <v>110</v>
      </c>
      <c r="AE39" s="7"/>
      <c r="AF39" s="7"/>
      <c r="AG39" s="7"/>
      <c r="AH39" s="7"/>
      <c r="AI39" s="7"/>
      <c r="AJ39" s="7"/>
      <c r="AP39" s="7"/>
      <c r="AQ39" s="7"/>
      <c r="AR39" s="7"/>
      <c r="AS39" s="184"/>
      <c r="AT39" s="7"/>
      <c r="AU39" s="7"/>
      <c r="AV39" s="7"/>
    </row>
    <row r="40" spans="2:48" ht="15.75" thickBot="1" x14ac:dyDescent="0.3">
      <c r="C40" s="1"/>
      <c r="D40" s="152" t="s">
        <v>174</v>
      </c>
      <c r="E40" s="289" t="s">
        <v>154</v>
      </c>
      <c r="F40" s="239" t="s">
        <v>171</v>
      </c>
      <c r="G40" s="142"/>
      <c r="H40" s="17"/>
      <c r="I40" s="17"/>
      <c r="J40" s="280"/>
      <c r="K40" s="17"/>
      <c r="L40" s="280"/>
      <c r="N40" s="241"/>
      <c r="P40" s="241"/>
      <c r="Q40" s="17"/>
      <c r="R40" s="241"/>
      <c r="S40" s="17"/>
      <c r="T40" s="594"/>
      <c r="V40" s="241"/>
      <c r="X40" s="6"/>
      <c r="Y40" s="209"/>
      <c r="Z40" s="7"/>
      <c r="AA40" s="8"/>
      <c r="AB40" s="142"/>
      <c r="AC40" s="246">
        <f>AC38-AC39</f>
        <v>2385.9098426872943</v>
      </c>
      <c r="AD40" s="7" t="s">
        <v>102</v>
      </c>
      <c r="AE40" s="7"/>
      <c r="AF40" s="7"/>
      <c r="AG40" s="7"/>
      <c r="AH40" s="7"/>
      <c r="AI40" s="7"/>
      <c r="AJ40" s="7"/>
      <c r="AK40" s="7"/>
      <c r="AL40" s="7"/>
      <c r="AM40" s="7"/>
      <c r="AN40" s="7"/>
      <c r="AO40" s="7"/>
      <c r="AP40" s="7"/>
      <c r="AQ40" s="7"/>
      <c r="AR40" s="7"/>
      <c r="AS40" s="7"/>
      <c r="AT40" s="7"/>
      <c r="AU40" s="7"/>
      <c r="AV40" s="7"/>
    </row>
    <row r="41" spans="2:48" ht="15.75" thickBot="1" x14ac:dyDescent="0.3">
      <c r="C41" s="292" t="s">
        <v>172</v>
      </c>
      <c r="D41" s="466">
        <v>50</v>
      </c>
      <c r="E41" s="468">
        <f>(D41-$E$5)/$E$7</f>
        <v>1</v>
      </c>
      <c r="F41" s="469">
        <f>1-E41</f>
        <v>0</v>
      </c>
      <c r="G41" s="2"/>
      <c r="H41" s="262"/>
      <c r="I41" s="470">
        <f>F41*F42</f>
        <v>0</v>
      </c>
      <c r="J41" s="471">
        <f>E42*F41</f>
        <v>0</v>
      </c>
      <c r="K41" s="471">
        <f>E41*F42</f>
        <v>0</v>
      </c>
      <c r="L41" s="472">
        <f>E41*E42</f>
        <v>1</v>
      </c>
      <c r="N41" s="731">
        <f>SUM(M33:N33)</f>
        <v>1</v>
      </c>
      <c r="P41" s="731">
        <f>SUM(O33:P33)</f>
        <v>1</v>
      </c>
      <c r="Q41" s="190"/>
      <c r="R41" s="731">
        <f>SUM(Q33:R33)</f>
        <v>48</v>
      </c>
      <c r="T41" s="731">
        <f>SUM(S33:T33)</f>
        <v>250</v>
      </c>
      <c r="U41" s="190"/>
      <c r="V41" s="731">
        <f>SUM(U33-$E$5,V33-$E$5)</f>
        <v>48</v>
      </c>
      <c r="X41" s="731">
        <f>SUM(W33-$E$13,X33-$E$13)</f>
        <v>250</v>
      </c>
      <c r="Y41" s="190">
        <f>SUM(Y35:AB35)</f>
        <v>596</v>
      </c>
      <c r="Z41" s="190"/>
      <c r="AA41" s="190"/>
      <c r="AB41" s="190"/>
      <c r="AC41" s="248">
        <f>AC29-AC40</f>
        <v>-1972.7941230735669</v>
      </c>
      <c r="AD41" s="54" t="s">
        <v>103</v>
      </c>
      <c r="AE41" s="7"/>
      <c r="AF41" s="7"/>
      <c r="AG41" s="7"/>
      <c r="AH41" s="7"/>
      <c r="AI41" s="8"/>
      <c r="AJ41" s="8"/>
      <c r="AK41" s="8"/>
      <c r="AL41" s="28"/>
      <c r="AM41" s="28"/>
      <c r="AN41" s="28"/>
      <c r="AO41" s="28"/>
      <c r="AP41" s="7"/>
      <c r="AQ41" s="7"/>
      <c r="AR41" s="7"/>
      <c r="AS41" s="7"/>
      <c r="AT41" s="7"/>
      <c r="AU41" s="7"/>
      <c r="AV41" s="7"/>
    </row>
    <row r="42" spans="2:48" ht="15.75" thickBot="1" x14ac:dyDescent="0.3">
      <c r="C42" s="290" t="s">
        <v>173</v>
      </c>
      <c r="D42" s="467">
        <v>255</v>
      </c>
      <c r="E42" s="433">
        <f>(D42-$E$13)/$E$15</f>
        <v>1</v>
      </c>
      <c r="F42" s="434">
        <f>1-E42</f>
        <v>0</v>
      </c>
      <c r="N42" s="731">
        <f t="shared" ref="N42:P44" si="31">SUM(M34:N34)</f>
        <v>1</v>
      </c>
      <c r="P42" s="731">
        <f t="shared" si="31"/>
        <v>1</v>
      </c>
      <c r="Q42" s="190"/>
      <c r="R42" s="731">
        <f t="shared" ref="R42:R44" si="32">SUM(Q34:R34)</f>
        <v>48</v>
      </c>
      <c r="T42" s="731">
        <f t="shared" ref="T42:T44" si="33">SUM(S34:T34)</f>
        <v>250</v>
      </c>
      <c r="V42" s="731">
        <f t="shared" ref="V42:V44" si="34">SUM(U34-$E$5,V34-$E$5)</f>
        <v>48</v>
      </c>
      <c r="X42" s="731">
        <f t="shared" ref="X42:X44" si="35">SUM(W34-$E$13,X34-$E$13)</f>
        <v>250</v>
      </c>
      <c r="Y42" s="190">
        <f t="shared" ref="Y42:Y44" si="36">SUM(Y36:AB36)</f>
        <v>596</v>
      </c>
      <c r="Z42" s="190"/>
      <c r="AA42" s="190"/>
      <c r="AB42" s="190"/>
      <c r="AC42" s="142"/>
      <c r="AD42" s="483"/>
      <c r="AE42" s="142"/>
      <c r="AF42" s="8"/>
      <c r="AG42" s="8"/>
      <c r="AH42" s="8"/>
      <c r="AT42" s="314"/>
    </row>
    <row r="43" spans="2:48" x14ac:dyDescent="0.25">
      <c r="N43" s="731">
        <f t="shared" si="31"/>
        <v>1</v>
      </c>
      <c r="P43" s="731">
        <f t="shared" si="31"/>
        <v>1</v>
      </c>
      <c r="Q43" s="190"/>
      <c r="R43" s="731">
        <f t="shared" si="32"/>
        <v>48</v>
      </c>
      <c r="T43" s="731">
        <f t="shared" si="33"/>
        <v>250</v>
      </c>
      <c r="V43" s="731">
        <f t="shared" si="34"/>
        <v>48</v>
      </c>
      <c r="X43" s="731">
        <f t="shared" si="35"/>
        <v>250</v>
      </c>
      <c r="Y43" s="190">
        <f t="shared" si="36"/>
        <v>596.00000000000011</v>
      </c>
      <c r="Z43" s="190"/>
      <c r="AA43" s="190"/>
      <c r="AB43" s="190"/>
      <c r="AC43" s="142"/>
      <c r="AD43" s="142"/>
      <c r="AE43" s="142"/>
      <c r="AF43" s="8"/>
      <c r="AG43" s="8"/>
      <c r="AH43" s="8"/>
    </row>
    <row r="44" spans="2:48" x14ac:dyDescent="0.25">
      <c r="N44" s="731">
        <f t="shared" si="31"/>
        <v>1</v>
      </c>
      <c r="P44" s="731">
        <f t="shared" si="31"/>
        <v>1</v>
      </c>
      <c r="Q44" s="190"/>
      <c r="R44" s="731">
        <f t="shared" si="32"/>
        <v>48</v>
      </c>
      <c r="T44" s="731">
        <f t="shared" si="33"/>
        <v>250</v>
      </c>
      <c r="V44" s="731">
        <f t="shared" si="34"/>
        <v>48</v>
      </c>
      <c r="X44" s="731">
        <f t="shared" si="35"/>
        <v>250</v>
      </c>
      <c r="Y44" s="190">
        <f t="shared" si="36"/>
        <v>596</v>
      </c>
      <c r="Z44" s="190"/>
      <c r="AA44" s="190"/>
      <c r="AB44" s="190"/>
      <c r="AC44" s="142"/>
      <c r="AD44" s="142"/>
      <c r="AE44" s="142"/>
      <c r="AF44" s="8"/>
      <c r="AG44" s="8"/>
      <c r="AH44" s="8"/>
    </row>
    <row r="45" spans="2:48" x14ac:dyDescent="0.25">
      <c r="D45">
        <v>26.78</v>
      </c>
      <c r="N45" s="1222" t="s">
        <v>621</v>
      </c>
      <c r="O45" s="1222"/>
      <c r="P45" s="1222"/>
      <c r="Q45" s="190"/>
      <c r="R45" s="1222" t="s">
        <v>622</v>
      </c>
      <c r="S45" s="1222"/>
      <c r="T45" s="1222"/>
      <c r="U45" s="190"/>
      <c r="V45" s="1222" t="s">
        <v>623</v>
      </c>
      <c r="W45" s="1222"/>
      <c r="X45" s="1222"/>
      <c r="Y45" s="8"/>
      <c r="Z45" s="8"/>
      <c r="AA45" s="8"/>
      <c r="AB45" s="8"/>
      <c r="AC45" s="8"/>
      <c r="AD45" s="8"/>
    </row>
    <row r="46" spans="2:48" x14ac:dyDescent="0.25">
      <c r="D46">
        <v>90</v>
      </c>
      <c r="P46" s="190"/>
      <c r="Q46" s="190"/>
      <c r="R46" s="190"/>
      <c r="S46" s="190"/>
      <c r="T46" s="190"/>
      <c r="U46" s="190"/>
      <c r="V46" s="190"/>
      <c r="W46" s="190"/>
      <c r="X46" s="190"/>
      <c r="Y46" s="8"/>
      <c r="Z46" s="8"/>
      <c r="AA46" s="8"/>
      <c r="AB46" s="8"/>
      <c r="AC46" s="8"/>
      <c r="AD46" s="8"/>
    </row>
    <row r="47" spans="2:48" x14ac:dyDescent="0.25">
      <c r="P47" s="190"/>
      <c r="Q47" s="190"/>
      <c r="R47" s="190"/>
      <c r="S47" s="190"/>
      <c r="T47" s="190"/>
      <c r="U47" s="190"/>
      <c r="V47" s="190"/>
      <c r="W47" s="190"/>
      <c r="X47" s="190"/>
    </row>
    <row r="48" spans="2:48" x14ac:dyDescent="0.25">
      <c r="P48" s="190"/>
      <c r="Q48" s="190"/>
      <c r="R48" s="190"/>
      <c r="S48" s="190"/>
      <c r="T48" s="190"/>
      <c r="U48" s="190"/>
      <c r="V48" s="190"/>
      <c r="W48" s="190"/>
      <c r="X48" s="190"/>
    </row>
    <row r="49" spans="16:24" x14ac:dyDescent="0.25">
      <c r="P49" s="190"/>
      <c r="Q49" s="190"/>
      <c r="R49" s="190"/>
      <c r="S49" s="190"/>
      <c r="T49" s="190"/>
      <c r="U49" s="190"/>
      <c r="V49" s="190"/>
      <c r="W49" s="190"/>
      <c r="X49" s="190"/>
    </row>
  </sheetData>
  <mergeCells count="14">
    <mergeCell ref="B34:C35"/>
    <mergeCell ref="C4:C10"/>
    <mergeCell ref="C20:C24"/>
    <mergeCell ref="C12:C18"/>
    <mergeCell ref="K23:N24"/>
    <mergeCell ref="M28:N28"/>
    <mergeCell ref="N45:P45"/>
    <mergeCell ref="R45:T45"/>
    <mergeCell ref="V45:X45"/>
    <mergeCell ref="O28:P28"/>
    <mergeCell ref="Q28:R28"/>
    <mergeCell ref="S28:T28"/>
    <mergeCell ref="U28:V28"/>
    <mergeCell ref="W28:X28"/>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B2:AW114"/>
  <sheetViews>
    <sheetView zoomScale="85" zoomScaleNormal="85" workbookViewId="0">
      <selection activeCell="F13" sqref="F13"/>
    </sheetView>
  </sheetViews>
  <sheetFormatPr defaultRowHeight="15" x14ac:dyDescent="0.25"/>
  <cols>
    <col min="1" max="1" width="4.42578125" customWidth="1"/>
    <col min="4" max="4" width="13.28515625" customWidth="1"/>
    <col min="6" max="9" width="11.42578125" style="33" customWidth="1"/>
    <col min="10" max="10" width="11.140625" style="33" customWidth="1"/>
    <col min="11" max="13" width="17.5703125" style="33" customWidth="1"/>
    <col min="14" max="24" width="13.140625" style="33" customWidth="1"/>
    <col min="25" max="25" width="13.140625" customWidth="1"/>
    <col min="26" max="26" width="12.85546875" customWidth="1"/>
    <col min="27" max="27" width="12.7109375" customWidth="1"/>
    <col min="28" max="28" width="10.28515625" customWidth="1"/>
    <col min="29" max="29" width="10.7109375" customWidth="1"/>
    <col min="30" max="30" width="11.7109375" customWidth="1"/>
    <col min="31" max="31" width="13.140625" customWidth="1"/>
    <col min="32" max="32" width="12.85546875" customWidth="1"/>
    <col min="33" max="33" width="12.140625" hidden="1" customWidth="1"/>
    <col min="34" max="34" width="10.5703125" hidden="1" customWidth="1"/>
    <col min="35" max="36" width="0" hidden="1" customWidth="1"/>
    <col min="37" max="37" width="11.140625" hidden="1" customWidth="1"/>
    <col min="38" max="39" width="0" hidden="1" customWidth="1"/>
    <col min="40" max="40" width="20" customWidth="1"/>
    <col min="43" max="43" width="10" customWidth="1"/>
    <col min="44" max="44" width="13" customWidth="1"/>
    <col min="46" max="47" width="10.42578125" customWidth="1"/>
  </cols>
  <sheetData>
    <row r="2" spans="3:37" ht="31.5" x14ac:dyDescent="0.5">
      <c r="C2" s="188" t="s">
        <v>335</v>
      </c>
      <c r="E2" s="141"/>
    </row>
    <row r="3" spans="3:37" ht="31.5" x14ac:dyDescent="0.5">
      <c r="C3" s="188"/>
      <c r="E3" s="141"/>
    </row>
    <row r="4" spans="3:37" x14ac:dyDescent="0.25">
      <c r="D4" s="1172" t="s">
        <v>163</v>
      </c>
      <c r="E4" s="152" t="s">
        <v>101</v>
      </c>
      <c r="F4" s="152" t="s">
        <v>737</v>
      </c>
      <c r="G4" s="152"/>
      <c r="H4" s="266"/>
      <c r="I4" s="266"/>
      <c r="J4" s="266"/>
      <c r="K4" s="266"/>
      <c r="L4" s="266"/>
      <c r="M4" s="266"/>
      <c r="N4" s="261"/>
      <c r="Y4">
        <f>(41-2)/48</f>
        <v>0.8125</v>
      </c>
    </row>
    <row r="5" spans="3:37" x14ac:dyDescent="0.25">
      <c r="D5" s="1173"/>
      <c r="E5" s="17" t="s">
        <v>149</v>
      </c>
      <c r="F5" s="859">
        <v>2</v>
      </c>
      <c r="G5" s="7" t="s">
        <v>150</v>
      </c>
      <c r="H5" s="17"/>
      <c r="I5" s="17" t="s">
        <v>251</v>
      </c>
      <c r="J5" s="17"/>
      <c r="K5" s="17"/>
      <c r="L5" s="17"/>
      <c r="M5" s="17"/>
      <c r="N5" s="241"/>
      <c r="Y5">
        <f>(41-14)/(50-14)</f>
        <v>0.75</v>
      </c>
    </row>
    <row r="6" spans="3:37" x14ac:dyDescent="0.25">
      <c r="D6" s="1173"/>
      <c r="E6" s="17" t="s">
        <v>152</v>
      </c>
      <c r="F6" s="859">
        <v>50</v>
      </c>
      <c r="G6" s="7" t="s">
        <v>151</v>
      </c>
      <c r="H6" s="17"/>
      <c r="I6" s="17" t="s">
        <v>252</v>
      </c>
      <c r="J6" s="17"/>
      <c r="K6" s="17"/>
      <c r="L6" s="17"/>
      <c r="M6" s="17"/>
      <c r="N6" s="241"/>
    </row>
    <row r="7" spans="3:37" x14ac:dyDescent="0.25">
      <c r="D7" s="1173"/>
      <c r="E7" s="142" t="s">
        <v>153</v>
      </c>
      <c r="F7" s="859">
        <f>F6-F5</f>
        <v>48</v>
      </c>
      <c r="G7" s="7" t="s">
        <v>154</v>
      </c>
      <c r="H7" s="17"/>
      <c r="I7" s="17"/>
      <c r="J7" s="17"/>
      <c r="K7" s="17"/>
      <c r="L7" s="17"/>
      <c r="M7" s="17"/>
      <c r="N7" s="241"/>
      <c r="Y7">
        <f>0.4*36</f>
        <v>14.4</v>
      </c>
    </row>
    <row r="8" spans="3:37" x14ac:dyDescent="0.25">
      <c r="D8" s="1173"/>
      <c r="E8" s="142" t="s">
        <v>157</v>
      </c>
      <c r="F8" s="192"/>
      <c r="G8" s="8" t="s">
        <v>160</v>
      </c>
      <c r="H8" s="17"/>
      <c r="I8" s="17"/>
      <c r="J8" s="17"/>
      <c r="K8" s="17"/>
      <c r="L8" s="17"/>
      <c r="M8" s="17"/>
      <c r="N8" s="241"/>
    </row>
    <row r="9" spans="3:37" x14ac:dyDescent="0.25">
      <c r="D9" s="1173"/>
      <c r="E9" s="142" t="s">
        <v>158</v>
      </c>
      <c r="F9" s="192"/>
      <c r="G9" s="8" t="s">
        <v>161</v>
      </c>
      <c r="H9" s="17"/>
      <c r="I9" s="17"/>
      <c r="J9" s="17"/>
      <c r="K9" s="17"/>
      <c r="L9" s="17"/>
      <c r="M9" s="17"/>
      <c r="N9" s="241"/>
    </row>
    <row r="10" spans="3:37" x14ac:dyDescent="0.25">
      <c r="D10" s="1174"/>
      <c r="E10" s="267" t="s">
        <v>159</v>
      </c>
      <c r="F10" s="268"/>
      <c r="G10" s="269" t="s">
        <v>162</v>
      </c>
      <c r="H10" s="259"/>
      <c r="I10" s="259"/>
      <c r="J10" s="259"/>
      <c r="K10" s="259"/>
      <c r="L10" s="259"/>
      <c r="M10" s="259"/>
      <c r="N10" s="262"/>
    </row>
    <row r="11" spans="3:37" x14ac:dyDescent="0.25">
      <c r="D11" s="258"/>
      <c r="E11" s="142"/>
      <c r="F11" s="192"/>
      <c r="G11" s="8"/>
      <c r="H11" s="17"/>
      <c r="I11" s="17"/>
      <c r="J11" s="17"/>
      <c r="K11" s="17"/>
      <c r="L11" s="17"/>
      <c r="M11" s="17"/>
      <c r="Y11">
        <f>41/28</f>
        <v>1.4642857142857142</v>
      </c>
    </row>
    <row r="12" spans="3:37" x14ac:dyDescent="0.25">
      <c r="D12" s="1172" t="s">
        <v>167</v>
      </c>
      <c r="E12" s="152" t="s">
        <v>101</v>
      </c>
      <c r="F12" s="152" t="s">
        <v>738</v>
      </c>
      <c r="G12" s="152"/>
      <c r="H12" s="266"/>
      <c r="I12" s="266"/>
      <c r="J12" s="266"/>
      <c r="K12" s="266"/>
      <c r="L12" s="266"/>
      <c r="M12" s="266"/>
      <c r="N12" s="261"/>
    </row>
    <row r="13" spans="3:37" x14ac:dyDescent="0.25">
      <c r="D13" s="1173"/>
      <c r="E13" s="17" t="s">
        <v>149</v>
      </c>
      <c r="F13" s="859">
        <v>5</v>
      </c>
      <c r="G13" s="7" t="s">
        <v>150</v>
      </c>
      <c r="H13" s="17"/>
      <c r="I13" s="17" t="s">
        <v>254</v>
      </c>
      <c r="J13" s="17"/>
      <c r="K13" s="17"/>
      <c r="L13" s="17"/>
      <c r="M13" s="17"/>
      <c r="N13" s="241"/>
    </row>
    <row r="14" spans="3:37" s="33" customFormat="1" x14ac:dyDescent="0.25">
      <c r="C14"/>
      <c r="D14" s="1173"/>
      <c r="E14" s="17" t="s">
        <v>152</v>
      </c>
      <c r="F14" s="859">
        <v>255</v>
      </c>
      <c r="G14" s="7" t="s">
        <v>151</v>
      </c>
      <c r="H14" s="17"/>
      <c r="I14" s="17" t="s">
        <v>253</v>
      </c>
      <c r="J14" s="17"/>
      <c r="K14" s="17"/>
      <c r="L14" s="17"/>
      <c r="M14" s="17"/>
      <c r="N14" s="241"/>
      <c r="Y14"/>
      <c r="Z14"/>
      <c r="AA14"/>
      <c r="AB14"/>
      <c r="AC14"/>
      <c r="AD14"/>
      <c r="AE14"/>
      <c r="AF14"/>
      <c r="AG14"/>
      <c r="AH14"/>
      <c r="AI14"/>
      <c r="AJ14"/>
      <c r="AK14"/>
    </row>
    <row r="15" spans="3:37" s="33" customFormat="1" x14ac:dyDescent="0.25">
      <c r="C15"/>
      <c r="D15" s="1173"/>
      <c r="E15" s="142" t="s">
        <v>153</v>
      </c>
      <c r="F15" s="859">
        <f>F14-F13</f>
        <v>250</v>
      </c>
      <c r="G15" s="7" t="s">
        <v>154</v>
      </c>
      <c r="H15" s="17"/>
      <c r="I15" s="17"/>
      <c r="J15" s="17"/>
      <c r="K15" s="17"/>
      <c r="L15" s="17"/>
      <c r="M15" s="17"/>
      <c r="N15" s="241"/>
      <c r="Y15"/>
      <c r="Z15"/>
      <c r="AA15"/>
      <c r="AB15"/>
      <c r="AC15"/>
      <c r="AD15"/>
      <c r="AE15"/>
      <c r="AF15"/>
      <c r="AG15"/>
      <c r="AH15"/>
      <c r="AI15"/>
      <c r="AJ15"/>
      <c r="AK15"/>
    </row>
    <row r="16" spans="3:37" s="33" customFormat="1" x14ac:dyDescent="0.25">
      <c r="C16"/>
      <c r="D16" s="1173"/>
      <c r="E16" s="142" t="s">
        <v>157</v>
      </c>
      <c r="F16" s="192"/>
      <c r="G16" s="8" t="s">
        <v>160</v>
      </c>
      <c r="H16" s="17"/>
      <c r="I16" s="17"/>
      <c r="J16" s="17"/>
      <c r="K16" s="17"/>
      <c r="L16" s="17"/>
      <c r="M16" s="17"/>
      <c r="N16" s="241"/>
      <c r="Y16"/>
      <c r="Z16"/>
      <c r="AA16"/>
      <c r="AB16"/>
      <c r="AC16"/>
      <c r="AD16"/>
      <c r="AE16"/>
      <c r="AF16"/>
      <c r="AG16"/>
      <c r="AH16"/>
      <c r="AI16"/>
      <c r="AJ16"/>
      <c r="AK16"/>
    </row>
    <row r="17" spans="2:49" s="33" customFormat="1" x14ac:dyDescent="0.25">
      <c r="C17"/>
      <c r="D17" s="1173"/>
      <c r="E17" s="142" t="s">
        <v>158</v>
      </c>
      <c r="F17" s="192"/>
      <c r="G17" s="8" t="s">
        <v>161</v>
      </c>
      <c r="H17" s="17"/>
      <c r="I17" s="17"/>
      <c r="J17" s="17"/>
      <c r="K17" s="17"/>
      <c r="L17" s="17"/>
      <c r="M17" s="17"/>
      <c r="N17" s="241"/>
      <c r="Y17"/>
      <c r="Z17"/>
      <c r="AA17"/>
      <c r="AB17"/>
      <c r="AC17"/>
      <c r="AD17"/>
      <c r="AE17"/>
      <c r="AF17"/>
      <c r="AG17"/>
      <c r="AH17"/>
      <c r="AI17"/>
      <c r="AJ17"/>
      <c r="AK17"/>
    </row>
    <row r="18" spans="2:49" s="33" customFormat="1" x14ac:dyDescent="0.25">
      <c r="C18"/>
      <c r="D18" s="1174"/>
      <c r="E18" s="267" t="s">
        <v>159</v>
      </c>
      <c r="F18" s="268"/>
      <c r="G18" s="269" t="s">
        <v>162</v>
      </c>
      <c r="H18" s="259"/>
      <c r="I18" s="259"/>
      <c r="J18" s="259"/>
      <c r="K18" s="259"/>
      <c r="L18" s="259"/>
      <c r="M18" s="259"/>
      <c r="N18" s="262"/>
      <c r="Y18"/>
      <c r="Z18"/>
      <c r="AA18"/>
      <c r="AB18"/>
      <c r="AC18"/>
      <c r="AD18"/>
      <c r="AE18"/>
      <c r="AF18"/>
      <c r="AG18"/>
      <c r="AH18"/>
      <c r="AI18"/>
      <c r="AJ18"/>
      <c r="AK18"/>
    </row>
    <row r="19" spans="2:49" s="33" customFormat="1" ht="15.75" thickBot="1" x14ac:dyDescent="0.3">
      <c r="C19"/>
      <c r="D19" s="258"/>
      <c r="E19" s="142"/>
      <c r="F19" s="192"/>
      <c r="G19" s="8"/>
      <c r="H19" s="17"/>
      <c r="I19" s="17"/>
      <c r="J19" s="17"/>
      <c r="K19" s="17"/>
      <c r="L19" s="17"/>
      <c r="M19" s="17"/>
      <c r="Y19"/>
      <c r="Z19"/>
      <c r="AA19"/>
      <c r="AB19"/>
      <c r="AC19"/>
      <c r="AD19"/>
      <c r="AE19"/>
      <c r="AF19"/>
      <c r="AG19"/>
      <c r="AH19"/>
      <c r="AI19"/>
      <c r="AJ19"/>
      <c r="AK19"/>
    </row>
    <row r="20" spans="2:49" s="33" customFormat="1" ht="15" customHeight="1" x14ac:dyDescent="0.25">
      <c r="C20"/>
      <c r="D20" s="1175" t="s">
        <v>152</v>
      </c>
      <c r="E20" s="275" t="s">
        <v>164</v>
      </c>
      <c r="F20" s="276" t="s">
        <v>168</v>
      </c>
      <c r="G20" s="253" t="s">
        <v>166</v>
      </c>
      <c r="H20" s="253"/>
      <c r="I20" s="253"/>
      <c r="J20" s="251"/>
      <c r="L20" s="1229" t="s">
        <v>442</v>
      </c>
      <c r="M20" s="1229"/>
      <c r="N20" s="1229"/>
      <c r="Y20"/>
      <c r="Z20"/>
      <c r="AA20"/>
      <c r="AB20"/>
      <c r="AC20"/>
      <c r="AD20"/>
      <c r="AE20"/>
      <c r="AF20"/>
      <c r="AG20"/>
      <c r="AH20"/>
      <c r="AI20"/>
      <c r="AJ20"/>
      <c r="AK20"/>
    </row>
    <row r="21" spans="2:49" ht="15" customHeight="1" x14ac:dyDescent="0.25">
      <c r="D21" s="1176"/>
      <c r="E21" s="17" t="s">
        <v>139</v>
      </c>
      <c r="F21" s="256">
        <v>4</v>
      </c>
      <c r="G21" s="17" t="s">
        <v>140</v>
      </c>
      <c r="H21" s="17"/>
      <c r="I21" s="17"/>
      <c r="J21" s="197"/>
      <c r="L21" s="1229"/>
      <c r="M21" s="1229"/>
      <c r="N21" s="1229"/>
    </row>
    <row r="22" spans="2:49" x14ac:dyDescent="0.25">
      <c r="D22" s="1176"/>
      <c r="E22" s="17" t="s">
        <v>5</v>
      </c>
      <c r="F22" s="859">
        <v>10</v>
      </c>
      <c r="G22" s="17" t="s">
        <v>143</v>
      </c>
      <c r="H22" s="17"/>
      <c r="I22" s="17"/>
      <c r="J22" s="197"/>
      <c r="L22" s="1229"/>
      <c r="M22" s="1229"/>
      <c r="N22" s="1229"/>
    </row>
    <row r="23" spans="2:49" x14ac:dyDescent="0.25">
      <c r="D23" s="1176"/>
      <c r="E23" s="142" t="s">
        <v>155</v>
      </c>
      <c r="F23" s="886">
        <v>1</v>
      </c>
      <c r="G23" s="142" t="s">
        <v>422</v>
      </c>
      <c r="H23" s="17"/>
      <c r="I23" s="17"/>
      <c r="J23" s="197"/>
      <c r="L23" s="1229"/>
      <c r="M23" s="1229"/>
      <c r="N23" s="1229"/>
    </row>
    <row r="24" spans="2:49" ht="15.75" thickBot="1" x14ac:dyDescent="0.3">
      <c r="D24" s="1177"/>
      <c r="E24" s="168" t="s">
        <v>141</v>
      </c>
      <c r="F24" s="277">
        <f>F22*F23*LN(F21)</f>
        <v>13.862943611198906</v>
      </c>
      <c r="G24" s="168" t="s">
        <v>142</v>
      </c>
      <c r="H24" s="254"/>
      <c r="I24" s="254"/>
      <c r="J24" s="252"/>
      <c r="L24" s="1229"/>
      <c r="M24" s="1229"/>
      <c r="N24" s="1229"/>
    </row>
    <row r="25" spans="2:49" x14ac:dyDescent="0.25">
      <c r="C25" s="7"/>
    </row>
    <row r="26" spans="2:49" ht="15.75" thickBot="1" x14ac:dyDescent="0.3">
      <c r="X26" s="142"/>
      <c r="Y26" s="8"/>
      <c r="Z26" s="8"/>
      <c r="AA26" s="8"/>
      <c r="AB26" s="8"/>
      <c r="AC26" s="8"/>
      <c r="AD26" s="8"/>
      <c r="AE26" s="8"/>
      <c r="AG26" s="8"/>
      <c r="AH26" s="7"/>
      <c r="AI26" s="7"/>
      <c r="AJ26" s="7"/>
      <c r="AK26" s="7"/>
      <c r="AL26" s="7"/>
    </row>
    <row r="27" spans="2:49" ht="19.5" thickBot="1" x14ac:dyDescent="0.35">
      <c r="D27" s="7"/>
      <c r="F27" s="201" t="s">
        <v>12</v>
      </c>
      <c r="G27" s="202"/>
      <c r="H27" s="202"/>
      <c r="I27" s="203"/>
      <c r="J27" s="201" t="s">
        <v>229</v>
      </c>
      <c r="K27" s="202"/>
      <c r="L27" s="202"/>
      <c r="M27" s="203"/>
      <c r="N27" s="201" t="s">
        <v>228</v>
      </c>
      <c r="O27" s="202"/>
      <c r="P27" s="202"/>
      <c r="Q27" s="203"/>
      <c r="R27" s="201" t="s">
        <v>227</v>
      </c>
      <c r="S27" s="202"/>
      <c r="T27" s="202"/>
      <c r="U27" s="203"/>
      <c r="V27" s="201" t="s">
        <v>231</v>
      </c>
      <c r="W27" s="202"/>
      <c r="X27" s="202"/>
      <c r="Y27" s="203"/>
      <c r="Z27" s="201" t="s">
        <v>230</v>
      </c>
      <c r="AA27" s="202"/>
      <c r="AB27" s="202"/>
      <c r="AC27" s="203"/>
      <c r="AD27" s="201" t="s">
        <v>36</v>
      </c>
      <c r="AE27" s="203" t="s">
        <v>35</v>
      </c>
      <c r="AF27" s="195"/>
      <c r="AG27" s="857" t="s">
        <v>98</v>
      </c>
      <c r="AH27" s="858"/>
      <c r="AI27" s="185" t="s">
        <v>99</v>
      </c>
      <c r="AJ27" s="7"/>
      <c r="AK27" s="7" t="s">
        <v>100</v>
      </c>
      <c r="AL27" s="20"/>
      <c r="AM27" s="186" t="s">
        <v>100</v>
      </c>
      <c r="AN27" s="20"/>
      <c r="AO27" s="20"/>
      <c r="AP27" s="20"/>
      <c r="AQ27" s="7"/>
      <c r="AR27" s="7"/>
      <c r="AS27" s="7"/>
      <c r="AT27" s="7"/>
      <c r="AU27" s="7"/>
      <c r="AV27" s="7"/>
      <c r="AW27" s="7"/>
    </row>
    <row r="28" spans="2:49" ht="16.5" thickTop="1" thickBot="1" x14ac:dyDescent="0.3">
      <c r="D28" s="32"/>
      <c r="E28" s="117" t="s">
        <v>45</v>
      </c>
      <c r="F28" s="249" t="str">
        <f>"S("&amp;$F$5&amp;", "&amp;$F$13&amp;")"</f>
        <v>S(2, 5)</v>
      </c>
      <c r="G28" s="178" t="str">
        <f>"S("&amp;$F$5&amp;", "&amp;$F$14&amp;")"</f>
        <v>S(2, 255)</v>
      </c>
      <c r="H28" s="175" t="str">
        <f>"S("&amp;$F$6&amp;", "&amp;$F$13&amp;")"</f>
        <v>S(50, 5)</v>
      </c>
      <c r="I28" s="317" t="str">
        <f>"S("&amp;$F$6&amp;", "&amp;$F$14&amp;")"</f>
        <v>S(50, 255)</v>
      </c>
      <c r="J28" s="249" t="str">
        <f>"P"&amp;(RIGHT(F28,LEN(F28)-1))</f>
        <v>P(2, 5)</v>
      </c>
      <c r="K28" s="178" t="str">
        <f t="shared" ref="K28:L28" si="0">"P"&amp;(RIGHT(G28,LEN(G28)-1))</f>
        <v>P(2, 255)</v>
      </c>
      <c r="L28" s="175" t="str">
        <f t="shared" si="0"/>
        <v>P(50, 5)</v>
      </c>
      <c r="M28" s="317" t="str">
        <f>"P"&amp;(RIGHT(I28,LEN(I28)-1))</f>
        <v>P(50, 255)</v>
      </c>
      <c r="N28" s="1225" t="str">
        <f>"P("&amp;$F$5&amp;",:)      &lt;--- d1 ---&gt;      P("&amp;$F$6&amp;",:)"</f>
        <v>P(2,:)      &lt;--- d1 ---&gt;      P(50,:)</v>
      </c>
      <c r="O28" s="1226"/>
      <c r="P28" s="1223" t="str">
        <f>"P(:,"&amp;$F$13&amp;")     &lt;--- d2 ---&gt;    P(:,"&amp;$F$14&amp;")"</f>
        <v>P(:,5)     &lt;--- d2 ---&gt;    P(:,255)</v>
      </c>
      <c r="Q28" s="1224"/>
      <c r="R28" s="1225" t="str">
        <f>"V"&amp;RIGHT(N28,LEN(N28)-1)</f>
        <v>V(2,:)      &lt;--- d1 ---&gt;      P(50,:)</v>
      </c>
      <c r="S28" s="1226"/>
      <c r="T28" s="1227" t="str">
        <f t="shared" ref="T28" si="1">"V"&amp;RIGHT(P28,LEN(P28)-1)</f>
        <v>V(:,5)     &lt;--- d2 ---&gt;    P(:,255)</v>
      </c>
      <c r="U28" s="1224"/>
      <c r="V28" s="1225" t="str">
        <f>R28</f>
        <v>V(2,:)      &lt;--- d1 ---&gt;      P(50,:)</v>
      </c>
      <c r="W28" s="1226"/>
      <c r="X28" s="1227" t="str">
        <f t="shared" ref="X28" si="2">T28</f>
        <v>V(:,5)     &lt;--- d2 ---&gt;    P(:,255)</v>
      </c>
      <c r="Y28" s="1224"/>
      <c r="Z28" s="249" t="str">
        <f>J28</f>
        <v>P(2, 5)</v>
      </c>
      <c r="AA28" s="178" t="str">
        <f>K28</f>
        <v>P(2, 255)</v>
      </c>
      <c r="AB28" s="175" t="str">
        <f>L28</f>
        <v>P(50, 5)</v>
      </c>
      <c r="AC28" s="317" t="str">
        <f>M28</f>
        <v>P(50, 255)</v>
      </c>
      <c r="AD28" s="508">
        <v>0</v>
      </c>
      <c r="AE28" s="205"/>
      <c r="AF28" s="142"/>
      <c r="AG28" s="182" t="str">
        <f>J28</f>
        <v>P(2, 5)</v>
      </c>
      <c r="AH28" s="183" t="str">
        <f>M28</f>
        <v>P(50, 255)</v>
      </c>
      <c r="AI28" s="7"/>
      <c r="AJ28" s="7"/>
      <c r="AK28" s="7"/>
      <c r="AL28" s="7"/>
      <c r="AN28" s="7" t="s">
        <v>180</v>
      </c>
      <c r="AO28" s="7"/>
      <c r="AP28" s="7"/>
      <c r="AQ28" s="7"/>
      <c r="AR28" s="7"/>
      <c r="AS28" s="7"/>
      <c r="AT28" s="7"/>
      <c r="AU28" s="7"/>
      <c r="AV28" s="7"/>
      <c r="AW28" s="7"/>
    </row>
    <row r="29" spans="2:49" ht="15.75" thickTop="1" x14ac:dyDescent="0.25">
      <c r="C29" t="s">
        <v>388</v>
      </c>
      <c r="D29" s="21" t="s">
        <v>389</v>
      </c>
      <c r="E29" s="25">
        <v>1</v>
      </c>
      <c r="F29" s="318">
        <v>0</v>
      </c>
      <c r="G29" s="216">
        <v>0</v>
      </c>
      <c r="H29" s="215">
        <v>0</v>
      </c>
      <c r="I29" s="319">
        <v>0</v>
      </c>
      <c r="J29" s="328">
        <f t="shared" ref="J29:M37" si="3">EXP(F29/$F$22)/(EXP($F29/$F$22)+EXP($G29/$F$22)+EXP($H29/$F$22)+EXP($I29/$F$22))</f>
        <v>0.25</v>
      </c>
      <c r="K29" s="212">
        <f t="shared" si="3"/>
        <v>0.25</v>
      </c>
      <c r="L29" s="211">
        <f t="shared" si="3"/>
        <v>0.25</v>
      </c>
      <c r="M29" s="329">
        <f t="shared" si="3"/>
        <v>0.25</v>
      </c>
      <c r="N29" s="490">
        <f>SUM(J29:K29)</f>
        <v>0.5</v>
      </c>
      <c r="O29" s="1085">
        <f>SUM(L29,M29)</f>
        <v>0.5</v>
      </c>
      <c r="P29" s="1089">
        <f>SUM(L29,J29)</f>
        <v>0.5</v>
      </c>
      <c r="Q29" s="476">
        <f>SUM(K29,M29)</f>
        <v>0.5</v>
      </c>
      <c r="R29" s="490">
        <f>N29*$F$7</f>
        <v>24</v>
      </c>
      <c r="S29" s="1082">
        <f>O29*$F$7</f>
        <v>24</v>
      </c>
      <c r="T29" s="495">
        <f>P29*$F$15</f>
        <v>125</v>
      </c>
      <c r="U29" s="476">
        <f>Q29*$F$15</f>
        <v>125</v>
      </c>
      <c r="V29" s="490">
        <f>R29+$F$5</f>
        <v>26</v>
      </c>
      <c r="W29" s="1082">
        <f>S29+$F$5</f>
        <v>26</v>
      </c>
      <c r="X29" s="495">
        <f>T29+$F$13</f>
        <v>130</v>
      </c>
      <c r="Y29" s="476">
        <f>U29+$F$13</f>
        <v>130</v>
      </c>
      <c r="Z29" s="318">
        <f>SUM(R29,T29)</f>
        <v>149</v>
      </c>
      <c r="AA29" s="216">
        <f t="shared" ref="AA29:AA38" si="4">SUM(R29,U29)</f>
        <v>149</v>
      </c>
      <c r="AB29" s="215">
        <f t="shared" ref="AB29:AB38" si="5">SUM(S29,T29)</f>
        <v>149</v>
      </c>
      <c r="AC29" s="319">
        <f t="shared" ref="AC29:AC38" si="6">SUM(S29,U29)</f>
        <v>149</v>
      </c>
      <c r="AD29" s="81">
        <f>$F$23*$F$22*LN(EXP($F29/$F$22) + EXP($G29/$F$22) + EXP($H29/$F$22) +EXP($I29/$F$22) )</f>
        <v>13.862943611198906</v>
      </c>
      <c r="AE29" s="206">
        <f>(AD29-AD28)</f>
        <v>13.862943611198906</v>
      </c>
      <c r="AF29" s="196"/>
      <c r="AG29" s="116"/>
      <c r="AH29" s="102"/>
      <c r="AI29" s="7"/>
      <c r="AJ29" s="7"/>
      <c r="AK29" s="7"/>
      <c r="AL29" s="7"/>
      <c r="AN29" s="315" t="s">
        <v>212</v>
      </c>
      <c r="AO29" s="7"/>
      <c r="AP29" s="7"/>
      <c r="AQ29" s="7"/>
      <c r="AR29" s="7"/>
      <c r="AS29" s="7"/>
      <c r="AT29" s="7"/>
      <c r="AU29" s="189"/>
      <c r="AV29" s="7"/>
      <c r="AW29" s="7"/>
    </row>
    <row r="30" spans="2:49" ht="18.75" x14ac:dyDescent="0.3">
      <c r="B30" t="s">
        <v>390</v>
      </c>
      <c r="C30" s="736">
        <f>SUM(L29,M29)</f>
        <v>0.5</v>
      </c>
      <c r="D30" s="865">
        <f>C37/C30</f>
        <v>1.4583333333333335</v>
      </c>
      <c r="E30" s="25">
        <v>2</v>
      </c>
      <c r="F30" s="320">
        <v>0</v>
      </c>
      <c r="G30" s="234">
        <v>0</v>
      </c>
      <c r="H30" s="233">
        <v>1</v>
      </c>
      <c r="I30" s="321">
        <v>1</v>
      </c>
      <c r="J30" s="330">
        <f t="shared" si="3"/>
        <v>0.23751040626052999</v>
      </c>
      <c r="K30" s="230">
        <f t="shared" si="3"/>
        <v>0.23751040626052999</v>
      </c>
      <c r="L30" s="229">
        <f t="shared" si="3"/>
        <v>0.26248959373947001</v>
      </c>
      <c r="M30" s="331">
        <f t="shared" si="3"/>
        <v>0.26248959373947001</v>
      </c>
      <c r="N30" s="491">
        <f t="shared" ref="N30:N37" si="7">SUM(J30:K30)</f>
        <v>0.47502081252105999</v>
      </c>
      <c r="O30" s="1080">
        <f t="shared" ref="O30:O38" si="8">SUM(L30,M30)</f>
        <v>0.52497918747894001</v>
      </c>
      <c r="P30" s="1088">
        <f t="shared" ref="P30:P38" si="9">SUM(L30,J30)</f>
        <v>0.5</v>
      </c>
      <c r="Q30" s="477">
        <f t="shared" ref="Q30:Q38" si="10">SUM(K30,M30)</f>
        <v>0.5</v>
      </c>
      <c r="R30" s="491">
        <f t="shared" ref="R30:S38" si="11">N30*$F$7</f>
        <v>22.800999001010879</v>
      </c>
      <c r="S30" s="1081">
        <f t="shared" si="11"/>
        <v>25.199000998989121</v>
      </c>
      <c r="T30" s="496">
        <f t="shared" ref="T30:U38" si="12">P30*$F$15</f>
        <v>125</v>
      </c>
      <c r="U30" s="477">
        <f t="shared" si="12"/>
        <v>125</v>
      </c>
      <c r="V30" s="491">
        <f>R30+$F$5</f>
        <v>24.800999001010879</v>
      </c>
      <c r="W30" s="1081">
        <f t="shared" ref="V30:W38" si="13">S30+$F$5</f>
        <v>27.199000998989121</v>
      </c>
      <c r="X30" s="496">
        <f t="shared" ref="X30:Y38" si="14">T30+$F$13</f>
        <v>130</v>
      </c>
      <c r="Y30" s="477">
        <f>U30+$F$13</f>
        <v>130</v>
      </c>
      <c r="Z30" s="320">
        <f t="shared" ref="Z30:Z38" si="15">SUM(R30,T30)</f>
        <v>147.80099900101089</v>
      </c>
      <c r="AA30" s="234">
        <f t="shared" si="4"/>
        <v>147.80099900101089</v>
      </c>
      <c r="AB30" s="233">
        <f t="shared" si="5"/>
        <v>150.19900099898911</v>
      </c>
      <c r="AC30" s="321">
        <f t="shared" si="6"/>
        <v>150.19900099898911</v>
      </c>
      <c r="AD30" s="82">
        <f t="shared" ref="AD30:AD37" si="16">$F$23*$F$22*LN(EXP($F30/$F$22) + EXP($G30/$F$22) + EXP($H30/$F$22) +EXP($I30/$F$22) )</f>
        <v>14.375438406335162</v>
      </c>
      <c r="AE30" s="208">
        <f>(AD30-AD29)</f>
        <v>0.51249479513625573</v>
      </c>
      <c r="AF30" s="196"/>
      <c r="AG30" s="116">
        <f>J30-J29</f>
        <v>-1.2489593739470006E-2</v>
      </c>
      <c r="AH30" s="102">
        <f>M30-M29</f>
        <v>1.2489593739470006E-2</v>
      </c>
      <c r="AI30" s="184">
        <f t="shared" ref="AI30:AI37" si="17">AE30</f>
        <v>0.51249479513625573</v>
      </c>
      <c r="AJ30" s="7"/>
      <c r="AK30" s="7" t="str">
        <f t="shared" ref="AK30:AK37" si="18">IF(AG30&gt;0,"Bought ",IF(AG30&lt;0,"Sold ",""))&amp;IF(AG30&lt;0,AG30*-1,IF(AG30&gt;0,AG30,""))&amp;IF(AG30&lt;&gt;0," Shares of State 1 at a cost of "&amp;ROUND($AE30,5),"")</f>
        <v>Sold 0.01248959373947 Shares of State 1 at a cost of 0.51249</v>
      </c>
      <c r="AL30" s="7" t="str">
        <f t="shared" ref="AL30:AL37" si="19">IF(AH30&gt;0,"Bought ",IF(AH30&lt;0,"Sold ",""))&amp;IF(AH30&lt;0,AH30*-1,IF(AH30&gt;0,AH30,""))&amp;IF(AH30&lt;&gt;0," Shares of State 2 at a cost of "&amp;ROUND($AE30,5),"")</f>
        <v>Bought 0.01248959373947 Shares of State 2 at a cost of 0.51249</v>
      </c>
      <c r="AM30" s="187" t="str">
        <f t="shared" ref="AM30:AM37" si="20">AK30&amp;AL30</f>
        <v>Sold 0.01248959373947 Shares of State 1 at a cost of 0.51249Bought 0.01248959373947 Shares of State 2 at a cost of 0.51249</v>
      </c>
      <c r="AN30" s="7" t="s">
        <v>233</v>
      </c>
      <c r="AO30" s="499">
        <f>S38/S29</f>
        <v>1.4583333333333333</v>
      </c>
      <c r="AP30" s="7"/>
      <c r="AQ30" s="7"/>
      <c r="AR30" s="7"/>
      <c r="AS30" s="7"/>
      <c r="AT30" s="7"/>
      <c r="AU30" s="7"/>
      <c r="AV30" s="7"/>
      <c r="AW30" s="7"/>
    </row>
    <row r="31" spans="2:49" ht="18.75" x14ac:dyDescent="0.3">
      <c r="D31" s="866">
        <f>S38/S29</f>
        <v>1.4583333333333333</v>
      </c>
      <c r="E31" s="25">
        <v>3</v>
      </c>
      <c r="F31" s="320">
        <v>6</v>
      </c>
      <c r="G31" s="234">
        <v>8</v>
      </c>
      <c r="H31" s="233">
        <v>6</v>
      </c>
      <c r="I31" s="321">
        <v>8</v>
      </c>
      <c r="J31" s="330">
        <f t="shared" si="3"/>
        <v>0.22508300134376102</v>
      </c>
      <c r="K31" s="230">
        <f t="shared" si="3"/>
        <v>0.27491699865623898</v>
      </c>
      <c r="L31" s="229">
        <f t="shared" si="3"/>
        <v>0.22508300134376102</v>
      </c>
      <c r="M31" s="331">
        <f t="shared" si="3"/>
        <v>0.27491699865623898</v>
      </c>
      <c r="N31" s="491">
        <f t="shared" si="7"/>
        <v>0.5</v>
      </c>
      <c r="O31" s="1080">
        <f>SUM(L31,M31)</f>
        <v>0.5</v>
      </c>
      <c r="P31" s="1088">
        <f>SUM(L31,J31)</f>
        <v>0.45016600268752205</v>
      </c>
      <c r="Q31" s="477">
        <f t="shared" si="10"/>
        <v>0.54983399731247795</v>
      </c>
      <c r="R31" s="491">
        <f t="shared" si="11"/>
        <v>24</v>
      </c>
      <c r="S31" s="1081">
        <f t="shared" si="11"/>
        <v>24</v>
      </c>
      <c r="T31" s="496">
        <f t="shared" si="12"/>
        <v>112.54150067188051</v>
      </c>
      <c r="U31" s="477">
        <f t="shared" si="12"/>
        <v>137.4584993281195</v>
      </c>
      <c r="V31" s="491">
        <f t="shared" si="13"/>
        <v>26</v>
      </c>
      <c r="W31" s="1081">
        <f t="shared" si="13"/>
        <v>26</v>
      </c>
      <c r="X31" s="496">
        <f t="shared" si="14"/>
        <v>117.54150067188051</v>
      </c>
      <c r="Y31" s="477">
        <f t="shared" si="14"/>
        <v>142.4584993281195</v>
      </c>
      <c r="Z31" s="320">
        <f t="shared" si="15"/>
        <v>136.5415006718805</v>
      </c>
      <c r="AA31" s="234">
        <f t="shared" si="4"/>
        <v>161.4584993281195</v>
      </c>
      <c r="AB31" s="233">
        <f t="shared" si="5"/>
        <v>136.5415006718805</v>
      </c>
      <c r="AC31" s="321">
        <f t="shared" si="6"/>
        <v>161.4584993281195</v>
      </c>
      <c r="AD31" s="82">
        <f>$F$23*$F$22*LN(EXP($F31/$F$22) + EXP($G31/$F$22) + EXP($H31/$F$22) +EXP($I31/$F$22) )</f>
        <v>20.912860499415373</v>
      </c>
      <c r="AE31" s="208">
        <f t="shared" ref="AE31" si="21">(AD31-AD30)</f>
        <v>6.5374220930802114</v>
      </c>
      <c r="AF31" s="196"/>
      <c r="AG31" s="116">
        <f>J31-J30</f>
        <v>-1.2427404916768969E-2</v>
      </c>
      <c r="AH31" s="102">
        <f>M31-M30</f>
        <v>1.2427404916768969E-2</v>
      </c>
      <c r="AI31" s="184">
        <f t="shared" si="17"/>
        <v>6.5374220930802114</v>
      </c>
      <c r="AJ31" s="7"/>
      <c r="AK31" s="7" t="str">
        <f t="shared" si="18"/>
        <v>Sold 0.012427404916769 Shares of State 1 at a cost of 6.53742</v>
      </c>
      <c r="AL31" s="7" t="str">
        <f t="shared" si="19"/>
        <v>Bought 0.012427404916769 Shares of State 2 at a cost of 6.53742</v>
      </c>
      <c r="AM31" s="187" t="str">
        <f t="shared" si="20"/>
        <v>Sold 0.012427404916769 Shares of State 1 at a cost of 6.53742Bought 0.012427404916769 Shares of State 2 at a cost of 6.53742</v>
      </c>
      <c r="AO31" s="7" t="s">
        <v>177</v>
      </c>
      <c r="AP31" s="7" t="s">
        <v>178</v>
      </c>
      <c r="AQ31" t="s">
        <v>236</v>
      </c>
      <c r="AV31" s="7"/>
      <c r="AW31" s="7"/>
    </row>
    <row r="32" spans="2:49" ht="18.75" x14ac:dyDescent="0.3">
      <c r="D32" s="21"/>
      <c r="E32" s="25">
        <v>4</v>
      </c>
      <c r="F32" s="320">
        <v>6</v>
      </c>
      <c r="G32" s="234">
        <v>8</v>
      </c>
      <c r="H32" s="233">
        <v>5</v>
      </c>
      <c r="I32" s="321">
        <v>7</v>
      </c>
      <c r="J32" s="330">
        <f t="shared" si="3"/>
        <v>0.23632778232153767</v>
      </c>
      <c r="K32" s="230">
        <f t="shared" si="3"/>
        <v>0.2886514051574024</v>
      </c>
      <c r="L32" s="229">
        <f t="shared" si="3"/>
        <v>0.21383822036598443</v>
      </c>
      <c r="M32" s="331">
        <f t="shared" si="3"/>
        <v>0.26118259215507561</v>
      </c>
      <c r="N32" s="491">
        <f t="shared" si="7"/>
        <v>0.52497918747894001</v>
      </c>
      <c r="O32" s="1080">
        <f t="shared" si="8"/>
        <v>0.47502081252106004</v>
      </c>
      <c r="P32" s="1088">
        <f t="shared" si="9"/>
        <v>0.4501660026875221</v>
      </c>
      <c r="Q32" s="477">
        <f t="shared" si="10"/>
        <v>0.54983399731247795</v>
      </c>
      <c r="R32" s="491">
        <f t="shared" si="11"/>
        <v>25.199000998989121</v>
      </c>
      <c r="S32" s="1081">
        <f t="shared" si="11"/>
        <v>22.800999001010883</v>
      </c>
      <c r="T32" s="496">
        <f t="shared" si="12"/>
        <v>112.54150067188053</v>
      </c>
      <c r="U32" s="477">
        <f t="shared" si="12"/>
        <v>137.4584993281195</v>
      </c>
      <c r="V32" s="491">
        <f t="shared" si="13"/>
        <v>27.199000998989121</v>
      </c>
      <c r="W32" s="1081">
        <f t="shared" si="13"/>
        <v>24.800999001010883</v>
      </c>
      <c r="X32" s="496">
        <f t="shared" si="14"/>
        <v>117.54150067188053</v>
      </c>
      <c r="Y32" s="477">
        <f t="shared" si="14"/>
        <v>142.4584993281195</v>
      </c>
      <c r="Z32" s="320">
        <f t="shared" si="15"/>
        <v>137.74050167086966</v>
      </c>
      <c r="AA32" s="234">
        <f t="shared" si="4"/>
        <v>162.65750032710861</v>
      </c>
      <c r="AB32" s="233">
        <f t="shared" si="5"/>
        <v>135.34249967289142</v>
      </c>
      <c r="AC32" s="321">
        <f t="shared" si="6"/>
        <v>160.25949832913039</v>
      </c>
      <c r="AD32" s="82">
        <f t="shared" si="16"/>
        <v>20.425355294551629</v>
      </c>
      <c r="AE32" s="208">
        <f>(AD32-AD31)</f>
        <v>-0.48750520486374427</v>
      </c>
      <c r="AF32" s="196"/>
      <c r="AG32" s="116">
        <f>J32-J31</f>
        <v>1.1244780977776647E-2</v>
      </c>
      <c r="AH32" s="102">
        <f>M32-M31</f>
        <v>-1.3734406501163365E-2</v>
      </c>
      <c r="AI32" s="184">
        <f t="shared" si="17"/>
        <v>-0.48750520486374427</v>
      </c>
      <c r="AJ32" s="7"/>
      <c r="AK32" s="7" t="str">
        <f t="shared" si="18"/>
        <v>Bought 0.0112447809777766 Shares of State 1 at a cost of -0.48751</v>
      </c>
      <c r="AL32" s="7" t="str">
        <f t="shared" si="19"/>
        <v>Sold 0.0137344065011634 Shares of State 2 at a cost of -0.48751</v>
      </c>
      <c r="AM32" s="187" t="str">
        <f t="shared" si="20"/>
        <v>Bought 0.0112447809777766 Shares of State 1 at a cost of -0.48751Sold 0.0137344065011634 Shares of State 2 at a cost of -0.48751</v>
      </c>
      <c r="AN32" s="7" t="s">
        <v>176</v>
      </c>
      <c r="AO32" s="500">
        <f>AE30</f>
        <v>0.51249479513625573</v>
      </c>
      <c r="AP32" s="501">
        <f>SUM(L38:M38)</f>
        <v>0.72916666666666674</v>
      </c>
      <c r="AQ32" s="502">
        <f>AP32/AO32</f>
        <v>1.4227786771430624</v>
      </c>
      <c r="AR32" s="7" t="s">
        <v>237</v>
      </c>
      <c r="AV32" s="7"/>
      <c r="AW32" s="7"/>
    </row>
    <row r="33" spans="2:49" ht="18.75" x14ac:dyDescent="0.3">
      <c r="E33" s="25">
        <v>5</v>
      </c>
      <c r="F33" s="320">
        <v>7</v>
      </c>
      <c r="G33" s="234">
        <v>8</v>
      </c>
      <c r="H33" s="233">
        <v>6</v>
      </c>
      <c r="I33" s="321">
        <v>7</v>
      </c>
      <c r="J33" s="330">
        <f t="shared" si="3"/>
        <v>0.24937604019289195</v>
      </c>
      <c r="K33" s="230">
        <f t="shared" si="3"/>
        <v>0.27560314728604801</v>
      </c>
      <c r="L33" s="229">
        <f t="shared" si="3"/>
        <v>0.22564477232816801</v>
      </c>
      <c r="M33" s="331">
        <f t="shared" si="3"/>
        <v>0.24937604019289195</v>
      </c>
      <c r="N33" s="491">
        <f t="shared" si="7"/>
        <v>0.52497918747894001</v>
      </c>
      <c r="O33" s="1080">
        <f t="shared" si="8"/>
        <v>0.47502081252105999</v>
      </c>
      <c r="P33" s="1088">
        <f t="shared" si="9"/>
        <v>0.47502081252105999</v>
      </c>
      <c r="Q33" s="477">
        <f>SUM(K33,M33)</f>
        <v>0.52497918747894001</v>
      </c>
      <c r="R33" s="491">
        <f t="shared" si="11"/>
        <v>25.199000998989121</v>
      </c>
      <c r="S33" s="1081">
        <f t="shared" si="11"/>
        <v>22.800999001010879</v>
      </c>
      <c r="T33" s="496">
        <f t="shared" si="12"/>
        <v>118.755203130265</v>
      </c>
      <c r="U33" s="477">
        <f t="shared" si="12"/>
        <v>131.24479686973501</v>
      </c>
      <c r="V33" s="491">
        <f t="shared" si="13"/>
        <v>27.199000998989121</v>
      </c>
      <c r="W33" s="1081">
        <f t="shared" si="13"/>
        <v>24.800999001010879</v>
      </c>
      <c r="X33" s="496">
        <f t="shared" si="14"/>
        <v>123.755203130265</v>
      </c>
      <c r="Y33" s="477">
        <f t="shared" si="14"/>
        <v>136.24479686973501</v>
      </c>
      <c r="Z33" s="320">
        <f t="shared" si="15"/>
        <v>143.95420412925412</v>
      </c>
      <c r="AA33" s="234">
        <f t="shared" si="4"/>
        <v>156.44379786872412</v>
      </c>
      <c r="AB33" s="233">
        <f t="shared" si="5"/>
        <v>141.55620213127588</v>
      </c>
      <c r="AC33" s="321">
        <f t="shared" si="6"/>
        <v>154.04579587074591</v>
      </c>
      <c r="AD33" s="82">
        <f t="shared" si="16"/>
        <v>20.887933201471419</v>
      </c>
      <c r="AE33" s="208">
        <f t="shared" ref="AE33:AE37" si="22">(AD33-AD32)</f>
        <v>0.46257790691979039</v>
      </c>
      <c r="AF33" s="196"/>
      <c r="AG33" s="116">
        <f>J33-J32</f>
        <v>1.3048257871354274E-2</v>
      </c>
      <c r="AH33" s="102">
        <f>M33-M32</f>
        <v>-1.1806551962183665E-2</v>
      </c>
      <c r="AI33" s="184">
        <f t="shared" si="17"/>
        <v>0.46257790691979039</v>
      </c>
      <c r="AJ33" s="7"/>
      <c r="AK33" s="7" t="str">
        <f t="shared" si="18"/>
        <v>Bought 0.0130482578713543 Shares of State 1 at a cost of 0.46258</v>
      </c>
      <c r="AL33" s="7" t="str">
        <f t="shared" si="19"/>
        <v>Sold 0.0118065519621837 Shares of State 2 at a cost of 0.46258</v>
      </c>
      <c r="AM33" s="187" t="str">
        <f t="shared" si="20"/>
        <v>Bought 0.0130482578713543 Shares of State 1 at a cost of 0.46258Sold 0.0118065519621837 Shares of State 2 at a cost of 0.46258</v>
      </c>
      <c r="AN33" s="8" t="s">
        <v>179</v>
      </c>
      <c r="AO33" s="503">
        <f>SUM(L29:M29)</f>
        <v>0.5</v>
      </c>
      <c r="AP33" s="162">
        <f>SUM(L38:M38)</f>
        <v>0.72916666666666674</v>
      </c>
      <c r="AQ33" s="504">
        <f>AP33/AO33</f>
        <v>1.4583333333333335</v>
      </c>
      <c r="AR33" s="7" t="s">
        <v>235</v>
      </c>
      <c r="AV33" s="7"/>
      <c r="AW33" s="7"/>
    </row>
    <row r="34" spans="2:49" ht="18.75" x14ac:dyDescent="0.3">
      <c r="B34" t="s">
        <v>391</v>
      </c>
      <c r="C34" s="736">
        <f>SUM(K33,M33)</f>
        <v>0.52497918747894001</v>
      </c>
      <c r="D34" s="865">
        <f>C38/C34</f>
        <v>0.85336716328010986</v>
      </c>
      <c r="E34" s="25">
        <v>6</v>
      </c>
      <c r="F34" s="320">
        <v>7</v>
      </c>
      <c r="G34" s="234">
        <v>9</v>
      </c>
      <c r="H34" s="233">
        <v>6</v>
      </c>
      <c r="I34" s="321">
        <v>8</v>
      </c>
      <c r="J34" s="330">
        <f t="shared" si="3"/>
        <v>0.23632778232153764</v>
      </c>
      <c r="K34" s="230">
        <f t="shared" si="3"/>
        <v>0.28865140515740234</v>
      </c>
      <c r="L34" s="229">
        <f t="shared" si="3"/>
        <v>0.2138382203659844</v>
      </c>
      <c r="M34" s="331">
        <f t="shared" si="3"/>
        <v>0.26118259215507561</v>
      </c>
      <c r="N34" s="491">
        <f t="shared" si="7"/>
        <v>0.52497918747894001</v>
      </c>
      <c r="O34" s="1080">
        <f t="shared" si="8"/>
        <v>0.47502081252105999</v>
      </c>
      <c r="P34" s="1088">
        <f t="shared" si="9"/>
        <v>0.45016600268752205</v>
      </c>
      <c r="Q34" s="477">
        <f t="shared" si="10"/>
        <v>0.54983399731247795</v>
      </c>
      <c r="R34" s="491">
        <f t="shared" si="11"/>
        <v>25.199000998989121</v>
      </c>
      <c r="S34" s="1081">
        <f t="shared" si="11"/>
        <v>22.800999001010879</v>
      </c>
      <c r="T34" s="496">
        <f t="shared" si="12"/>
        <v>112.54150067188051</v>
      </c>
      <c r="U34" s="477">
        <f t="shared" si="12"/>
        <v>137.4584993281195</v>
      </c>
      <c r="V34" s="491">
        <f t="shared" si="13"/>
        <v>27.199000998989121</v>
      </c>
      <c r="W34" s="1081">
        <f t="shared" si="13"/>
        <v>24.800999001010879</v>
      </c>
      <c r="X34" s="496">
        <f t="shared" si="14"/>
        <v>117.54150067188051</v>
      </c>
      <c r="Y34" s="477">
        <f t="shared" si="14"/>
        <v>142.4584993281195</v>
      </c>
      <c r="Z34" s="320">
        <f t="shared" si="15"/>
        <v>137.74050167086963</v>
      </c>
      <c r="AA34" s="234">
        <f t="shared" si="4"/>
        <v>162.65750032710861</v>
      </c>
      <c r="AB34" s="233">
        <f t="shared" si="5"/>
        <v>135.34249967289139</v>
      </c>
      <c r="AC34" s="321">
        <f t="shared" si="6"/>
        <v>160.25949832913039</v>
      </c>
      <c r="AD34" s="82">
        <f t="shared" si="16"/>
        <v>21.425355294551629</v>
      </c>
      <c r="AE34" s="208">
        <f>(AD34-AD33)</f>
        <v>0.53742209308020961</v>
      </c>
      <c r="AF34" s="196"/>
      <c r="AG34" s="116">
        <f>J34-J31</f>
        <v>1.1244780977776619E-2</v>
      </c>
      <c r="AH34" s="102">
        <f>M34-M31</f>
        <v>-1.3734406501163365E-2</v>
      </c>
      <c r="AI34" s="184">
        <f t="shared" si="17"/>
        <v>0.53742209308020961</v>
      </c>
      <c r="AJ34" s="7"/>
      <c r="AK34" s="7" t="str">
        <f t="shared" si="18"/>
        <v>Bought 0.0112447809777766 Shares of State 1 at a cost of 0.53742</v>
      </c>
      <c r="AL34" s="7" t="str">
        <f t="shared" si="19"/>
        <v>Sold 0.0137344065011634 Shares of State 2 at a cost of 0.53742</v>
      </c>
      <c r="AM34" s="187" t="str">
        <f t="shared" si="20"/>
        <v>Bought 0.0112447809777766 Shares of State 1 at a cost of 0.53742Sold 0.0137344065011634 Shares of State 2 at a cost of 0.53742</v>
      </c>
      <c r="AN34" s="8" t="s">
        <v>88</v>
      </c>
      <c r="AO34" s="503">
        <f>AO32</f>
        <v>0.51249479513625573</v>
      </c>
      <c r="AP34" s="162">
        <f>AP32</f>
        <v>0.72916666666666674</v>
      </c>
      <c r="AQ34" s="504">
        <f>AP34/AO34</f>
        <v>1.4227786771430624</v>
      </c>
      <c r="AR34" s="7" t="s">
        <v>232</v>
      </c>
      <c r="AV34" s="7"/>
      <c r="AW34" s="7"/>
    </row>
    <row r="35" spans="2:49" ht="18.75" x14ac:dyDescent="0.3">
      <c r="D35" s="866">
        <f>U38/U33</f>
        <v>0.85336716328010975</v>
      </c>
      <c r="E35" s="25">
        <v>16</v>
      </c>
      <c r="F35" s="320">
        <v>1</v>
      </c>
      <c r="G35" s="234">
        <v>99</v>
      </c>
      <c r="H35" s="233">
        <v>1</v>
      </c>
      <c r="I35" s="321">
        <v>1</v>
      </c>
      <c r="J35" s="330">
        <f t="shared" si="3"/>
        <v>5.544237632684603E-5</v>
      </c>
      <c r="K35" s="230">
        <f t="shared" si="3"/>
        <v>0.99983367287101943</v>
      </c>
      <c r="L35" s="229">
        <f t="shared" si="3"/>
        <v>5.544237632684603E-5</v>
      </c>
      <c r="M35" s="331">
        <f t="shared" si="3"/>
        <v>5.544237632684603E-5</v>
      </c>
      <c r="N35" s="491">
        <f t="shared" si="7"/>
        <v>0.99988911524734625</v>
      </c>
      <c r="O35" s="1080">
        <f t="shared" si="8"/>
        <v>1.1088475265369206E-4</v>
      </c>
      <c r="P35" s="1088">
        <f t="shared" si="9"/>
        <v>1.1088475265369206E-4</v>
      </c>
      <c r="Q35" s="477">
        <f>SUM(K35,M35)</f>
        <v>0.99988911524734625</v>
      </c>
      <c r="R35" s="491">
        <f t="shared" si="11"/>
        <v>47.994677531872618</v>
      </c>
      <c r="S35" s="1081">
        <f t="shared" si="11"/>
        <v>5.3224681273772185E-3</v>
      </c>
      <c r="T35" s="496">
        <f t="shared" si="12"/>
        <v>2.7721188163423015E-2</v>
      </c>
      <c r="U35" s="477">
        <f t="shared" si="12"/>
        <v>249.97227881183656</v>
      </c>
      <c r="V35" s="491">
        <f t="shared" si="13"/>
        <v>49.994677531872618</v>
      </c>
      <c r="W35" s="1081">
        <f t="shared" si="13"/>
        <v>2.0053224681273774</v>
      </c>
      <c r="X35" s="496">
        <f t="shared" si="14"/>
        <v>5.0277211881634232</v>
      </c>
      <c r="Y35" s="477">
        <f t="shared" si="14"/>
        <v>254.97227881183656</v>
      </c>
      <c r="Z35" s="320">
        <f t="shared" si="15"/>
        <v>48.022398720036044</v>
      </c>
      <c r="AA35" s="234">
        <f t="shared" si="4"/>
        <v>297.96695634370917</v>
      </c>
      <c r="AB35" s="233">
        <f t="shared" si="5"/>
        <v>3.3043656290800236E-2</v>
      </c>
      <c r="AC35" s="321">
        <f t="shared" si="6"/>
        <v>249.97760127996395</v>
      </c>
      <c r="AD35" s="82">
        <f t="shared" si="16"/>
        <v>99.001663409628719</v>
      </c>
      <c r="AE35" s="208">
        <f t="shared" si="22"/>
        <v>77.576308115077097</v>
      </c>
      <c r="AF35" s="196"/>
      <c r="AG35" s="480">
        <f>J35-J32</f>
        <v>-0.23627233994521082</v>
      </c>
      <c r="AH35" s="102">
        <f>M35-M32</f>
        <v>-0.26112714977874879</v>
      </c>
      <c r="AI35" s="184">
        <f t="shared" si="17"/>
        <v>77.576308115077097</v>
      </c>
      <c r="AJ35" s="7"/>
      <c r="AK35" s="7" t="str">
        <f t="shared" si="18"/>
        <v>Sold 0.236272339945211 Shares of State 1 at a cost of 77.57631</v>
      </c>
      <c r="AL35" s="7" t="str">
        <f t="shared" si="19"/>
        <v>Sold 0.261127149778749 Shares of State 2 at a cost of 77.57631</v>
      </c>
      <c r="AM35" s="187" t="str">
        <f t="shared" si="20"/>
        <v>Sold 0.236272339945211 Shares of State 1 at a cost of 77.57631Sold 0.261127149778749 Shares of State 2 at a cost of 77.57631</v>
      </c>
      <c r="AN35" s="8" t="s">
        <v>182</v>
      </c>
      <c r="AO35" s="505">
        <f>AO33</f>
        <v>0.5</v>
      </c>
      <c r="AP35" s="506">
        <f>AP33</f>
        <v>0.72916666666666674</v>
      </c>
      <c r="AQ35" s="507">
        <f>AP35/AO35</f>
        <v>1.4583333333333335</v>
      </c>
      <c r="AR35" s="7" t="s">
        <v>234</v>
      </c>
      <c r="AV35" s="7"/>
      <c r="AW35" s="7"/>
    </row>
    <row r="36" spans="2:49" ht="18.75" x14ac:dyDescent="0.3">
      <c r="D36" s="21"/>
      <c r="E36" s="25">
        <v>17</v>
      </c>
      <c r="F36" s="320">
        <v>6</v>
      </c>
      <c r="G36" s="234">
        <v>8</v>
      </c>
      <c r="H36" s="233">
        <v>5</v>
      </c>
      <c r="I36" s="321">
        <v>7</v>
      </c>
      <c r="J36" s="330">
        <f t="shared" si="3"/>
        <v>0.23632778232153767</v>
      </c>
      <c r="K36" s="230">
        <f t="shared" si="3"/>
        <v>0.2886514051574024</v>
      </c>
      <c r="L36" s="229">
        <f t="shared" si="3"/>
        <v>0.21383822036598443</v>
      </c>
      <c r="M36" s="331">
        <f t="shared" si="3"/>
        <v>0.26118259215507561</v>
      </c>
      <c r="N36" s="491">
        <f t="shared" si="7"/>
        <v>0.52497918747894001</v>
      </c>
      <c r="O36" s="1080">
        <f t="shared" si="8"/>
        <v>0.47502081252106004</v>
      </c>
      <c r="P36" s="1088">
        <f t="shared" si="9"/>
        <v>0.4501660026875221</v>
      </c>
      <c r="Q36" s="477">
        <f t="shared" si="10"/>
        <v>0.54983399731247795</v>
      </c>
      <c r="R36" s="491">
        <f t="shared" si="11"/>
        <v>25.199000998989121</v>
      </c>
      <c r="S36" s="1081">
        <f t="shared" si="11"/>
        <v>22.800999001010883</v>
      </c>
      <c r="T36" s="496">
        <f t="shared" si="12"/>
        <v>112.54150067188053</v>
      </c>
      <c r="U36" s="477">
        <f t="shared" si="12"/>
        <v>137.4584993281195</v>
      </c>
      <c r="V36" s="491">
        <f t="shared" si="13"/>
        <v>27.199000998989121</v>
      </c>
      <c r="W36" s="1081">
        <f t="shared" si="13"/>
        <v>24.800999001010883</v>
      </c>
      <c r="X36" s="496">
        <f t="shared" si="14"/>
        <v>117.54150067188053</v>
      </c>
      <c r="Y36" s="477">
        <f t="shared" si="14"/>
        <v>142.4584993281195</v>
      </c>
      <c r="Z36" s="320">
        <f t="shared" si="15"/>
        <v>137.74050167086966</v>
      </c>
      <c r="AA36" s="234">
        <f t="shared" si="4"/>
        <v>162.65750032710861</v>
      </c>
      <c r="AB36" s="233">
        <f t="shared" si="5"/>
        <v>135.34249967289142</v>
      </c>
      <c r="AC36" s="321">
        <f t="shared" si="6"/>
        <v>160.25949832913039</v>
      </c>
      <c r="AD36" s="82">
        <f t="shared" si="16"/>
        <v>20.425355294551629</v>
      </c>
      <c r="AE36" s="208">
        <f t="shared" si="22"/>
        <v>-78.576308115077097</v>
      </c>
      <c r="AF36" s="196"/>
      <c r="AG36" s="116">
        <f>J36-J35</f>
        <v>0.23627233994521082</v>
      </c>
      <c r="AH36" s="102">
        <f>M36-M35</f>
        <v>0.26112714977874879</v>
      </c>
      <c r="AI36" s="184">
        <f t="shared" si="17"/>
        <v>-78.576308115077097</v>
      </c>
      <c r="AJ36" s="7"/>
      <c r="AK36" s="7" t="str">
        <f t="shared" si="18"/>
        <v>Bought 0.236272339945211 Shares of State 1 at a cost of -78.57631</v>
      </c>
      <c r="AL36" s="7" t="str">
        <f t="shared" si="19"/>
        <v>Bought 0.261127149778749 Shares of State 2 at a cost of -78.57631</v>
      </c>
      <c r="AM36" s="187" t="str">
        <f t="shared" si="20"/>
        <v>Bought 0.236272339945211 Shares of State 1 at a cost of -78.57631Bought 0.261127149778749 Shares of State 2 at a cost of -78.57631</v>
      </c>
      <c r="AN36" s="7"/>
      <c r="AO36" s="7"/>
      <c r="AP36" s="7"/>
      <c r="AQ36" s="7"/>
      <c r="AR36" s="7"/>
      <c r="AS36" s="7"/>
      <c r="AT36" s="7"/>
      <c r="AU36" s="7"/>
      <c r="AV36" s="7"/>
      <c r="AW36" s="7"/>
    </row>
    <row r="37" spans="2:49" ht="19.5" thickBot="1" x14ac:dyDescent="0.35">
      <c r="C37" s="864">
        <f>SUM(M38,L38)</f>
        <v>0.72916666666666674</v>
      </c>
      <c r="D37" s="21"/>
      <c r="E37" s="25">
        <v>18</v>
      </c>
      <c r="F37" s="322">
        <v>6</v>
      </c>
      <c r="G37" s="226">
        <v>4</v>
      </c>
      <c r="H37" s="225">
        <v>6.5</v>
      </c>
      <c r="I37" s="323">
        <v>6</v>
      </c>
      <c r="J37" s="332">
        <f t="shared" si="3"/>
        <v>0.25839780932949258</v>
      </c>
      <c r="K37" s="222">
        <f t="shared" si="3"/>
        <v>0.21155823302603627</v>
      </c>
      <c r="L37" s="221">
        <f t="shared" si="3"/>
        <v>0.27164614831497852</v>
      </c>
      <c r="M37" s="333">
        <f t="shared" si="3"/>
        <v>0.25839780932949258</v>
      </c>
      <c r="N37" s="492">
        <f t="shared" si="7"/>
        <v>0.46995604235552885</v>
      </c>
      <c r="O37" s="1086">
        <f t="shared" si="8"/>
        <v>0.5300439576444711</v>
      </c>
      <c r="P37" s="1090">
        <f t="shared" si="9"/>
        <v>0.5300439576444711</v>
      </c>
      <c r="Q37" s="478">
        <f t="shared" si="10"/>
        <v>0.46995604235552885</v>
      </c>
      <c r="R37" s="492">
        <f t="shared" si="11"/>
        <v>22.557890033065384</v>
      </c>
      <c r="S37" s="1083">
        <f t="shared" si="11"/>
        <v>25.442109966934613</v>
      </c>
      <c r="T37" s="497">
        <f t="shared" si="12"/>
        <v>132.51098941111778</v>
      </c>
      <c r="U37" s="478">
        <f t="shared" si="12"/>
        <v>117.48901058888221</v>
      </c>
      <c r="V37" s="492">
        <f t="shared" si="13"/>
        <v>24.557890033065384</v>
      </c>
      <c r="W37" s="1083">
        <f t="shared" si="13"/>
        <v>27.442109966934613</v>
      </c>
      <c r="X37" s="497">
        <f t="shared" si="14"/>
        <v>137.51098941111778</v>
      </c>
      <c r="Y37" s="478">
        <f t="shared" si="14"/>
        <v>122.48901058888221</v>
      </c>
      <c r="Z37" s="322">
        <f t="shared" si="15"/>
        <v>155.06887944418315</v>
      </c>
      <c r="AA37" s="226">
        <f t="shared" si="4"/>
        <v>140.0469006219476</v>
      </c>
      <c r="AB37" s="225">
        <f t="shared" si="5"/>
        <v>157.9530993780524</v>
      </c>
      <c r="AC37" s="323">
        <f t="shared" si="6"/>
        <v>142.93112055581682</v>
      </c>
      <c r="AD37" s="114">
        <f t="shared" si="16"/>
        <v>19.532549849366681</v>
      </c>
      <c r="AE37" s="509">
        <f t="shared" si="22"/>
        <v>-0.89280544518494764</v>
      </c>
      <c r="AF37" s="196"/>
      <c r="AG37" s="121">
        <f>J37-J36</f>
        <v>2.2070027007954907E-2</v>
      </c>
      <c r="AH37" s="104">
        <f>M37-M36</f>
        <v>-2.784782825583032E-3</v>
      </c>
      <c r="AI37" s="184">
        <f t="shared" si="17"/>
        <v>-0.89280544518494764</v>
      </c>
      <c r="AJ37" s="7"/>
      <c r="AK37" s="7" t="str">
        <f t="shared" si="18"/>
        <v>Bought 0.0220700270079549 Shares of State 1 at a cost of -0.89281</v>
      </c>
      <c r="AL37" s="7" t="str">
        <f t="shared" si="19"/>
        <v>Sold 0.00278478282558303 Shares of State 2 at a cost of -0.89281</v>
      </c>
      <c r="AM37" s="187" t="str">
        <f t="shared" si="20"/>
        <v>Bought 0.0220700270079549 Shares of State 1 at a cost of -0.89281Sold 0.00278478282558303 Shares of State 2 at a cost of -0.89281</v>
      </c>
      <c r="AN37" s="7"/>
      <c r="AO37" s="7"/>
      <c r="AP37" s="7"/>
      <c r="AQ37" s="7"/>
      <c r="AR37" s="7"/>
      <c r="AS37" s="7"/>
      <c r="AT37" s="7"/>
      <c r="AU37" s="7"/>
      <c r="AV37" s="7"/>
      <c r="AW37" s="7"/>
    </row>
    <row r="38" spans="2:49" ht="16.5" thickTop="1" thickBot="1" x14ac:dyDescent="0.3">
      <c r="C38" s="864">
        <f>SUM(K38,M38)</f>
        <v>0.44800000000000001</v>
      </c>
      <c r="E38" s="25" t="s">
        <v>97</v>
      </c>
      <c r="F38" s="324">
        <f>F37</f>
        <v>6</v>
      </c>
      <c r="G38" s="325">
        <f t="shared" ref="G38:I38" si="23">G37</f>
        <v>4</v>
      </c>
      <c r="H38" s="326">
        <f t="shared" si="23"/>
        <v>6.5</v>
      </c>
      <c r="I38" s="327">
        <f t="shared" si="23"/>
        <v>6</v>
      </c>
      <c r="J38" s="473">
        <f>G41*G42</f>
        <v>0.14950000000000002</v>
      </c>
      <c r="K38" s="474">
        <f>F42*G41</f>
        <v>0.12133333333333335</v>
      </c>
      <c r="L38" s="474">
        <f>F41*G42</f>
        <v>0.40250000000000002</v>
      </c>
      <c r="M38" s="475">
        <f>F41*F42</f>
        <v>0.32666666666666666</v>
      </c>
      <c r="N38" s="493">
        <f>SUM(J38:K38)</f>
        <v>0.27083333333333337</v>
      </c>
      <c r="O38" s="1087">
        <f t="shared" si="8"/>
        <v>0.72916666666666674</v>
      </c>
      <c r="P38" s="1091">
        <f t="shared" si="9"/>
        <v>0.55200000000000005</v>
      </c>
      <c r="Q38" s="479">
        <f t="shared" si="10"/>
        <v>0.44800000000000001</v>
      </c>
      <c r="R38" s="493">
        <f t="shared" si="11"/>
        <v>13.000000000000002</v>
      </c>
      <c r="S38" s="1084">
        <f t="shared" si="11"/>
        <v>35</v>
      </c>
      <c r="T38" s="498">
        <f t="shared" si="12"/>
        <v>138</v>
      </c>
      <c r="U38" s="479">
        <f>Q38*$F$15</f>
        <v>112</v>
      </c>
      <c r="V38" s="493">
        <f t="shared" si="13"/>
        <v>15.000000000000002</v>
      </c>
      <c r="W38" s="1084">
        <f t="shared" si="13"/>
        <v>37</v>
      </c>
      <c r="X38" s="498">
        <f t="shared" si="14"/>
        <v>143</v>
      </c>
      <c r="Y38" s="479">
        <f t="shared" si="14"/>
        <v>117</v>
      </c>
      <c r="Z38" s="324">
        <f t="shared" si="15"/>
        <v>151</v>
      </c>
      <c r="AA38" s="325">
        <f t="shared" si="4"/>
        <v>125</v>
      </c>
      <c r="AB38" s="326">
        <f t="shared" si="5"/>
        <v>173</v>
      </c>
      <c r="AC38" s="327">
        <f t="shared" si="6"/>
        <v>147</v>
      </c>
      <c r="AD38" s="341">
        <f>$F$23*$F$22*LN(EXP($F38/$F$22) + EXP($G38/$F$22) + EXP($H38/$F$22) +EXP($I38/$F$22) )</f>
        <v>19.532549849366681</v>
      </c>
      <c r="AE38" s="8" t="s">
        <v>238</v>
      </c>
      <c r="AF38" s="7"/>
      <c r="AG38" s="7"/>
      <c r="AH38" s="7"/>
      <c r="AI38" s="7"/>
      <c r="AJ38" s="7"/>
      <c r="AK38" s="7"/>
      <c r="AL38" s="8"/>
      <c r="AM38" s="8"/>
      <c r="AN38" s="8"/>
      <c r="AO38" s="8"/>
      <c r="AP38" s="8"/>
      <c r="AQ38" s="7"/>
      <c r="AR38" s="7"/>
      <c r="AS38" s="7"/>
      <c r="AT38" s="7"/>
      <c r="AU38" s="7"/>
      <c r="AV38" s="7"/>
      <c r="AW38" s="7"/>
    </row>
    <row r="39" spans="2:49" ht="15.75" thickBot="1" x14ac:dyDescent="0.3">
      <c r="O39" s="241"/>
      <c r="Q39" s="241"/>
      <c r="S39" s="244"/>
      <c r="U39" s="244"/>
      <c r="W39" s="244"/>
      <c r="Y39" s="244"/>
      <c r="Z39" s="33"/>
      <c r="AA39" s="33"/>
      <c r="AB39" s="142"/>
      <c r="AC39" s="142"/>
      <c r="AD39" s="246">
        <f>SUMPRODUCT(J38:M38,F38:I38)</f>
        <v>5.9585833333333333</v>
      </c>
      <c r="AE39" t="s">
        <v>110</v>
      </c>
      <c r="AF39" s="7"/>
      <c r="AG39" s="7"/>
      <c r="AH39" s="7"/>
      <c r="AI39" s="7"/>
      <c r="AJ39" s="7"/>
      <c r="AK39" s="7"/>
      <c r="AQ39" s="7"/>
      <c r="AR39" s="7"/>
      <c r="AS39" s="7"/>
      <c r="AT39" s="184"/>
      <c r="AU39" s="7"/>
      <c r="AV39" s="7"/>
      <c r="AW39" s="7"/>
    </row>
    <row r="40" spans="2:49" ht="15.75" thickBot="1" x14ac:dyDescent="0.3">
      <c r="D40" s="1"/>
      <c r="E40" s="152" t="s">
        <v>174</v>
      </c>
      <c r="F40" s="289" t="s">
        <v>154</v>
      </c>
      <c r="G40" s="239" t="s">
        <v>171</v>
      </c>
      <c r="H40" s="142"/>
      <c r="I40" s="17"/>
      <c r="J40" s="17"/>
      <c r="K40" s="280"/>
      <c r="L40" s="17"/>
      <c r="M40" s="280"/>
      <c r="O40" s="241"/>
      <c r="Q40" s="241"/>
      <c r="R40" s="17"/>
      <c r="S40" s="241"/>
      <c r="U40" s="241"/>
      <c r="W40" s="241"/>
      <c r="Y40" s="241"/>
      <c r="Z40" s="209"/>
      <c r="AA40" s="7"/>
      <c r="AB40" s="8"/>
      <c r="AC40" s="142"/>
      <c r="AD40" s="246">
        <f>AD38-AD39</f>
        <v>13.573966516033348</v>
      </c>
      <c r="AE40" s="7" t="s">
        <v>102</v>
      </c>
      <c r="AF40" s="7"/>
      <c r="AG40" s="7"/>
      <c r="AH40" s="7"/>
      <c r="AI40" s="7"/>
      <c r="AJ40" s="7"/>
      <c r="AK40" s="7"/>
      <c r="AL40" s="7"/>
      <c r="AM40" s="7"/>
      <c r="AN40" s="7"/>
      <c r="AO40" s="7"/>
      <c r="AP40" s="7"/>
      <c r="AQ40" s="7"/>
      <c r="AR40" s="7"/>
      <c r="AS40" s="7"/>
      <c r="AT40" s="7"/>
      <c r="AU40" s="7"/>
      <c r="AV40" s="7"/>
      <c r="AW40" s="7"/>
    </row>
    <row r="41" spans="2:49" ht="15.75" thickBot="1" x14ac:dyDescent="0.3">
      <c r="D41" s="292" t="s">
        <v>172</v>
      </c>
      <c r="E41" s="466">
        <v>37</v>
      </c>
      <c r="F41" s="468">
        <f>(E41-$F$5)/$F$7</f>
        <v>0.72916666666666663</v>
      </c>
      <c r="G41" s="469">
        <f>1-F41</f>
        <v>0.27083333333333337</v>
      </c>
      <c r="H41" s="2"/>
      <c r="I41" s="262"/>
      <c r="J41" s="470">
        <f>G41*G42</f>
        <v>0.14950000000000002</v>
      </c>
      <c r="K41" s="471">
        <f>F42*G41</f>
        <v>0.12133333333333335</v>
      </c>
      <c r="L41" s="471">
        <f>F41*G42</f>
        <v>0.40250000000000002</v>
      </c>
      <c r="M41" s="472">
        <f>F41*F42</f>
        <v>0.32666666666666666</v>
      </c>
      <c r="O41" s="731">
        <f>SUM(N33:O33)</f>
        <v>1</v>
      </c>
      <c r="Q41" s="731">
        <f>SUM(P33:Q33)</f>
        <v>1</v>
      </c>
      <c r="R41" s="190"/>
      <c r="S41" s="731">
        <f>SUM(R33:S33)</f>
        <v>48</v>
      </c>
      <c r="U41" s="731">
        <f>SUM(T33:U33)</f>
        <v>250</v>
      </c>
      <c r="V41" s="190"/>
      <c r="W41" s="731">
        <f>SUM(V33-$F$5,W33-$F$5,$F$5)</f>
        <v>50</v>
      </c>
      <c r="Y41" s="731">
        <f>SUM(X33:Y33)</f>
        <v>260</v>
      </c>
      <c r="Z41" s="190">
        <f>SUM(Z35:AC35)</f>
        <v>596</v>
      </c>
      <c r="AA41" s="190"/>
      <c r="AB41" s="190"/>
      <c r="AC41" s="190"/>
      <c r="AD41" s="248">
        <f>AD29-AD40</f>
        <v>0.28897709516555814</v>
      </c>
      <c r="AE41" s="54" t="s">
        <v>103</v>
      </c>
      <c r="AF41" s="7"/>
      <c r="AG41" s="7"/>
      <c r="AH41" s="7"/>
      <c r="AI41" s="7"/>
      <c r="AJ41" s="8"/>
      <c r="AK41" s="8"/>
      <c r="AL41" s="8"/>
      <c r="AM41" s="28"/>
      <c r="AN41" s="28"/>
      <c r="AO41" s="28"/>
      <c r="AP41" s="28"/>
      <c r="AQ41" s="7"/>
      <c r="AR41" s="7"/>
      <c r="AS41" s="7"/>
      <c r="AT41" s="7"/>
      <c r="AU41" s="7"/>
      <c r="AV41" s="7"/>
      <c r="AW41" s="7"/>
    </row>
    <row r="42" spans="2:49" ht="15.75" thickBot="1" x14ac:dyDescent="0.3">
      <c r="D42" s="290" t="s">
        <v>173</v>
      </c>
      <c r="E42" s="467">
        <v>117</v>
      </c>
      <c r="F42" s="433">
        <f>(E42-$F$13)/$F$15</f>
        <v>0.44800000000000001</v>
      </c>
      <c r="G42" s="434">
        <f>1-F42</f>
        <v>0.55200000000000005</v>
      </c>
      <c r="O42" s="731">
        <f t="shared" ref="O42:Q44" si="24">SUM(N34:O34)</f>
        <v>1</v>
      </c>
      <c r="Q42" s="731">
        <f t="shared" si="24"/>
        <v>1</v>
      </c>
      <c r="R42" s="190"/>
      <c r="S42" s="731">
        <f t="shared" ref="S42" si="25">SUM(R34:S34)</f>
        <v>48</v>
      </c>
      <c r="U42" s="731">
        <f t="shared" ref="U42" si="26">SUM(T34:U34)</f>
        <v>250</v>
      </c>
      <c r="W42" s="731">
        <f t="shared" ref="W42" si="27">SUM(V34:W34)</f>
        <v>52</v>
      </c>
      <c r="Y42" s="731">
        <f t="shared" ref="Y42:Y44" si="28">SUM(X34:Y34)</f>
        <v>260</v>
      </c>
      <c r="Z42" s="190">
        <f t="shared" ref="Z42:Z44" si="29">SUM(Z36:AC36)</f>
        <v>596</v>
      </c>
      <c r="AA42" s="190"/>
      <c r="AB42" s="190"/>
      <c r="AC42" s="190"/>
      <c r="AD42" s="142"/>
      <c r="AE42" s="483"/>
      <c r="AF42" s="142"/>
      <c r="AG42" s="8"/>
      <c r="AH42" s="8"/>
      <c r="AI42" s="8"/>
      <c r="AU42" s="314"/>
    </row>
    <row r="43" spans="2:49" x14ac:dyDescent="0.25">
      <c r="O43" s="731">
        <f t="shared" si="24"/>
        <v>0.99999999999999989</v>
      </c>
      <c r="Q43" s="731">
        <f t="shared" si="24"/>
        <v>0.99999999999999989</v>
      </c>
      <c r="R43" s="190"/>
      <c r="S43" s="731">
        <f t="shared" ref="S43" si="30">SUM(R35:S35)</f>
        <v>47.999999999999993</v>
      </c>
      <c r="U43" s="731">
        <f t="shared" ref="U43" si="31">SUM(T35:U35)</f>
        <v>249.99999999999997</v>
      </c>
      <c r="W43" s="731">
        <f t="shared" ref="W43" si="32">SUM(V35:W35)</f>
        <v>51.999999999999993</v>
      </c>
      <c r="Y43" s="731">
        <f t="shared" si="28"/>
        <v>260</v>
      </c>
      <c r="Z43" s="190">
        <f t="shared" si="29"/>
        <v>596</v>
      </c>
      <c r="AA43" s="190"/>
      <c r="AB43" s="190"/>
      <c r="AC43" s="190"/>
      <c r="AD43" s="142"/>
      <c r="AE43" s="142"/>
      <c r="AF43" s="142"/>
      <c r="AG43" s="8"/>
      <c r="AH43" s="8"/>
      <c r="AI43" s="8"/>
    </row>
    <row r="44" spans="2:49" x14ac:dyDescent="0.25">
      <c r="O44" s="731">
        <f t="shared" si="24"/>
        <v>1</v>
      </c>
      <c r="Q44" s="731">
        <f t="shared" si="24"/>
        <v>1</v>
      </c>
      <c r="R44" s="190"/>
      <c r="S44" s="731">
        <f t="shared" ref="S44" si="33">SUM(R36:S36)</f>
        <v>48</v>
      </c>
      <c r="U44" s="731">
        <f t="shared" ref="U44" si="34">SUM(T36:U36)</f>
        <v>250.00000000000003</v>
      </c>
      <c r="W44" s="731">
        <f t="shared" ref="W44" si="35">SUM(V36:W36)</f>
        <v>52</v>
      </c>
      <c r="Y44" s="731">
        <f t="shared" si="28"/>
        <v>260</v>
      </c>
      <c r="Z44" s="190">
        <f t="shared" si="29"/>
        <v>596</v>
      </c>
      <c r="AA44" s="190"/>
      <c r="AB44" s="190"/>
      <c r="AC44" s="190"/>
      <c r="AD44" s="142"/>
      <c r="AE44" s="142"/>
      <c r="AF44" s="142"/>
      <c r="AG44" s="8"/>
      <c r="AH44" s="8"/>
      <c r="AI44" s="8"/>
    </row>
    <row r="45" spans="2:49" x14ac:dyDescent="0.25">
      <c r="O45" s="1222" t="s">
        <v>621</v>
      </c>
      <c r="P45" s="1222"/>
      <c r="Q45" s="1222"/>
      <c r="R45" s="190"/>
      <c r="S45" s="1222" t="s">
        <v>622</v>
      </c>
      <c r="T45" s="1222"/>
      <c r="U45" s="1222"/>
      <c r="V45" s="190"/>
      <c r="W45" s="1222" t="s">
        <v>623</v>
      </c>
      <c r="X45" s="1222"/>
      <c r="Y45" s="1222"/>
      <c r="Z45" s="8"/>
      <c r="AA45" s="8"/>
      <c r="AB45" s="8"/>
      <c r="AC45" s="8"/>
      <c r="AD45" s="8"/>
      <c r="AE45" s="8"/>
    </row>
    <row r="46" spans="2:49" x14ac:dyDescent="0.25">
      <c r="Q46" s="190"/>
      <c r="R46" s="190"/>
      <c r="S46" s="190"/>
      <c r="T46" s="190"/>
      <c r="U46" s="190"/>
      <c r="V46" s="190"/>
      <c r="W46" s="190"/>
      <c r="X46" s="190"/>
      <c r="Y46" s="190"/>
      <c r="Z46" s="8"/>
      <c r="AA46" s="8"/>
      <c r="AB46" s="8"/>
      <c r="AC46" s="8"/>
      <c r="AD46" s="8"/>
      <c r="AE46" s="8"/>
    </row>
    <row r="47" spans="2:49" x14ac:dyDescent="0.25">
      <c r="Q47" s="190"/>
      <c r="R47" s="190"/>
      <c r="S47" s="190"/>
      <c r="T47" s="190"/>
      <c r="U47" s="190"/>
      <c r="V47" s="190"/>
      <c r="W47" s="190"/>
      <c r="X47" s="190"/>
      <c r="Y47" s="190"/>
    </row>
    <row r="48" spans="2:49" x14ac:dyDescent="0.25">
      <c r="G48" s="854" t="s">
        <v>392</v>
      </c>
      <c r="Q48" s="190"/>
      <c r="R48" s="190"/>
      <c r="S48" s="190"/>
      <c r="T48" s="190"/>
      <c r="U48" s="190"/>
      <c r="V48" s="190"/>
      <c r="W48" s="190"/>
      <c r="X48" s="190"/>
      <c r="Y48" s="190"/>
    </row>
    <row r="49" spans="7:25" ht="15.75" thickBot="1" x14ac:dyDescent="0.3">
      <c r="W49" s="190"/>
      <c r="X49" s="190"/>
      <c r="Y49" s="190"/>
    </row>
    <row r="50" spans="7:25" x14ac:dyDescent="0.25">
      <c r="G50" s="876" t="s">
        <v>410</v>
      </c>
      <c r="H50" s="253"/>
      <c r="I50" s="253" t="s">
        <v>393</v>
      </c>
      <c r="J50" s="253"/>
      <c r="K50" s="253"/>
      <c r="L50" s="251"/>
      <c r="W50" s="190"/>
      <c r="X50" s="190"/>
    </row>
    <row r="51" spans="7:25" x14ac:dyDescent="0.25">
      <c r="G51" s="657"/>
      <c r="H51" s="17"/>
      <c r="I51" s="17" t="s">
        <v>415</v>
      </c>
      <c r="J51" s="17"/>
      <c r="K51" s="17"/>
      <c r="L51" s="197"/>
      <c r="W51" s="190"/>
      <c r="X51" s="190"/>
    </row>
    <row r="52" spans="7:25" x14ac:dyDescent="0.25">
      <c r="G52" s="657"/>
      <c r="H52" s="17"/>
      <c r="I52" s="17"/>
      <c r="J52" s="17"/>
      <c r="K52" s="17"/>
      <c r="L52" s="197"/>
      <c r="W52" s="190"/>
      <c r="X52" s="190"/>
    </row>
    <row r="53" spans="7:25" x14ac:dyDescent="0.25">
      <c r="G53" s="657"/>
      <c r="H53" s="17"/>
      <c r="I53" s="17" t="s">
        <v>405</v>
      </c>
      <c r="J53" s="191">
        <v>2</v>
      </c>
      <c r="K53" s="17"/>
      <c r="L53" s="197"/>
      <c r="W53" s="190"/>
      <c r="X53" s="190"/>
    </row>
    <row r="54" spans="7:25" x14ac:dyDescent="0.25">
      <c r="G54" s="657"/>
      <c r="H54" s="17"/>
      <c r="I54" s="17" t="s">
        <v>406</v>
      </c>
      <c r="J54" s="191">
        <v>50</v>
      </c>
      <c r="K54" s="17"/>
      <c r="L54" s="197"/>
      <c r="W54" s="190"/>
      <c r="X54" s="190"/>
    </row>
    <row r="55" spans="7:25" x14ac:dyDescent="0.25">
      <c r="G55" s="657"/>
      <c r="H55" s="17"/>
      <c r="I55" s="17" t="s">
        <v>407</v>
      </c>
      <c r="J55" s="191">
        <f>J54-J53</f>
        <v>48</v>
      </c>
      <c r="K55" s="17"/>
      <c r="L55" s="197"/>
    </row>
    <row r="56" spans="7:25" x14ac:dyDescent="0.25">
      <c r="G56" s="657"/>
      <c r="H56" s="17"/>
      <c r="I56" s="17" t="s">
        <v>419</v>
      </c>
      <c r="J56" s="191">
        <v>26</v>
      </c>
      <c r="K56" s="17"/>
      <c r="L56" s="197"/>
    </row>
    <row r="57" spans="7:25" x14ac:dyDescent="0.25">
      <c r="G57" s="657"/>
      <c r="H57" s="17"/>
      <c r="I57" s="17" t="s">
        <v>408</v>
      </c>
      <c r="J57" s="877">
        <f>J55/J54</f>
        <v>0.96</v>
      </c>
      <c r="K57" s="17"/>
      <c r="L57" s="878"/>
    </row>
    <row r="58" spans="7:25" x14ac:dyDescent="0.25">
      <c r="G58" s="657"/>
      <c r="H58" s="17"/>
      <c r="I58" s="551" t="s">
        <v>400</v>
      </c>
      <c r="J58" s="191">
        <f>(J56-J53)/J56</f>
        <v>0.92307692307692313</v>
      </c>
      <c r="K58" s="17" t="s">
        <v>423</v>
      </c>
      <c r="L58" s="878"/>
    </row>
    <row r="59" spans="7:25" x14ac:dyDescent="0.25">
      <c r="G59" s="657"/>
      <c r="H59" s="17"/>
      <c r="I59" s="17"/>
      <c r="J59" s="191"/>
      <c r="K59" s="17"/>
      <c r="L59" s="878"/>
    </row>
    <row r="60" spans="7:25" x14ac:dyDescent="0.25">
      <c r="G60" s="657"/>
      <c r="H60" s="17"/>
      <c r="I60" s="17" t="s">
        <v>395</v>
      </c>
      <c r="J60" s="17" t="s">
        <v>413</v>
      </c>
      <c r="K60" s="548">
        <f>11/24</f>
        <v>0.45833333333333331</v>
      </c>
      <c r="L60" s="879">
        <f>(S38-S29)/S29</f>
        <v>0.45833333333333331</v>
      </c>
    </row>
    <row r="61" spans="7:25" x14ac:dyDescent="0.25">
      <c r="G61" s="657"/>
      <c r="H61" s="17"/>
      <c r="I61" s="17" t="s">
        <v>396</v>
      </c>
      <c r="J61" s="17" t="s">
        <v>414</v>
      </c>
      <c r="K61" s="548">
        <f>11/26</f>
        <v>0.42307692307692307</v>
      </c>
      <c r="L61" s="879">
        <f>(W38-W29)/W29</f>
        <v>0.42307692307692307</v>
      </c>
    </row>
    <row r="62" spans="7:25" x14ac:dyDescent="0.25">
      <c r="G62" s="657"/>
      <c r="H62" s="17"/>
      <c r="I62" s="17"/>
      <c r="J62" s="17"/>
      <c r="K62" s="17"/>
      <c r="L62" s="197"/>
    </row>
    <row r="63" spans="7:25" x14ac:dyDescent="0.25">
      <c r="G63" s="657"/>
      <c r="H63" s="17"/>
      <c r="I63" s="17" t="s">
        <v>397</v>
      </c>
      <c r="J63" s="17"/>
      <c r="K63" s="17"/>
      <c r="L63" s="197"/>
    </row>
    <row r="64" spans="7:25" x14ac:dyDescent="0.25">
      <c r="G64" s="657"/>
      <c r="H64" s="17"/>
      <c r="I64" s="17"/>
      <c r="J64" s="17"/>
      <c r="K64" s="17"/>
      <c r="L64" s="197"/>
    </row>
    <row r="65" spans="7:12" x14ac:dyDescent="0.25">
      <c r="G65" s="657"/>
      <c r="H65" s="17"/>
      <c r="I65" s="17" t="s">
        <v>398</v>
      </c>
      <c r="J65" s="17"/>
      <c r="K65" s="17"/>
      <c r="L65" s="197"/>
    </row>
    <row r="66" spans="7:12" x14ac:dyDescent="0.25">
      <c r="G66" s="657"/>
      <c r="H66" s="191" t="s">
        <v>441</v>
      </c>
      <c r="I66" s="867">
        <v>1</v>
      </c>
      <c r="J66" s="17"/>
      <c r="K66" s="17"/>
      <c r="L66" s="197"/>
    </row>
    <row r="67" spans="7:12" x14ac:dyDescent="0.25">
      <c r="G67" s="657"/>
      <c r="H67" s="17"/>
      <c r="I67" s="859" t="s">
        <v>403</v>
      </c>
      <c r="J67" s="859" t="s">
        <v>404</v>
      </c>
      <c r="K67" s="17"/>
      <c r="L67" s="197"/>
    </row>
    <row r="68" spans="7:12" x14ac:dyDescent="0.25">
      <c r="G68" s="912">
        <f>J58</f>
        <v>0.92307692307692313</v>
      </c>
      <c r="H68" s="21" t="s">
        <v>12</v>
      </c>
      <c r="I68" s="871">
        <f>(1-G69)*I66</f>
        <v>0.92307692307692313</v>
      </c>
      <c r="J68" s="872">
        <f>I68*(1+L60)</f>
        <v>1.3461538461538463</v>
      </c>
      <c r="K68" s="17"/>
      <c r="L68" s="197"/>
    </row>
    <row r="69" spans="7:12" ht="15.75" thickBot="1" x14ac:dyDescent="0.3">
      <c r="G69" s="912">
        <f>1-G68</f>
        <v>7.6923076923076872E-2</v>
      </c>
      <c r="H69" s="913" t="s">
        <v>399</v>
      </c>
      <c r="I69" s="873">
        <f>G69*I66</f>
        <v>7.6923076923076872E-2</v>
      </c>
      <c r="J69" s="874">
        <f>I69</f>
        <v>7.6923076923076872E-2</v>
      </c>
      <c r="K69" s="17"/>
      <c r="L69" s="197"/>
    </row>
    <row r="70" spans="7:12" ht="15.75" thickTop="1" x14ac:dyDescent="0.25">
      <c r="G70" s="657"/>
      <c r="H70" s="144" t="s">
        <v>401</v>
      </c>
      <c r="I70" s="875">
        <f>SUM(I68:I69)</f>
        <v>1</v>
      </c>
      <c r="J70" s="875">
        <f>SUM(J68:J69)</f>
        <v>1.4230769230769231</v>
      </c>
      <c r="K70" s="17"/>
      <c r="L70" s="197"/>
    </row>
    <row r="71" spans="7:12" x14ac:dyDescent="0.25">
      <c r="G71" s="657"/>
      <c r="H71" s="144" t="s">
        <v>402</v>
      </c>
      <c r="I71" s="868">
        <f>(J70-I70)/I70</f>
        <v>0.42307692307692313</v>
      </c>
      <c r="J71" s="17"/>
      <c r="K71" s="17"/>
      <c r="L71" s="880"/>
    </row>
    <row r="72" spans="7:12" ht="15.75" thickBot="1" x14ac:dyDescent="0.3">
      <c r="G72" s="881"/>
      <c r="H72" s="254"/>
      <c r="I72" s="254"/>
      <c r="J72" s="254"/>
      <c r="K72" s="254"/>
      <c r="L72" s="252"/>
    </row>
    <row r="73" spans="7:12" ht="15.75" thickBot="1" x14ac:dyDescent="0.3"/>
    <row r="74" spans="7:12" x14ac:dyDescent="0.25">
      <c r="G74" s="876" t="s">
        <v>409</v>
      </c>
      <c r="H74" s="253"/>
      <c r="I74" s="253" t="s">
        <v>393</v>
      </c>
      <c r="J74" s="253"/>
      <c r="K74" s="253"/>
      <c r="L74" s="251"/>
    </row>
    <row r="75" spans="7:12" x14ac:dyDescent="0.25">
      <c r="G75" s="657"/>
      <c r="H75" s="17"/>
      <c r="I75" s="17" t="s">
        <v>394</v>
      </c>
      <c r="J75" s="17"/>
      <c r="K75" s="17"/>
      <c r="L75" s="197"/>
    </row>
    <row r="76" spans="7:12" x14ac:dyDescent="0.25">
      <c r="G76" s="657"/>
      <c r="H76" s="17"/>
      <c r="I76" s="17"/>
      <c r="J76" s="17"/>
      <c r="K76" s="17"/>
      <c r="L76" s="197"/>
    </row>
    <row r="77" spans="7:12" x14ac:dyDescent="0.25">
      <c r="G77" s="657"/>
      <c r="H77" s="17"/>
      <c r="I77" s="17" t="s">
        <v>405</v>
      </c>
      <c r="J77" s="191">
        <v>1000</v>
      </c>
      <c r="K77" s="17"/>
      <c r="L77" s="197"/>
    </row>
    <row r="78" spans="7:12" x14ac:dyDescent="0.25">
      <c r="G78" s="657"/>
      <c r="H78" s="17"/>
      <c r="I78" s="17" t="s">
        <v>406</v>
      </c>
      <c r="J78" s="191">
        <v>2000</v>
      </c>
      <c r="K78" s="17"/>
      <c r="L78" s="197"/>
    </row>
    <row r="79" spans="7:12" x14ac:dyDescent="0.25">
      <c r="G79" s="657"/>
      <c r="H79" s="17"/>
      <c r="I79" s="17" t="s">
        <v>407</v>
      </c>
      <c r="J79" s="191">
        <f>J78-J77</f>
        <v>1000</v>
      </c>
      <c r="K79" s="17"/>
      <c r="L79" s="197"/>
    </row>
    <row r="80" spans="7:12" x14ac:dyDescent="0.25">
      <c r="G80" s="657"/>
      <c r="H80" s="17"/>
      <c r="I80" s="17" t="s">
        <v>419</v>
      </c>
      <c r="J80" s="191">
        <v>1600</v>
      </c>
      <c r="K80" s="17"/>
      <c r="L80" s="197"/>
    </row>
    <row r="81" spans="7:12" x14ac:dyDescent="0.25">
      <c r="G81" s="657"/>
      <c r="H81" s="17"/>
      <c r="I81" s="551" t="s">
        <v>400</v>
      </c>
      <c r="J81" s="191">
        <f>(J80-J77)/J80</f>
        <v>0.375</v>
      </c>
      <c r="K81" s="17"/>
      <c r="L81" s="197"/>
    </row>
    <row r="82" spans="7:12" x14ac:dyDescent="0.25">
      <c r="G82" s="657"/>
      <c r="H82" s="17"/>
      <c r="I82" s="17"/>
      <c r="J82" s="191"/>
      <c r="K82" s="17"/>
      <c r="L82" s="197"/>
    </row>
    <row r="83" spans="7:12" x14ac:dyDescent="0.25">
      <c r="G83" s="657"/>
      <c r="H83" s="17"/>
      <c r="I83" s="17" t="s">
        <v>395</v>
      </c>
      <c r="J83" s="882" t="s">
        <v>412</v>
      </c>
      <c r="K83" s="548">
        <f xml:space="preserve"> -200/600</f>
        <v>-0.33333333333333331</v>
      </c>
      <c r="L83" s="197"/>
    </row>
    <row r="84" spans="7:12" x14ac:dyDescent="0.25">
      <c r="G84" s="657"/>
      <c r="H84" s="17"/>
      <c r="I84" s="17" t="s">
        <v>396</v>
      </c>
      <c r="J84" s="882" t="s">
        <v>411</v>
      </c>
      <c r="K84" s="548">
        <f xml:space="preserve"> -200/1600</f>
        <v>-0.125</v>
      </c>
      <c r="L84" s="197"/>
    </row>
    <row r="85" spans="7:12" x14ac:dyDescent="0.25">
      <c r="G85" s="657"/>
      <c r="H85" s="17"/>
      <c r="I85" s="17"/>
      <c r="J85" s="17"/>
      <c r="K85" s="17"/>
      <c r="L85" s="197"/>
    </row>
    <row r="86" spans="7:12" x14ac:dyDescent="0.25">
      <c r="G86" s="657"/>
      <c r="H86" s="17"/>
      <c r="I86" s="17" t="s">
        <v>398</v>
      </c>
      <c r="J86" s="17"/>
      <c r="K86" s="17"/>
      <c r="L86" s="197"/>
    </row>
    <row r="87" spans="7:12" x14ac:dyDescent="0.25">
      <c r="G87" s="657"/>
      <c r="H87" s="191" t="s">
        <v>441</v>
      </c>
      <c r="I87" s="867">
        <v>1</v>
      </c>
      <c r="J87" s="17"/>
      <c r="K87" s="17"/>
      <c r="L87" s="197"/>
    </row>
    <row r="88" spans="7:12" x14ac:dyDescent="0.25">
      <c r="G88" s="657"/>
      <c r="H88" s="17"/>
      <c r="I88" s="859" t="s">
        <v>403</v>
      </c>
      <c r="J88" s="859" t="s">
        <v>404</v>
      </c>
      <c r="K88" s="17"/>
      <c r="L88" s="197"/>
    </row>
    <row r="89" spans="7:12" x14ac:dyDescent="0.25">
      <c r="G89" s="912">
        <f>J81</f>
        <v>0.375</v>
      </c>
      <c r="H89" s="21" t="s">
        <v>12</v>
      </c>
      <c r="I89" s="871">
        <f>I87-I90</f>
        <v>0.375</v>
      </c>
      <c r="J89" s="872">
        <f>I89*(1+K83)</f>
        <v>0.25</v>
      </c>
      <c r="K89" s="17"/>
      <c r="L89" s="197"/>
    </row>
    <row r="90" spans="7:12" ht="15.75" thickBot="1" x14ac:dyDescent="0.3">
      <c r="G90" s="912">
        <f>1-G89</f>
        <v>0.625</v>
      </c>
      <c r="H90" s="913" t="s">
        <v>399</v>
      </c>
      <c r="I90" s="873">
        <f>G90*I87</f>
        <v>0.625</v>
      </c>
      <c r="J90" s="874">
        <f>I90</f>
        <v>0.625</v>
      </c>
      <c r="K90" s="17"/>
      <c r="L90" s="197"/>
    </row>
    <row r="91" spans="7:12" ht="15.75" thickTop="1" x14ac:dyDescent="0.25">
      <c r="G91" s="657"/>
      <c r="H91" s="144" t="s">
        <v>401</v>
      </c>
      <c r="I91" s="875">
        <f>SUM(I89:I90)</f>
        <v>1</v>
      </c>
      <c r="J91" s="875">
        <f>SUM(J89:J90)</f>
        <v>0.875</v>
      </c>
      <c r="K91" s="17"/>
      <c r="L91" s="197"/>
    </row>
    <row r="92" spans="7:12" x14ac:dyDescent="0.25">
      <c r="G92" s="657"/>
      <c r="H92" s="144" t="s">
        <v>402</v>
      </c>
      <c r="I92" s="868">
        <f>(J91-I91)/I91</f>
        <v>-0.125</v>
      </c>
      <c r="J92" s="17"/>
      <c r="K92" s="883"/>
      <c r="L92" s="197"/>
    </row>
    <row r="93" spans="7:12" ht="15.75" thickBot="1" x14ac:dyDescent="0.3">
      <c r="G93" s="881"/>
      <c r="H93" s="254"/>
      <c r="I93" s="254"/>
      <c r="J93" s="254"/>
      <c r="K93" s="254"/>
      <c r="L93" s="252"/>
    </row>
    <row r="94" spans="7:12" ht="15.75" thickBot="1" x14ac:dyDescent="0.3"/>
    <row r="95" spans="7:12" x14ac:dyDescent="0.25">
      <c r="G95" s="876" t="s">
        <v>416</v>
      </c>
      <c r="H95" s="253"/>
      <c r="I95" s="253" t="s">
        <v>393</v>
      </c>
      <c r="J95" s="253"/>
      <c r="K95" s="253"/>
      <c r="L95" s="251"/>
    </row>
    <row r="96" spans="7:12" x14ac:dyDescent="0.25">
      <c r="G96" s="657"/>
      <c r="H96" s="17"/>
      <c r="I96" s="17" t="s">
        <v>417</v>
      </c>
      <c r="J96" s="17"/>
      <c r="K96" s="17"/>
      <c r="L96" s="197"/>
    </row>
    <row r="97" spans="7:12" x14ac:dyDescent="0.25">
      <c r="G97" s="657"/>
      <c r="H97" s="17"/>
      <c r="I97" s="17"/>
      <c r="J97" s="17"/>
      <c r="K97" s="17"/>
      <c r="L97" s="197"/>
    </row>
    <row r="98" spans="7:12" x14ac:dyDescent="0.25">
      <c r="G98" s="657"/>
      <c r="H98" s="17"/>
      <c r="I98" s="17" t="s">
        <v>405</v>
      </c>
      <c r="J98" s="191">
        <v>16</v>
      </c>
      <c r="K98" s="17"/>
      <c r="L98" s="197"/>
    </row>
    <row r="99" spans="7:12" x14ac:dyDescent="0.25">
      <c r="G99" s="657"/>
      <c r="H99" s="17"/>
      <c r="I99" s="17" t="s">
        <v>406</v>
      </c>
      <c r="J99" s="191">
        <v>18</v>
      </c>
      <c r="K99" s="17"/>
      <c r="L99" s="197"/>
    </row>
    <row r="100" spans="7:12" x14ac:dyDescent="0.25">
      <c r="G100" s="657"/>
      <c r="H100" s="17"/>
      <c r="I100" s="17" t="s">
        <v>407</v>
      </c>
      <c r="J100" s="191">
        <f>J99-J98</f>
        <v>2</v>
      </c>
      <c r="K100" s="191"/>
      <c r="L100" s="197"/>
    </row>
    <row r="101" spans="7:12" x14ac:dyDescent="0.25">
      <c r="G101" s="657"/>
      <c r="H101" s="17"/>
      <c r="I101" s="17" t="s">
        <v>419</v>
      </c>
      <c r="J101" s="191">
        <v>17.5</v>
      </c>
      <c r="K101" s="877"/>
      <c r="L101" s="197"/>
    </row>
    <row r="102" spans="7:12" x14ac:dyDescent="0.25">
      <c r="G102" s="657"/>
      <c r="H102" s="17"/>
      <c r="I102" s="551" t="s">
        <v>400</v>
      </c>
      <c r="J102" s="191">
        <f>(J101-J98)/J101</f>
        <v>8.5714285714285715E-2</v>
      </c>
      <c r="K102" s="191"/>
      <c r="L102" s="197"/>
    </row>
    <row r="103" spans="7:12" x14ac:dyDescent="0.25">
      <c r="G103" s="657"/>
      <c r="H103" s="17"/>
      <c r="I103" s="17"/>
      <c r="J103" s="191"/>
      <c r="K103" s="17"/>
      <c r="L103" s="197"/>
    </row>
    <row r="104" spans="7:12" x14ac:dyDescent="0.25">
      <c r="G104" s="657"/>
      <c r="H104" s="17"/>
      <c r="I104" s="17" t="s">
        <v>395</v>
      </c>
      <c r="J104" s="882" t="s">
        <v>420</v>
      </c>
      <c r="K104" s="548">
        <f xml:space="preserve"> 0.5/1.5</f>
        <v>0.33333333333333331</v>
      </c>
      <c r="L104" s="197"/>
    </row>
    <row r="105" spans="7:12" x14ac:dyDescent="0.25">
      <c r="G105" s="657"/>
      <c r="H105" s="17"/>
      <c r="I105" s="17" t="s">
        <v>396</v>
      </c>
      <c r="J105" s="882" t="s">
        <v>418</v>
      </c>
      <c r="K105" s="884">
        <f xml:space="preserve"> 0.5/17.5</f>
        <v>2.8571428571428571E-2</v>
      </c>
      <c r="L105" s="197"/>
    </row>
    <row r="106" spans="7:12" x14ac:dyDescent="0.25">
      <c r="G106" s="657"/>
      <c r="H106" s="17"/>
      <c r="I106" s="17"/>
      <c r="J106" s="17"/>
      <c r="K106" s="17"/>
      <c r="L106" s="197"/>
    </row>
    <row r="107" spans="7:12" x14ac:dyDescent="0.25">
      <c r="G107" s="657"/>
      <c r="H107" s="17"/>
      <c r="I107" s="17" t="s">
        <v>398</v>
      </c>
      <c r="J107" s="17"/>
      <c r="K107" s="17"/>
      <c r="L107" s="197"/>
    </row>
    <row r="108" spans="7:12" x14ac:dyDescent="0.25">
      <c r="G108" s="657"/>
      <c r="H108" s="191" t="s">
        <v>441</v>
      </c>
      <c r="I108" s="867">
        <v>1</v>
      </c>
      <c r="J108" s="17"/>
      <c r="K108" s="17"/>
      <c r="L108" s="197"/>
    </row>
    <row r="109" spans="7:12" x14ac:dyDescent="0.25">
      <c r="G109" s="657"/>
      <c r="H109" s="17"/>
      <c r="I109" s="859" t="s">
        <v>403</v>
      </c>
      <c r="J109" s="859" t="s">
        <v>404</v>
      </c>
      <c r="K109" s="17"/>
      <c r="L109" s="197"/>
    </row>
    <row r="110" spans="7:12" x14ac:dyDescent="0.25">
      <c r="G110" s="912">
        <f>J102</f>
        <v>8.5714285714285715E-2</v>
      </c>
      <c r="H110" s="21" t="s">
        <v>12</v>
      </c>
      <c r="I110" s="869">
        <f>I108*G110</f>
        <v>8.5714285714285715E-2</v>
      </c>
      <c r="J110" s="872">
        <f>I110*(1+K104)</f>
        <v>0.11428571428571428</v>
      </c>
      <c r="K110" s="17"/>
      <c r="L110" s="197"/>
    </row>
    <row r="111" spans="7:12" ht="15.75" thickBot="1" x14ac:dyDescent="0.3">
      <c r="G111" s="912">
        <f>1-G110</f>
        <v>0.91428571428571426</v>
      </c>
      <c r="H111" s="913" t="s">
        <v>399</v>
      </c>
      <c r="I111" s="873">
        <f>I108-I110</f>
        <v>0.91428571428571426</v>
      </c>
      <c r="J111" s="874">
        <f>I111</f>
        <v>0.91428571428571426</v>
      </c>
      <c r="K111" s="17"/>
      <c r="L111" s="197"/>
    </row>
    <row r="112" spans="7:12" ht="15.75" thickTop="1" x14ac:dyDescent="0.25">
      <c r="G112" s="657"/>
      <c r="H112" s="144" t="s">
        <v>401</v>
      </c>
      <c r="I112" s="875">
        <f>SUM(I110:I111)</f>
        <v>1</v>
      </c>
      <c r="J112" s="875">
        <f>SUM(J110:J111)</f>
        <v>1.0285714285714285</v>
      </c>
      <c r="K112" s="17"/>
      <c r="L112" s="197"/>
    </row>
    <row r="113" spans="7:12" x14ac:dyDescent="0.25">
      <c r="G113" s="657"/>
      <c r="H113" s="144" t="s">
        <v>402</v>
      </c>
      <c r="I113" s="870">
        <f>(J112-I112)/I112</f>
        <v>2.857142857142847E-2</v>
      </c>
      <c r="J113" s="17"/>
      <c r="K113" s="885"/>
      <c r="L113" s="197"/>
    </row>
    <row r="114" spans="7:12" ht="15.75" thickBot="1" x14ac:dyDescent="0.3">
      <c r="G114" s="881"/>
      <c r="H114" s="254"/>
      <c r="I114" s="254"/>
      <c r="J114" s="254"/>
      <c r="K114" s="254"/>
      <c r="L114" s="252"/>
    </row>
  </sheetData>
  <mergeCells count="13">
    <mergeCell ref="L20:N24"/>
    <mergeCell ref="D4:D10"/>
    <mergeCell ref="D12:D18"/>
    <mergeCell ref="D20:D24"/>
    <mergeCell ref="O45:Q45"/>
    <mergeCell ref="S45:U45"/>
    <mergeCell ref="W45:Y45"/>
    <mergeCell ref="N28:O28"/>
    <mergeCell ref="R28:S28"/>
    <mergeCell ref="V28:W28"/>
    <mergeCell ref="P28:Q28"/>
    <mergeCell ref="T28:U28"/>
    <mergeCell ref="X28:Y28"/>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B2:AH137"/>
  <sheetViews>
    <sheetView zoomScale="80" zoomScaleNormal="80" workbookViewId="0">
      <selection activeCell="O14" sqref="O14"/>
    </sheetView>
  </sheetViews>
  <sheetFormatPr defaultRowHeight="15" x14ac:dyDescent="0.25"/>
  <cols>
    <col min="2" max="2" width="10" customWidth="1"/>
    <col min="3" max="7" width="11.42578125" style="33" customWidth="1"/>
    <col min="8" max="8" width="12.28515625" style="33" customWidth="1"/>
    <col min="9" max="9" width="12.7109375" style="33" customWidth="1"/>
    <col min="10" max="11" width="12" style="33" customWidth="1"/>
    <col min="12" max="12" width="9.42578125" customWidth="1"/>
    <col min="13" max="16" width="12.85546875" customWidth="1"/>
    <col min="17" max="17" width="12.140625" customWidth="1"/>
    <col min="18" max="19" width="11.7109375" customWidth="1"/>
    <col min="20" max="20" width="13" customWidth="1"/>
    <col min="21" max="21" width="9.42578125" customWidth="1"/>
  </cols>
  <sheetData>
    <row r="2" spans="2:16" ht="31.5" x14ac:dyDescent="0.5">
      <c r="B2" s="188" t="s">
        <v>624</v>
      </c>
    </row>
    <row r="3" spans="2:16" ht="17.25" customHeight="1" x14ac:dyDescent="0.5">
      <c r="B3" s="188"/>
    </row>
    <row r="4" spans="2:16" ht="17.25" customHeight="1" x14ac:dyDescent="0.5">
      <c r="B4" s="188"/>
      <c r="K4" s="17"/>
      <c r="L4" s="7"/>
      <c r="M4" s="7"/>
      <c r="N4" s="7"/>
      <c r="O4" s="7"/>
      <c r="P4" s="7"/>
    </row>
    <row r="5" spans="2:16" ht="17.25" customHeight="1" x14ac:dyDescent="0.25">
      <c r="B5" s="1172" t="s">
        <v>163</v>
      </c>
      <c r="C5" s="152" t="s">
        <v>101</v>
      </c>
      <c r="D5" s="152" t="s">
        <v>716</v>
      </c>
      <c r="E5" s="152"/>
      <c r="F5" s="266"/>
      <c r="G5" s="266"/>
      <c r="H5" s="266"/>
      <c r="I5" s="266"/>
      <c r="J5" s="266"/>
      <c r="K5" s="266"/>
      <c r="L5" s="152"/>
      <c r="M5" s="239"/>
      <c r="N5" s="7"/>
      <c r="O5" s="7"/>
      <c r="P5" s="7"/>
    </row>
    <row r="6" spans="2:16" ht="17.25" customHeight="1" x14ac:dyDescent="0.25">
      <c r="B6" s="1173"/>
      <c r="C6" s="17" t="s">
        <v>149</v>
      </c>
      <c r="D6" s="145">
        <v>8000</v>
      </c>
      <c r="E6" s="7" t="s">
        <v>150</v>
      </c>
      <c r="F6" s="17"/>
      <c r="G6" s="440" t="s">
        <v>247</v>
      </c>
      <c r="H6" s="17"/>
      <c r="I6" s="17"/>
      <c r="J6" s="17"/>
      <c r="K6" s="17"/>
      <c r="L6" s="7"/>
      <c r="M6" s="6"/>
      <c r="N6" s="7"/>
      <c r="O6" s="7"/>
      <c r="P6" s="7"/>
    </row>
    <row r="7" spans="2:16" ht="17.25" customHeight="1" x14ac:dyDescent="0.25">
      <c r="B7" s="1173"/>
      <c r="C7" s="17" t="s">
        <v>152</v>
      </c>
      <c r="D7" s="145">
        <v>20000</v>
      </c>
      <c r="E7" s="7" t="s">
        <v>151</v>
      </c>
      <c r="F7" s="17"/>
      <c r="G7" s="440" t="s">
        <v>248</v>
      </c>
      <c r="H7" s="17"/>
      <c r="I7" s="17"/>
      <c r="J7" s="17"/>
      <c r="K7" s="17"/>
      <c r="L7" s="7"/>
      <c r="M7" s="6"/>
      <c r="N7" s="7"/>
      <c r="O7" s="7"/>
      <c r="P7" s="7"/>
    </row>
    <row r="8" spans="2:16" ht="17.25" customHeight="1" x14ac:dyDescent="0.25">
      <c r="B8" s="1173"/>
      <c r="C8" s="142" t="s">
        <v>153</v>
      </c>
      <c r="D8" s="1025">
        <f>D7-D6</f>
        <v>12000</v>
      </c>
      <c r="E8" s="7" t="s">
        <v>154</v>
      </c>
      <c r="F8" s="17"/>
      <c r="G8" s="17"/>
      <c r="H8" s="17"/>
      <c r="I8" s="17"/>
      <c r="J8" s="17"/>
      <c r="K8" s="17"/>
      <c r="L8" s="7"/>
      <c r="M8" s="6"/>
      <c r="N8" s="7"/>
      <c r="O8" s="7"/>
      <c r="P8" s="7"/>
    </row>
    <row r="9" spans="2:16" ht="17.25" customHeight="1" x14ac:dyDescent="0.25">
      <c r="B9" s="1173"/>
      <c r="C9" s="142" t="s">
        <v>157</v>
      </c>
      <c r="D9" s="192" t="s">
        <v>108</v>
      </c>
      <c r="E9" s="8" t="s">
        <v>160</v>
      </c>
      <c r="F9" s="17"/>
      <c r="G9" s="17"/>
      <c r="H9" s="17"/>
      <c r="I9" s="17"/>
      <c r="J9" s="17"/>
      <c r="K9" s="17"/>
      <c r="L9" s="7"/>
      <c r="M9" s="6"/>
      <c r="N9" s="7"/>
      <c r="O9" s="7"/>
      <c r="P9" s="7"/>
    </row>
    <row r="10" spans="2:16" ht="17.25" customHeight="1" x14ac:dyDescent="0.25">
      <c r="B10" s="1173"/>
      <c r="C10" s="142" t="s">
        <v>158</v>
      </c>
      <c r="D10" s="192" t="s">
        <v>107</v>
      </c>
      <c r="E10" s="8" t="s">
        <v>161</v>
      </c>
      <c r="F10" s="17"/>
      <c r="G10" s="17"/>
      <c r="H10" s="17"/>
      <c r="I10" s="17"/>
      <c r="J10" s="17"/>
      <c r="K10" s="17"/>
      <c r="L10" s="7"/>
      <c r="M10" s="6"/>
      <c r="N10" s="7"/>
      <c r="O10" s="7"/>
      <c r="P10" s="7"/>
    </row>
    <row r="11" spans="2:16" ht="17.25" customHeight="1" x14ac:dyDescent="0.25">
      <c r="B11" s="1174"/>
      <c r="C11" s="267" t="s">
        <v>159</v>
      </c>
      <c r="D11" s="268" t="s">
        <v>106</v>
      </c>
      <c r="E11" s="269" t="s">
        <v>162</v>
      </c>
      <c r="F11" s="259"/>
      <c r="G11" s="259"/>
      <c r="H11" s="259"/>
      <c r="I11" s="259"/>
      <c r="J11" s="259"/>
      <c r="K11" s="259"/>
      <c r="L11" s="247"/>
      <c r="M11" s="3"/>
      <c r="N11" s="7"/>
      <c r="O11" s="7"/>
      <c r="P11" s="7"/>
    </row>
    <row r="12" spans="2:16" ht="17.25" customHeight="1" x14ac:dyDescent="0.25">
      <c r="B12" s="258"/>
      <c r="C12" s="142"/>
      <c r="D12" s="192"/>
      <c r="E12" s="8"/>
      <c r="F12" s="17"/>
      <c r="G12" s="17"/>
      <c r="H12" s="17"/>
      <c r="I12" s="17"/>
      <c r="J12" s="17"/>
      <c r="K12" s="17"/>
      <c r="L12" s="7"/>
      <c r="M12" s="7"/>
      <c r="N12" s="7"/>
      <c r="O12" s="7"/>
      <c r="P12" s="7"/>
    </row>
    <row r="13" spans="2:16" ht="17.25" customHeight="1" x14ac:dyDescent="0.25">
      <c r="B13" s="1235" t="s">
        <v>625</v>
      </c>
      <c r="C13" s="152" t="s">
        <v>101</v>
      </c>
      <c r="D13" s="152" t="s">
        <v>628</v>
      </c>
      <c r="E13" s="152"/>
      <c r="F13" s="266"/>
      <c r="G13" s="266"/>
      <c r="H13" s="266"/>
      <c r="I13" s="266"/>
      <c r="J13" s="266"/>
      <c r="K13" s="266"/>
      <c r="L13" s="239"/>
      <c r="M13" s="7"/>
      <c r="N13" s="7"/>
      <c r="O13" s="7"/>
      <c r="P13" s="7"/>
    </row>
    <row r="14" spans="2:16" ht="17.25" customHeight="1" x14ac:dyDescent="0.25">
      <c r="B14" s="1236"/>
      <c r="C14" s="8" t="s">
        <v>629</v>
      </c>
      <c r="D14" s="1025" t="s">
        <v>631</v>
      </c>
      <c r="E14" s="7"/>
      <c r="F14" s="17"/>
      <c r="G14" s="17"/>
      <c r="H14" s="17"/>
      <c r="I14" s="17"/>
      <c r="J14" s="17"/>
      <c r="K14" s="17"/>
      <c r="L14" s="6"/>
      <c r="M14" s="7"/>
      <c r="N14" s="7"/>
      <c r="O14" s="7"/>
      <c r="P14" s="7"/>
    </row>
    <row r="15" spans="2:16" ht="17.25" customHeight="1" x14ac:dyDescent="0.25">
      <c r="B15" s="1236"/>
      <c r="C15" s="8" t="s">
        <v>630</v>
      </c>
      <c r="D15" s="1025">
        <v>14500</v>
      </c>
      <c r="E15" s="7">
        <f>(D15-$D$6)/$D$8</f>
        <v>0.54166666666666663</v>
      </c>
      <c r="F15" s="17"/>
      <c r="G15" s="17"/>
      <c r="H15" s="17"/>
      <c r="I15" s="17"/>
      <c r="J15" s="17"/>
      <c r="K15" s="17"/>
      <c r="L15" s="6"/>
      <c r="M15" s="7"/>
      <c r="N15" s="7"/>
      <c r="O15" s="7"/>
      <c r="P15" s="7"/>
    </row>
    <row r="16" spans="2:16" ht="17.25" customHeight="1" x14ac:dyDescent="0.25">
      <c r="B16" s="1237"/>
      <c r="C16" s="17" t="s">
        <v>149</v>
      </c>
      <c r="D16" s="145">
        <f>D15</f>
        <v>14500</v>
      </c>
      <c r="E16" s="7" t="s">
        <v>150</v>
      </c>
      <c r="F16" s="17"/>
      <c r="G16" s="440" t="s">
        <v>626</v>
      </c>
      <c r="H16" s="17"/>
      <c r="I16" s="17"/>
      <c r="J16" s="17"/>
      <c r="K16" s="17"/>
      <c r="L16" s="6"/>
      <c r="M16" s="7"/>
      <c r="N16" s="7"/>
      <c r="O16" s="7"/>
      <c r="P16" s="7"/>
    </row>
    <row r="17" spans="2:34" ht="17.25" customHeight="1" x14ac:dyDescent="0.25">
      <c r="B17" s="1237"/>
      <c r="C17" s="17" t="s">
        <v>152</v>
      </c>
      <c r="D17" s="145">
        <v>20000</v>
      </c>
      <c r="E17" s="7" t="s">
        <v>151</v>
      </c>
      <c r="F17" s="17"/>
      <c r="G17" s="440" t="s">
        <v>627</v>
      </c>
      <c r="H17" s="17"/>
      <c r="I17" s="17"/>
      <c r="J17" s="17"/>
      <c r="K17" s="17"/>
      <c r="L17" s="6"/>
      <c r="M17" s="7"/>
      <c r="N17" s="7"/>
      <c r="O17" s="7"/>
      <c r="P17" s="7"/>
    </row>
    <row r="18" spans="2:34" ht="17.25" customHeight="1" x14ac:dyDescent="0.25">
      <c r="B18" s="1237"/>
      <c r="C18" s="142" t="s">
        <v>153</v>
      </c>
      <c r="D18" s="1025">
        <f>D17-D16</f>
        <v>5500</v>
      </c>
      <c r="E18" s="7" t="s">
        <v>154</v>
      </c>
      <c r="F18" s="17"/>
      <c r="G18" s="17"/>
      <c r="H18" s="17"/>
      <c r="I18" s="17"/>
      <c r="J18" s="17"/>
      <c r="K18" s="17"/>
      <c r="L18" s="6"/>
      <c r="M18" s="7"/>
      <c r="N18" s="7"/>
      <c r="O18" s="7"/>
      <c r="P18" s="7"/>
    </row>
    <row r="19" spans="2:34" ht="17.25" customHeight="1" x14ac:dyDescent="0.25">
      <c r="B19" s="1237"/>
      <c r="C19" s="142" t="s">
        <v>157</v>
      </c>
      <c r="D19" s="192" t="s">
        <v>108</v>
      </c>
      <c r="E19" s="8" t="s">
        <v>160</v>
      </c>
      <c r="F19" s="17"/>
      <c r="G19" s="17"/>
      <c r="H19" s="17"/>
      <c r="I19" s="17"/>
      <c r="J19" s="17"/>
      <c r="K19" s="17"/>
      <c r="L19" s="6"/>
      <c r="M19" s="7"/>
      <c r="N19" s="7"/>
      <c r="O19" s="7"/>
      <c r="P19" s="7"/>
    </row>
    <row r="20" spans="2:34" ht="17.25" customHeight="1" x14ac:dyDescent="0.25">
      <c r="B20" s="1237"/>
      <c r="C20" s="142" t="s">
        <v>158</v>
      </c>
      <c r="D20" s="192" t="s">
        <v>107</v>
      </c>
      <c r="E20" s="8" t="s">
        <v>161</v>
      </c>
      <c r="F20" s="17"/>
      <c r="G20" s="17"/>
      <c r="H20" s="17"/>
      <c r="I20" s="17"/>
      <c r="J20" s="17"/>
      <c r="K20" s="17"/>
      <c r="L20" s="6"/>
      <c r="M20" s="7"/>
      <c r="N20" s="7"/>
      <c r="O20" s="7"/>
      <c r="P20" s="7"/>
    </row>
    <row r="21" spans="2:34" ht="17.25" customHeight="1" x14ac:dyDescent="0.25">
      <c r="B21" s="1238"/>
      <c r="C21" s="267" t="s">
        <v>159</v>
      </c>
      <c r="D21" s="268" t="s">
        <v>106</v>
      </c>
      <c r="E21" s="269" t="s">
        <v>162</v>
      </c>
      <c r="F21" s="259"/>
      <c r="G21" s="259"/>
      <c r="H21" s="259"/>
      <c r="I21" s="259"/>
      <c r="J21" s="259"/>
      <c r="K21" s="259"/>
      <c r="L21" s="3"/>
      <c r="M21" s="7"/>
      <c r="N21" s="7"/>
      <c r="O21" s="7"/>
      <c r="P21" s="7"/>
    </row>
    <row r="22" spans="2:34" ht="17.25" customHeight="1" x14ac:dyDescent="0.25">
      <c r="B22" s="258"/>
      <c r="C22" s="142"/>
      <c r="D22" s="192"/>
      <c r="E22" s="8"/>
      <c r="F22" s="17"/>
      <c r="G22" s="17"/>
      <c r="H22" s="17"/>
      <c r="I22" s="17"/>
      <c r="J22" s="17"/>
      <c r="K22" s="17"/>
      <c r="L22" s="7"/>
      <c r="M22" s="7"/>
      <c r="N22" s="7"/>
      <c r="O22" s="7"/>
    </row>
    <row r="23" spans="2:34" ht="17.25" customHeight="1" thickBot="1" x14ac:dyDescent="0.3">
      <c r="B23" s="7"/>
      <c r="C23" s="7"/>
      <c r="D23" s="7"/>
    </row>
    <row r="24" spans="2:34" ht="17.25" customHeight="1" x14ac:dyDescent="0.25">
      <c r="C24" s="1175" t="s">
        <v>634</v>
      </c>
      <c r="D24" s="275" t="s">
        <v>164</v>
      </c>
      <c r="E24" s="276" t="s">
        <v>165</v>
      </c>
      <c r="F24" s="253" t="s">
        <v>166</v>
      </c>
      <c r="G24" s="253"/>
      <c r="H24" s="251"/>
      <c r="I24" s="17"/>
      <c r="J24" s="17"/>
      <c r="K24" s="17"/>
      <c r="M24" s="1175" t="s">
        <v>635</v>
      </c>
      <c r="N24" s="275" t="s">
        <v>164</v>
      </c>
      <c r="O24" s="1093" t="s">
        <v>633</v>
      </c>
      <c r="P24" s="253" t="s">
        <v>166</v>
      </c>
      <c r="Q24" s="253"/>
      <c r="R24" s="251"/>
    </row>
    <row r="25" spans="2:34" ht="17.25" customHeight="1" x14ac:dyDescent="0.25">
      <c r="C25" s="1176"/>
      <c r="D25" s="17" t="s">
        <v>139</v>
      </c>
      <c r="E25" s="256">
        <v>2</v>
      </c>
      <c r="F25" s="17" t="s">
        <v>140</v>
      </c>
      <c r="G25" s="17"/>
      <c r="H25" s="197"/>
      <c r="I25" s="17"/>
      <c r="J25" s="17"/>
      <c r="K25" s="17"/>
      <c r="M25" s="1176"/>
      <c r="N25" s="17" t="s">
        <v>139</v>
      </c>
      <c r="O25" s="256">
        <v>2</v>
      </c>
      <c r="P25" s="17" t="s">
        <v>140</v>
      </c>
      <c r="Q25" s="17"/>
      <c r="R25" s="197"/>
    </row>
    <row r="26" spans="2:34" ht="17.25" customHeight="1" x14ac:dyDescent="0.25">
      <c r="C26" s="1176"/>
      <c r="D26" s="17" t="s">
        <v>5</v>
      </c>
      <c r="E26" s="1025">
        <v>1.3</v>
      </c>
      <c r="F26" s="17" t="s">
        <v>143</v>
      </c>
      <c r="G26" s="17"/>
      <c r="H26" s="197"/>
      <c r="I26" s="17"/>
      <c r="J26" s="17"/>
      <c r="K26" s="17"/>
      <c r="M26" s="1176"/>
      <c r="N26" s="17" t="s">
        <v>5</v>
      </c>
      <c r="O26" s="1025">
        <v>1.3</v>
      </c>
      <c r="P26" s="17" t="s">
        <v>143</v>
      </c>
      <c r="Q26" s="17"/>
      <c r="R26" s="197"/>
      <c r="AH26" s="7"/>
    </row>
    <row r="27" spans="2:34" ht="17.25" customHeight="1" thickBot="1" x14ac:dyDescent="0.3">
      <c r="C27" s="1177"/>
      <c r="D27" s="168" t="s">
        <v>141</v>
      </c>
      <c r="E27" s="442">
        <f>E26*LN(E25)</f>
        <v>0.90109133472792891</v>
      </c>
      <c r="F27" s="168" t="s">
        <v>142</v>
      </c>
      <c r="G27" s="254"/>
      <c r="H27" s="252"/>
      <c r="I27" s="17"/>
      <c r="J27" s="17"/>
      <c r="K27" s="17"/>
      <c r="M27" s="1177"/>
      <c r="N27" s="168" t="s">
        <v>141</v>
      </c>
      <c r="O27" s="442">
        <f>O26*LN(O25)</f>
        <v>0.90109133472792891</v>
      </c>
      <c r="P27" s="168" t="s">
        <v>142</v>
      </c>
      <c r="Q27" s="254"/>
      <c r="R27" s="252"/>
      <c r="AH27" s="7"/>
    </row>
    <row r="28" spans="2:34" s="7" customFormat="1" ht="15.75" thickBot="1" x14ac:dyDescent="0.3">
      <c r="B28"/>
      <c r="C28" s="33"/>
      <c r="D28" s="33"/>
      <c r="E28" s="33"/>
      <c r="F28" s="33"/>
      <c r="G28" s="33"/>
      <c r="H28" s="33"/>
      <c r="I28" s="33"/>
      <c r="J28" s="33"/>
      <c r="K28" s="33"/>
      <c r="L28"/>
      <c r="M28"/>
      <c r="N28" s="8"/>
    </row>
    <row r="29" spans="2:34" s="7" customFormat="1" ht="24.75" customHeight="1" x14ac:dyDescent="0.25">
      <c r="B29"/>
      <c r="C29" s="436" t="s">
        <v>12</v>
      </c>
      <c r="D29" s="428"/>
      <c r="E29" s="437" t="s">
        <v>13</v>
      </c>
      <c r="F29" s="438"/>
      <c r="G29" s="447" t="s">
        <v>219</v>
      </c>
      <c r="H29" s="444" t="s">
        <v>218</v>
      </c>
      <c r="I29" s="428" t="s">
        <v>116</v>
      </c>
      <c r="J29" s="439" t="s">
        <v>35</v>
      </c>
      <c r="K29" s="195"/>
      <c r="L29"/>
      <c r="M29" s="436" t="s">
        <v>12</v>
      </c>
      <c r="N29" s="428"/>
      <c r="O29" s="437" t="s">
        <v>13</v>
      </c>
      <c r="P29" s="438"/>
      <c r="Q29" s="447" t="s">
        <v>649</v>
      </c>
      <c r="R29" s="444" t="s">
        <v>648</v>
      </c>
      <c r="S29" s="428" t="s">
        <v>116</v>
      </c>
      <c r="T29" s="439" t="s">
        <v>35</v>
      </c>
      <c r="U29" s="195"/>
    </row>
    <row r="30" spans="2:34" s="7" customFormat="1" ht="15.75" thickBot="1" x14ac:dyDescent="0.3">
      <c r="B30" s="117" t="s">
        <v>45</v>
      </c>
      <c r="C30" s="204" t="str">
        <f>"M1("&amp;D6&amp;")"</f>
        <v>M1(8000)</v>
      </c>
      <c r="D30" s="200" t="str">
        <f>"M1("&amp;D7&amp;")"</f>
        <v>M1(20000)</v>
      </c>
      <c r="E30" s="198" t="str">
        <f>"P("&amp;D6&amp;")"</f>
        <v>P(8000)</v>
      </c>
      <c r="F30" s="199" t="str">
        <f>"S("&amp;D7&amp;")"</f>
        <v>S(20000)</v>
      </c>
      <c r="G30" s="449" t="s">
        <v>214</v>
      </c>
      <c r="H30" s="446" t="s">
        <v>101</v>
      </c>
      <c r="I30" s="296">
        <v>0</v>
      </c>
      <c r="J30" s="205"/>
      <c r="K30" s="142"/>
      <c r="L30" s="117" t="s">
        <v>45</v>
      </c>
      <c r="M30" s="204" t="str">
        <f>"M2("&amp;D16&amp;")"</f>
        <v>M2(14500)</v>
      </c>
      <c r="N30" s="200" t="str">
        <f>"M2("&amp;D17&amp;")"</f>
        <v>M2(20000)</v>
      </c>
      <c r="O30" s="198" t="str">
        <f>"P("&amp;D16&amp;")"</f>
        <v>P(14500)</v>
      </c>
      <c r="P30" s="199" t="str">
        <f>"S("&amp;D17&amp;")"</f>
        <v>S(20000)</v>
      </c>
      <c r="Q30" s="449" t="s">
        <v>214</v>
      </c>
      <c r="R30" s="446" t="s">
        <v>101</v>
      </c>
      <c r="S30" s="296">
        <v>0</v>
      </c>
      <c r="T30" s="205"/>
      <c r="U30" s="142"/>
      <c r="V30" s="7" t="s">
        <v>662</v>
      </c>
    </row>
    <row r="31" spans="2:34" s="7" customFormat="1" ht="18" customHeight="1" thickTop="1" x14ac:dyDescent="0.25">
      <c r="B31" s="25">
        <v>1</v>
      </c>
      <c r="C31" s="454">
        <v>0</v>
      </c>
      <c r="D31" s="356">
        <v>0</v>
      </c>
      <c r="E31" s="455">
        <f t="shared" ref="E31:E40" si="0">EXP(C31/$O$26)/(EXP($D31/$O$26)+EXP($C31/$O$26))</f>
        <v>0.5</v>
      </c>
      <c r="F31" s="456">
        <f t="shared" ref="F31:F40" si="1">EXP(D31/$O$26)/(EXP($D31/$O$26)+EXP($C31/$O$26))</f>
        <v>0.5</v>
      </c>
      <c r="G31" s="452">
        <f t="shared" ref="G31:H41" si="2">(E31*$D$8)+$D$6</f>
        <v>14000</v>
      </c>
      <c r="H31" s="453">
        <f t="shared" si="2"/>
        <v>14000</v>
      </c>
      <c r="I31" s="340">
        <f t="shared" ref="I31:I41" si="3">$O$26*LN(EXP($D31/$O$26)+EXP($C31/$O$26))</f>
        <v>0.90109133472792891</v>
      </c>
      <c r="J31" s="206">
        <f>(I31-I30)</f>
        <v>0.90109133472792891</v>
      </c>
      <c r="K31" s="196"/>
      <c r="L31" s="25">
        <v>1</v>
      </c>
      <c r="M31" s="318">
        <v>37.406987846495696</v>
      </c>
      <c r="N31" s="215">
        <v>0</v>
      </c>
      <c r="O31" s="455">
        <f t="shared" ref="O31" si="4">EXP(M31/$O$26)/(EXP($N31/$O$26)+EXP($M31/$O$26))</f>
        <v>0.99999999999968137</v>
      </c>
      <c r="P31" s="456">
        <f>EXP(N31/$O$26)/(EXP($N31/$O$26)+EXP($M31/$O$26))</f>
        <v>3.1867454890803687E-13</v>
      </c>
      <c r="Q31" s="452">
        <f>(O31*$D$18)</f>
        <v>5499.9999999982474</v>
      </c>
      <c r="R31" s="453">
        <f>(P31*$D$18)</f>
        <v>1.7527100189942027E-9</v>
      </c>
      <c r="S31" s="340">
        <f>$O$26*LN(EXP($N31/$O$26)+EXP($M31/$O$26))</f>
        <v>37.406987846496115</v>
      </c>
      <c r="T31" s="206">
        <f>(S31-S30)</f>
        <v>37.406987846496115</v>
      </c>
      <c r="U31" s="196"/>
      <c r="V31" s="162">
        <f>H31-$D$15</f>
        <v>-500</v>
      </c>
      <c r="W31" s="7">
        <f>IF(V31&lt;0,0,V31)</f>
        <v>0</v>
      </c>
    </row>
    <row r="32" spans="2:34" s="7" customFormat="1" x14ac:dyDescent="0.25">
      <c r="B32" s="25">
        <v>2</v>
      </c>
      <c r="C32" s="457">
        <v>1</v>
      </c>
      <c r="D32" s="364">
        <v>0</v>
      </c>
      <c r="E32" s="458">
        <f t="shared" si="0"/>
        <v>0.68335447018778295</v>
      </c>
      <c r="F32" s="459">
        <f t="shared" si="1"/>
        <v>0.316645529812217</v>
      </c>
      <c r="G32" s="448">
        <f>(E32*$D$8)+$D$6</f>
        <v>16200.253642253396</v>
      </c>
      <c r="H32" s="445">
        <f t="shared" si="2"/>
        <v>11799.746357746604</v>
      </c>
      <c r="I32" s="341">
        <f t="shared" si="3"/>
        <v>1.4949640332182719</v>
      </c>
      <c r="J32" s="208">
        <f t="shared" ref="J32:J39" si="5">(I32-I31)</f>
        <v>0.59387269849034297</v>
      </c>
      <c r="K32" s="196"/>
      <c r="L32" s="25">
        <v>2</v>
      </c>
      <c r="M32" s="320">
        <v>36.054795045749565</v>
      </c>
      <c r="N32" s="233">
        <v>0</v>
      </c>
      <c r="O32" s="458">
        <f>EXP(M32/$O$26)/(EXP($N32/$O$26)+EXP($M32/$O$26))</f>
        <v>0.99999999999909828</v>
      </c>
      <c r="P32" s="459">
        <f t="shared" ref="P32:P40" si="6">EXP(N32/$O$26)/(EXP($N32/$O$26)+EXP($M32/$O$26))</f>
        <v>9.0173318037903461E-13</v>
      </c>
      <c r="Q32" s="448">
        <f t="shared" ref="Q32:Q41" si="7">(O32*$D$18)</f>
        <v>5499.9999999950405</v>
      </c>
      <c r="R32" s="445">
        <f t="shared" ref="R32:R40" si="8">(P32*$D$18)</f>
        <v>4.9595324920846906E-9</v>
      </c>
      <c r="S32" s="341">
        <f t="shared" ref="S32:S40" si="9">$O$26*LN(EXP($N32/$O$26)+EXP($M32/$O$26))</f>
        <v>36.054795045750737</v>
      </c>
      <c r="T32" s="208">
        <f t="shared" ref="T32:T34" si="10">(S32-S31)</f>
        <v>-1.3521928007453781</v>
      </c>
      <c r="U32" s="196"/>
      <c r="V32" s="162">
        <f t="shared" ref="V32:V40" si="11">H32-$D$15</f>
        <v>-2700.2536422533958</v>
      </c>
      <c r="W32" s="7">
        <f t="shared" ref="W32:W41" si="12">IF(V32&lt;0,0,V32)</f>
        <v>0</v>
      </c>
    </row>
    <row r="33" spans="2:25" s="7" customFormat="1" x14ac:dyDescent="0.25">
      <c r="B33" s="25">
        <v>3</v>
      </c>
      <c r="C33" s="457">
        <v>1</v>
      </c>
      <c r="D33" s="364">
        <v>2</v>
      </c>
      <c r="E33" s="458">
        <f t="shared" si="0"/>
        <v>0.316645529812217</v>
      </c>
      <c r="F33" s="459">
        <f t="shared" si="1"/>
        <v>0.68335447018778306</v>
      </c>
      <c r="G33" s="448">
        <f t="shared" si="2"/>
        <v>11799.746357746604</v>
      </c>
      <c r="H33" s="445">
        <f t="shared" si="2"/>
        <v>16200.253642253396</v>
      </c>
      <c r="I33" s="341">
        <f t="shared" si="3"/>
        <v>2.4949640332182721</v>
      </c>
      <c r="J33" s="208">
        <f t="shared" si="5"/>
        <v>1.0000000000000002</v>
      </c>
      <c r="K33" s="196"/>
      <c r="L33" s="25">
        <v>3</v>
      </c>
      <c r="M33" s="320">
        <v>1.1545800513958524</v>
      </c>
      <c r="N33" s="233">
        <v>0.10917625858025784</v>
      </c>
      <c r="O33" s="458">
        <f t="shared" ref="O33:O40" si="13">EXP(M33/$O$26)/(EXP($N33/$O$26)+EXP($M33/$O$26))</f>
        <v>0.69086295030533218</v>
      </c>
      <c r="P33" s="459">
        <f t="shared" si="6"/>
        <v>0.30913704969466782</v>
      </c>
      <c r="Q33" s="448">
        <f t="shared" si="7"/>
        <v>3799.7462266793268</v>
      </c>
      <c r="R33" s="445">
        <f>(P33*$D$18)</f>
        <v>1700.253773320673</v>
      </c>
      <c r="S33" s="341">
        <f t="shared" si="9"/>
        <v>1.6353380046414761</v>
      </c>
      <c r="T33" s="208">
        <f t="shared" si="10"/>
        <v>-34.419457041109261</v>
      </c>
      <c r="U33" s="196"/>
      <c r="V33" s="162">
        <f t="shared" si="11"/>
        <v>1700.2536422533958</v>
      </c>
      <c r="W33" s="7">
        <f t="shared" si="12"/>
        <v>1700.2536422533958</v>
      </c>
    </row>
    <row r="34" spans="2:25" s="7" customFormat="1" x14ac:dyDescent="0.25">
      <c r="B34" s="25">
        <v>4</v>
      </c>
      <c r="C34" s="457">
        <v>2</v>
      </c>
      <c r="D34" s="364">
        <v>2</v>
      </c>
      <c r="E34" s="458">
        <f t="shared" si="0"/>
        <v>0.5</v>
      </c>
      <c r="F34" s="459">
        <f t="shared" si="1"/>
        <v>0.5</v>
      </c>
      <c r="G34" s="448">
        <f t="shared" si="2"/>
        <v>14000</v>
      </c>
      <c r="H34" s="445">
        <f t="shared" si="2"/>
        <v>14000</v>
      </c>
      <c r="I34" s="341">
        <f t="shared" si="3"/>
        <v>2.901091334727929</v>
      </c>
      <c r="J34" s="208">
        <f t="shared" si="5"/>
        <v>0.40612730150965692</v>
      </c>
      <c r="K34" s="196"/>
      <c r="L34" s="25">
        <v>4</v>
      </c>
      <c r="M34" s="320">
        <v>32.564618000000003</v>
      </c>
      <c r="N34" s="233">
        <v>0</v>
      </c>
      <c r="O34" s="458">
        <f t="shared" si="13"/>
        <v>0.99999999998678546</v>
      </c>
      <c r="P34" s="459">
        <f t="shared" si="6"/>
        <v>1.321450331051515E-11</v>
      </c>
      <c r="Q34" s="448">
        <f t="shared" si="7"/>
        <v>5499.9999999273205</v>
      </c>
      <c r="R34" s="445">
        <f t="shared" si="8"/>
        <v>7.2679768207833316E-8</v>
      </c>
      <c r="S34" s="341">
        <f t="shared" si="9"/>
        <v>32.564618000017184</v>
      </c>
      <c r="T34" s="208">
        <f t="shared" si="10"/>
        <v>30.929279995375708</v>
      </c>
      <c r="U34" s="196"/>
      <c r="V34" s="162">
        <f t="shared" si="11"/>
        <v>-500</v>
      </c>
      <c r="W34" s="7">
        <f t="shared" si="12"/>
        <v>0</v>
      </c>
    </row>
    <row r="35" spans="2:25" s="7" customFormat="1" x14ac:dyDescent="0.25">
      <c r="B35" s="25">
        <v>5</v>
      </c>
      <c r="C35" s="457">
        <v>11</v>
      </c>
      <c r="D35" s="364">
        <v>12</v>
      </c>
      <c r="E35" s="458">
        <f t="shared" si="0"/>
        <v>0.31664552981221722</v>
      </c>
      <c r="F35" s="459">
        <f t="shared" si="1"/>
        <v>0.68335447018778273</v>
      </c>
      <c r="G35" s="448">
        <f t="shared" si="2"/>
        <v>11799.746357746606</v>
      </c>
      <c r="H35" s="445">
        <f t="shared" si="2"/>
        <v>16200.253642253392</v>
      </c>
      <c r="I35" s="341">
        <f t="shared" si="3"/>
        <v>12.494964033218272</v>
      </c>
      <c r="J35" s="208">
        <f>(I35-I34)</f>
        <v>9.593872698490344</v>
      </c>
      <c r="K35" s="196"/>
      <c r="L35" s="25">
        <v>5</v>
      </c>
      <c r="M35" s="320">
        <v>13.891785082043878</v>
      </c>
      <c r="N35" s="233">
        <v>12.84638281393654</v>
      </c>
      <c r="O35" s="458">
        <f t="shared" si="13"/>
        <v>0.69086269981760196</v>
      </c>
      <c r="P35" s="459">
        <f t="shared" si="6"/>
        <v>0.30913730018239804</v>
      </c>
      <c r="Q35" s="448">
        <f>(O35*$D$18)</f>
        <v>3799.7448489968106</v>
      </c>
      <c r="R35" s="445">
        <f t="shared" si="8"/>
        <v>1700.2551510031892</v>
      </c>
      <c r="S35" s="341">
        <f t="shared" si="9"/>
        <v>14.372543506633503</v>
      </c>
      <c r="T35" s="208">
        <f>(S35-S34)</f>
        <v>-18.192074493383679</v>
      </c>
      <c r="U35" s="196"/>
      <c r="V35" s="162">
        <f t="shared" si="11"/>
        <v>1700.2536422533922</v>
      </c>
      <c r="W35" s="7">
        <f t="shared" si="12"/>
        <v>1700.2536422533922</v>
      </c>
    </row>
    <row r="36" spans="2:25" s="7" customFormat="1" x14ac:dyDescent="0.25">
      <c r="B36" s="25">
        <v>6</v>
      </c>
      <c r="C36" s="457">
        <v>12</v>
      </c>
      <c r="D36" s="364">
        <v>12</v>
      </c>
      <c r="E36" s="458">
        <f t="shared" si="0"/>
        <v>0.5</v>
      </c>
      <c r="F36" s="459">
        <f t="shared" si="1"/>
        <v>0.5</v>
      </c>
      <c r="G36" s="448">
        <f t="shared" si="2"/>
        <v>14000</v>
      </c>
      <c r="H36" s="445">
        <f t="shared" si="2"/>
        <v>14000</v>
      </c>
      <c r="I36" s="341">
        <f t="shared" si="3"/>
        <v>12.901091334727928</v>
      </c>
      <c r="J36" s="208">
        <f t="shared" si="5"/>
        <v>0.40612730150965604</v>
      </c>
      <c r="K36" s="196"/>
      <c r="L36" s="25">
        <v>6</v>
      </c>
      <c r="M36" s="320">
        <v>35.710735365092376</v>
      </c>
      <c r="N36" s="233">
        <v>0.88205897064394689</v>
      </c>
      <c r="O36" s="458">
        <f t="shared" si="13"/>
        <v>0.99999999999768419</v>
      </c>
      <c r="P36" s="459">
        <f t="shared" si="6"/>
        <v>2.315745305014157E-12</v>
      </c>
      <c r="Q36" s="448">
        <f t="shared" si="7"/>
        <v>5499.9999999872634</v>
      </c>
      <c r="R36" s="445">
        <f t="shared" si="8"/>
        <v>1.2736599177577863E-8</v>
      </c>
      <c r="S36" s="341">
        <f t="shared" si="9"/>
        <v>35.710735365095388</v>
      </c>
      <c r="T36" s="208">
        <f t="shared" ref="T36:T39" si="14">(S36-S35)</f>
        <v>21.338191858461883</v>
      </c>
      <c r="U36" s="196"/>
      <c r="V36" s="162">
        <f t="shared" si="11"/>
        <v>-500</v>
      </c>
      <c r="W36" s="7">
        <f t="shared" si="12"/>
        <v>0</v>
      </c>
    </row>
    <row r="37" spans="2:25" s="7" customFormat="1" x14ac:dyDescent="0.25">
      <c r="B37" s="25">
        <v>7</v>
      </c>
      <c r="C37" s="457">
        <v>12</v>
      </c>
      <c r="D37" s="364">
        <v>12.5</v>
      </c>
      <c r="E37" s="458">
        <f t="shared" si="0"/>
        <v>0.4050142064772283</v>
      </c>
      <c r="F37" s="459">
        <f t="shared" si="1"/>
        <v>0.5949857935227717</v>
      </c>
      <c r="G37" s="448">
        <f t="shared" si="2"/>
        <v>12860.170477726741</v>
      </c>
      <c r="H37" s="445">
        <f>(F37*$D$8)+$D$6</f>
        <v>15139.829522273259</v>
      </c>
      <c r="I37" s="341">
        <f t="shared" si="3"/>
        <v>13.174983075200032</v>
      </c>
      <c r="J37" s="208">
        <f t="shared" si="5"/>
        <v>0.27389174047210396</v>
      </c>
      <c r="K37" s="196"/>
      <c r="L37" s="25">
        <v>7</v>
      </c>
      <c r="M37" s="320">
        <v>50.547890389173823</v>
      </c>
      <c r="N37" s="233">
        <v>47.911975634559056</v>
      </c>
      <c r="O37" s="458">
        <f t="shared" si="13"/>
        <v>0.88366732974820505</v>
      </c>
      <c r="P37" s="459">
        <f t="shared" si="6"/>
        <v>0.11633267025179499</v>
      </c>
      <c r="Q37" s="448">
        <f t="shared" si="7"/>
        <v>4860.1703136151282</v>
      </c>
      <c r="R37" s="445">
        <f t="shared" si="8"/>
        <v>639.82968638487239</v>
      </c>
      <c r="S37" s="341">
        <f t="shared" si="9"/>
        <v>50.708667383456039</v>
      </c>
      <c r="T37" s="208">
        <f t="shared" si="14"/>
        <v>14.99793201836065</v>
      </c>
      <c r="U37" s="196"/>
      <c r="V37" s="162">
        <f t="shared" si="11"/>
        <v>639.8295222732595</v>
      </c>
      <c r="W37" s="7">
        <f t="shared" si="12"/>
        <v>639.8295222732595</v>
      </c>
    </row>
    <row r="38" spans="2:25" s="7" customFormat="1" x14ac:dyDescent="0.25">
      <c r="B38" s="25">
        <v>8</v>
      </c>
      <c r="C38" s="457">
        <v>12</v>
      </c>
      <c r="D38" s="364">
        <v>11</v>
      </c>
      <c r="E38" s="458">
        <f t="shared" si="0"/>
        <v>0.68335447018778273</v>
      </c>
      <c r="F38" s="459">
        <f t="shared" si="1"/>
        <v>0.31664552981221722</v>
      </c>
      <c r="G38" s="448">
        <f t="shared" si="2"/>
        <v>16200.253642253392</v>
      </c>
      <c r="H38" s="445">
        <f t="shared" si="2"/>
        <v>11799.746357746606</v>
      </c>
      <c r="I38" s="341">
        <f t="shared" si="3"/>
        <v>12.494964033218272</v>
      </c>
      <c r="J38" s="208">
        <f t="shared" si="5"/>
        <v>-0.68001904198176</v>
      </c>
      <c r="K38" s="196"/>
      <c r="L38" s="25">
        <v>8</v>
      </c>
      <c r="M38" s="320">
        <v>86.319683386855274</v>
      </c>
      <c r="N38" s="233">
        <v>70.66251624721717</v>
      </c>
      <c r="O38" s="458">
        <f t="shared" si="13"/>
        <v>0.99999412015762079</v>
      </c>
      <c r="P38" s="459">
        <f t="shared" si="6"/>
        <v>5.8798423792783525E-6</v>
      </c>
      <c r="Q38" s="448">
        <f t="shared" si="7"/>
        <v>5499.9676608669142</v>
      </c>
      <c r="R38" s="445">
        <f t="shared" si="8"/>
        <v>3.2339133086030938E-2</v>
      </c>
      <c r="S38" s="341">
        <f t="shared" si="9"/>
        <v>86.319691030672857</v>
      </c>
      <c r="T38" s="208">
        <f t="shared" si="14"/>
        <v>35.611023647216818</v>
      </c>
      <c r="U38" s="196"/>
      <c r="V38" s="162">
        <f t="shared" si="11"/>
        <v>-2700.253642253394</v>
      </c>
      <c r="W38" s="7">
        <f t="shared" si="12"/>
        <v>0</v>
      </c>
    </row>
    <row r="39" spans="2:25" s="7" customFormat="1" x14ac:dyDescent="0.25">
      <c r="B39" s="25">
        <v>9</v>
      </c>
      <c r="C39" s="457">
        <v>12</v>
      </c>
      <c r="D39" s="364">
        <v>12.9</v>
      </c>
      <c r="E39" s="458">
        <f t="shared" si="0"/>
        <v>0.33351991237247264</v>
      </c>
      <c r="F39" s="459">
        <f t="shared" si="1"/>
        <v>0.66648008762752742</v>
      </c>
      <c r="G39" s="448">
        <f t="shared" si="2"/>
        <v>12002.238948469672</v>
      </c>
      <c r="H39" s="445">
        <f t="shared" si="2"/>
        <v>15997.761051530328</v>
      </c>
      <c r="I39" s="341">
        <f t="shared" si="3"/>
        <v>13.427468520588603</v>
      </c>
      <c r="J39" s="208">
        <f t="shared" si="5"/>
        <v>0.93250448737033054</v>
      </c>
      <c r="K39" s="196"/>
      <c r="L39" s="25">
        <v>9</v>
      </c>
      <c r="M39" s="320">
        <v>13.342837225951399</v>
      </c>
      <c r="N39" s="233">
        <v>12.065089767673323</v>
      </c>
      <c r="O39" s="458">
        <f t="shared" si="13"/>
        <v>0.72767982452307733</v>
      </c>
      <c r="P39" s="459">
        <f t="shared" si="6"/>
        <v>0.27232017547692267</v>
      </c>
      <c r="Q39" s="448">
        <f t="shared" si="7"/>
        <v>4002.2390348769254</v>
      </c>
      <c r="R39" s="445">
        <f>(P39*$D$18)</f>
        <v>1497.7609651230746</v>
      </c>
      <c r="S39" s="341">
        <f t="shared" si="9"/>
        <v>13.756099593658909</v>
      </c>
      <c r="T39" s="208">
        <f t="shared" si="14"/>
        <v>-72.56359143701394</v>
      </c>
      <c r="U39" s="196"/>
      <c r="V39" s="162">
        <f t="shared" si="11"/>
        <v>1497.7610515303277</v>
      </c>
      <c r="W39" s="7">
        <f t="shared" si="12"/>
        <v>1497.7610515303277</v>
      </c>
    </row>
    <row r="40" spans="2:25" s="7" customFormat="1" ht="15.75" thickBot="1" x14ac:dyDescent="0.3">
      <c r="B40" s="25">
        <v>10</v>
      </c>
      <c r="C40" s="249">
        <v>12</v>
      </c>
      <c r="D40" s="175">
        <v>12.8</v>
      </c>
      <c r="E40" s="460">
        <f t="shared" si="0"/>
        <v>0.35083187501122698</v>
      </c>
      <c r="F40" s="461">
        <f t="shared" si="1"/>
        <v>0.64916812498877297</v>
      </c>
      <c r="G40" s="449">
        <f t="shared" si="2"/>
        <v>12209.982500134724</v>
      </c>
      <c r="H40" s="446">
        <f t="shared" si="2"/>
        <v>15790.017499865276</v>
      </c>
      <c r="I40" s="342">
        <f t="shared" si="3"/>
        <v>13.361682606491927</v>
      </c>
      <c r="J40" s="1106">
        <f>(I40-I39)</f>
        <v>-6.5785914096675668E-2</v>
      </c>
      <c r="K40" s="196"/>
      <c r="L40" s="25">
        <v>10</v>
      </c>
      <c r="M40" s="322">
        <v>17.109615910027149</v>
      </c>
      <c r="N40" s="225">
        <v>15.571972353671613</v>
      </c>
      <c r="O40" s="460">
        <f t="shared" si="13"/>
        <v>0.7654513688276503</v>
      </c>
      <c r="P40" s="461">
        <f t="shared" si="6"/>
        <v>0.23454863117234964</v>
      </c>
      <c r="Q40" s="449">
        <f t="shared" si="7"/>
        <v>4209.9825285520765</v>
      </c>
      <c r="R40" s="446">
        <f t="shared" si="8"/>
        <v>1290.0174714479231</v>
      </c>
      <c r="S40" s="342">
        <f t="shared" si="9"/>
        <v>17.457092382929638</v>
      </c>
      <c r="T40" s="1106">
        <f>(S40-S39)</f>
        <v>3.7009927892707282</v>
      </c>
      <c r="U40" s="196"/>
      <c r="V40" s="162">
        <f t="shared" si="11"/>
        <v>1290.0174998652765</v>
      </c>
      <c r="W40" s="7">
        <f t="shared" si="12"/>
        <v>1290.0174998652765</v>
      </c>
      <c r="Y40" s="7" t="s">
        <v>663</v>
      </c>
    </row>
    <row r="41" spans="2:25" s="7" customFormat="1" ht="16.5" thickTop="1" thickBot="1" x14ac:dyDescent="0.3">
      <c r="B41" s="25" t="s">
        <v>97</v>
      </c>
      <c r="C41" s="380">
        <f>C40</f>
        <v>12</v>
      </c>
      <c r="D41" s="377">
        <f>D40</f>
        <v>12.8</v>
      </c>
      <c r="E41" s="430">
        <f>E45</f>
        <v>0.33103416666666663</v>
      </c>
      <c r="F41" s="431">
        <f>F45</f>
        <v>0.66896583333333337</v>
      </c>
      <c r="G41" s="450">
        <f t="shared" si="2"/>
        <v>11972.41</v>
      </c>
      <c r="H41" s="451">
        <f t="shared" si="2"/>
        <v>16027.59</v>
      </c>
      <c r="I41" s="443">
        <f t="shared" si="3"/>
        <v>13.361682606491927</v>
      </c>
      <c r="J41" s="196"/>
      <c r="K41" s="8"/>
      <c r="L41" s="25" t="s">
        <v>97</v>
      </c>
      <c r="M41" s="324">
        <v>17.316553792008278</v>
      </c>
      <c r="N41" s="326">
        <v>15.773909609705409</v>
      </c>
      <c r="O41" s="430">
        <f>O45</f>
        <v>0.72225636363636359</v>
      </c>
      <c r="P41" s="431">
        <f>P45</f>
        <v>0.27774363636363641</v>
      </c>
      <c r="Q41" s="450">
        <f t="shared" si="7"/>
        <v>3972.41</v>
      </c>
      <c r="R41" s="451">
        <f>(P41*$D$18)</f>
        <v>1527.5900000000004</v>
      </c>
      <c r="S41" s="443">
        <f>$O$26*LN(EXP($N41/$O$26)+EXP($M41/$O$26))</f>
        <v>17.662859100500036</v>
      </c>
      <c r="T41" s="196"/>
      <c r="U41" s="8"/>
      <c r="V41" s="162">
        <f>H41-$D$15</f>
        <v>1527.5900000000001</v>
      </c>
      <c r="W41" s="7">
        <f t="shared" si="12"/>
        <v>1527.5900000000001</v>
      </c>
      <c r="Y41" s="7">
        <f>SUMXMY2(R31:R41,W31:W41)</f>
        <v>1.0481482397235479E-3</v>
      </c>
    </row>
    <row r="42" spans="2:25" s="7" customFormat="1" ht="15.75" thickBot="1" x14ac:dyDescent="0.3">
      <c r="B42"/>
      <c r="C42" s="33"/>
      <c r="D42" s="33"/>
      <c r="E42" s="86"/>
      <c r="F42" s="86"/>
      <c r="G42" s="33"/>
      <c r="H42" s="33"/>
      <c r="I42" s="265">
        <f>SUMPRODUCT(C41:D41,E41:F41)</f>
        <v>12.535172666666668</v>
      </c>
      <c r="J42" t="s">
        <v>110</v>
      </c>
      <c r="L42"/>
      <c r="M42" s="33"/>
      <c r="N42" s="33"/>
      <c r="O42" s="86"/>
      <c r="P42" s="86"/>
      <c r="Q42" s="33"/>
      <c r="R42" s="33"/>
      <c r="S42" s="265">
        <f>SUMPRODUCT(M41:N41,O41:P41)</f>
        <v>16.88809418720027</v>
      </c>
      <c r="T42" t="s">
        <v>110</v>
      </c>
    </row>
    <row r="43" spans="2:25" s="7" customFormat="1" ht="15.75" thickBot="1" x14ac:dyDescent="0.3">
      <c r="C43" s="142"/>
      <c r="E43" s="1025"/>
      <c r="F43" s="1025"/>
      <c r="G43" s="17"/>
      <c r="H43" s="209"/>
      <c r="I43" s="265">
        <f>I41-I42</f>
        <v>0.82650993982525911</v>
      </c>
      <c r="J43" s="7" t="s">
        <v>102</v>
      </c>
      <c r="M43" s="142"/>
      <c r="O43" s="1025"/>
      <c r="P43" s="1025"/>
      <c r="Q43" s="17"/>
      <c r="R43" s="209"/>
      <c r="S43" s="265">
        <f>S41-S42</f>
        <v>0.77476491329976582</v>
      </c>
      <c r="T43" s="7" t="s">
        <v>102</v>
      </c>
      <c r="V43" s="656" t="s">
        <v>661</v>
      </c>
    </row>
    <row r="44" spans="2:25" s="7" customFormat="1" ht="15.75" thickBot="1" x14ac:dyDescent="0.3">
      <c r="C44" s="1"/>
      <c r="D44" s="152"/>
      <c r="E44" s="270" t="s">
        <v>171</v>
      </c>
      <c r="F44" s="432" t="s">
        <v>154</v>
      </c>
      <c r="G44" s="17"/>
      <c r="H44" s="209"/>
      <c r="I44" s="263">
        <f>I31-I43</f>
        <v>7.4581394902669795E-2</v>
      </c>
      <c r="J44" s="54" t="s">
        <v>103</v>
      </c>
      <c r="M44" s="1"/>
      <c r="N44" s="152"/>
      <c r="O44" s="270" t="s">
        <v>171</v>
      </c>
      <c r="P44" s="432" t="s">
        <v>154</v>
      </c>
      <c r="Q44" s="17"/>
      <c r="R44" s="209"/>
      <c r="S44" s="263">
        <f>S31-S43</f>
        <v>36.632222933196346</v>
      </c>
      <c r="T44" s="54" t="s">
        <v>103</v>
      </c>
    </row>
    <row r="45" spans="2:25" ht="15.75" thickBot="1" x14ac:dyDescent="0.3">
      <c r="C45" s="290" t="s">
        <v>172</v>
      </c>
      <c r="D45" s="429">
        <v>16027.59</v>
      </c>
      <c r="E45" s="433">
        <f>1-F45</f>
        <v>0.33103416666666663</v>
      </c>
      <c r="F45" s="434">
        <f>(D45-$D$6)/$D$8</f>
        <v>0.66896583333333337</v>
      </c>
      <c r="H45" s="209"/>
      <c r="J45" s="190"/>
      <c r="M45" s="290" t="s">
        <v>172</v>
      </c>
      <c r="N45" s="714">
        <f>D45</f>
        <v>16027.59</v>
      </c>
      <c r="O45" s="433">
        <f>1-P45</f>
        <v>0.72225636363636359</v>
      </c>
      <c r="P45" s="434">
        <f>(N45-$D$16)/$D$18</f>
        <v>0.27774363636363641</v>
      </c>
      <c r="Q45" s="33"/>
      <c r="R45" s="209"/>
      <c r="S45" s="33"/>
      <c r="T45" s="190"/>
      <c r="U45" s="33"/>
    </row>
    <row r="46" spans="2:25" x14ac:dyDescent="0.25">
      <c r="H46" s="209"/>
    </row>
    <row r="47" spans="2:25" s="8" customFormat="1" x14ac:dyDescent="0.25">
      <c r="E47" s="145"/>
      <c r="F47" s="145"/>
      <c r="G47" s="142"/>
      <c r="H47" s="483"/>
      <c r="I47" s="142"/>
      <c r="J47" s="142"/>
      <c r="K47" s="142"/>
    </row>
    <row r="48" spans="2:25" s="8" customFormat="1" x14ac:dyDescent="0.25">
      <c r="B48" s="550"/>
      <c r="C48" s="142"/>
      <c r="D48" s="483"/>
      <c r="E48" s="382"/>
      <c r="F48" s="382"/>
      <c r="G48" s="142"/>
      <c r="H48" s="483"/>
      <c r="I48" s="142"/>
      <c r="J48" s="142"/>
      <c r="K48" s="142"/>
    </row>
    <row r="49" spans="2:24" x14ac:dyDescent="0.25">
      <c r="B49" s="241"/>
      <c r="L49" s="7"/>
      <c r="M49" s="7"/>
      <c r="N49" s="7"/>
      <c r="O49" s="7"/>
      <c r="P49" s="7"/>
    </row>
    <row r="50" spans="2:24" ht="31.5" customHeight="1" x14ac:dyDescent="0.5">
      <c r="B50" s="241"/>
      <c r="C50" s="1096" t="s">
        <v>647</v>
      </c>
      <c r="D50" s="1095"/>
      <c r="L50" s="7"/>
      <c r="M50" s="7"/>
      <c r="N50" s="7"/>
      <c r="O50" s="7"/>
      <c r="P50" s="7"/>
    </row>
    <row r="51" spans="2:24" ht="15" customHeight="1" x14ac:dyDescent="0.4">
      <c r="B51" s="6"/>
      <c r="C51" s="1095"/>
      <c r="D51" s="1095"/>
      <c r="L51" s="7"/>
      <c r="M51" s="7"/>
      <c r="N51" s="7"/>
      <c r="O51" s="7"/>
      <c r="P51" s="7"/>
      <c r="T51" s="8"/>
    </row>
    <row r="52" spans="2:24" x14ac:dyDescent="0.25">
      <c r="L52" s="7"/>
      <c r="M52" s="7"/>
      <c r="N52" s="7"/>
      <c r="O52" s="7"/>
      <c r="P52" s="7"/>
    </row>
    <row r="53" spans="2:24" x14ac:dyDescent="0.25">
      <c r="B53" s="33"/>
      <c r="D53" s="964" t="s">
        <v>632</v>
      </c>
      <c r="E53" s="86" t="s">
        <v>636</v>
      </c>
      <c r="F53" s="1125" t="s">
        <v>645</v>
      </c>
      <c r="G53" s="142"/>
      <c r="H53" s="142"/>
      <c r="I53" s="142"/>
      <c r="J53" s="142"/>
      <c r="L53" s="8"/>
      <c r="M53" s="7"/>
      <c r="N53" s="7"/>
      <c r="O53" s="7"/>
      <c r="P53" s="7"/>
    </row>
    <row r="54" spans="2:24" s="33" customFormat="1" x14ac:dyDescent="0.25">
      <c r="B54" s="33" t="s">
        <v>638</v>
      </c>
      <c r="D54" s="681">
        <f>H37</f>
        <v>15139.829522273259</v>
      </c>
      <c r="E54" s="1097">
        <f>F37</f>
        <v>0.5949857935227717</v>
      </c>
      <c r="F54" s="1126">
        <f>(D54-$D$6)/D54</f>
        <v>0.47159246488009382</v>
      </c>
      <c r="G54" s="142"/>
      <c r="H54" s="142"/>
      <c r="I54" s="145"/>
      <c r="J54" s="145"/>
      <c r="L54" s="8"/>
      <c r="M54" s="7"/>
      <c r="N54" s="7"/>
      <c r="O54" s="7"/>
      <c r="P54" s="7"/>
      <c r="Q54"/>
      <c r="R54"/>
    </row>
    <row r="55" spans="2:24" s="33" customFormat="1" x14ac:dyDescent="0.25">
      <c r="C55" s="1094"/>
      <c r="D55" s="3"/>
      <c r="E55" s="17"/>
      <c r="F55" s="142"/>
      <c r="G55" s="1099"/>
      <c r="H55" s="144"/>
      <c r="I55" s="1100"/>
      <c r="J55" s="1100"/>
      <c r="L55" s="8"/>
      <c r="M55" s="7"/>
      <c r="N55" s="7"/>
      <c r="O55" s="7"/>
      <c r="P55" s="7"/>
      <c r="Q55"/>
      <c r="R55"/>
    </row>
    <row r="56" spans="2:24" s="33" customFormat="1" ht="15" customHeight="1" x14ac:dyDescent="0.25">
      <c r="C56" s="1232" t="s">
        <v>641</v>
      </c>
      <c r="D56" s="1233"/>
      <c r="E56" s="1198" t="s">
        <v>642</v>
      </c>
      <c r="F56" s="1199"/>
      <c r="G56" s="1199"/>
      <c r="H56" s="1199"/>
      <c r="I56" s="1200"/>
      <c r="L56" s="17"/>
      <c r="M56" s="7"/>
      <c r="N56" s="7"/>
      <c r="O56" s="7"/>
      <c r="P56" s="7"/>
      <c r="Q56"/>
      <c r="R56"/>
    </row>
    <row r="57" spans="2:24" s="33" customFormat="1" x14ac:dyDescent="0.25">
      <c r="B57" s="462"/>
      <c r="C57" s="1076" t="s">
        <v>72</v>
      </c>
      <c r="D57" s="1077" t="s">
        <v>236</v>
      </c>
      <c r="E57" s="1078" t="s">
        <v>72</v>
      </c>
      <c r="F57" s="1115" t="s">
        <v>236</v>
      </c>
      <c r="G57" s="1116" t="s">
        <v>643</v>
      </c>
      <c r="H57" s="1116" t="s">
        <v>644</v>
      </c>
      <c r="I57" s="1117" t="s">
        <v>402</v>
      </c>
      <c r="J57" s="1105" t="s">
        <v>646</v>
      </c>
      <c r="L57" s="17"/>
      <c r="M57" s="7"/>
      <c r="N57" s="7"/>
      <c r="O57" s="7"/>
      <c r="P57" s="7"/>
      <c r="Q57"/>
      <c r="R57"/>
    </row>
    <row r="58" spans="2:24" s="33" customFormat="1" x14ac:dyDescent="0.25">
      <c r="B58" s="462" t="s">
        <v>650</v>
      </c>
      <c r="C58" s="738">
        <f>H38</f>
        <v>11799.746357746606</v>
      </c>
      <c r="D58" s="1101">
        <f>(C58-$D$54)/$D$54</f>
        <v>-0.22061563900787814</v>
      </c>
      <c r="E58" s="1097">
        <f>F38</f>
        <v>0.31664552981221722</v>
      </c>
      <c r="F58" s="739">
        <f>E58/$E$54</f>
        <v>0.53219006782907052</v>
      </c>
      <c r="G58" s="1103">
        <f>$F$54*F58</f>
        <v>0.2509768258722157</v>
      </c>
      <c r="H58" s="1102">
        <f>1-$F$54</f>
        <v>0.52840753511990624</v>
      </c>
      <c r="I58" s="1104">
        <f t="shared" ref="I58" si="15">(SUM(G58:H58)-1)/1</f>
        <v>-0.22061563900787806</v>
      </c>
      <c r="J58" s="8" t="b">
        <f>ROUND(D58,8) = ROUND(I58,8)</f>
        <v>1</v>
      </c>
      <c r="L58" s="17" t="s">
        <v>653</v>
      </c>
      <c r="M58" s="7"/>
      <c r="N58" s="7"/>
      <c r="O58" s="7"/>
      <c r="P58" s="7"/>
      <c r="Q58"/>
      <c r="R58"/>
    </row>
    <row r="59" spans="2:24" s="33" customFormat="1" x14ac:dyDescent="0.25">
      <c r="B59" s="462" t="s">
        <v>637</v>
      </c>
      <c r="C59" s="680">
        <f>H39</f>
        <v>15997.761051530328</v>
      </c>
      <c r="D59" s="1101">
        <f>(C59-$D$54)/$D$54</f>
        <v>5.6667185584547385E-2</v>
      </c>
      <c r="E59" s="1097">
        <f>F39</f>
        <v>0.66648008762752742</v>
      </c>
      <c r="F59" s="739">
        <f>E59/$E$54</f>
        <v>1.1201613465112414</v>
      </c>
      <c r="G59" s="1103">
        <f>$F$54*F59</f>
        <v>0.52825965046464118</v>
      </c>
      <c r="H59" s="1102">
        <f>1-$F$54</f>
        <v>0.52840753511990624</v>
      </c>
      <c r="I59" s="1104">
        <f>(SUM(G59:H59)-1)/1</f>
        <v>5.6667185584547308E-2</v>
      </c>
      <c r="J59" s="8" t="b">
        <f t="shared" ref="J59:J61" si="16">ROUND(D59,8) = ROUND(I59,8)</f>
        <v>1</v>
      </c>
      <c r="L59" s="17" t="s">
        <v>654</v>
      </c>
      <c r="M59" s="7"/>
      <c r="N59" s="7"/>
      <c r="O59" s="7"/>
      <c r="P59" s="7"/>
      <c r="Q59"/>
      <c r="R59"/>
    </row>
    <row r="60" spans="2:24" s="33" customFormat="1" x14ac:dyDescent="0.25">
      <c r="B60" s="462" t="s">
        <v>639</v>
      </c>
      <c r="C60" s="738">
        <f>H40</f>
        <v>15790.017499865276</v>
      </c>
      <c r="D60" s="1101">
        <f>(C60-$D$54)/$D$54</f>
        <v>4.2945528325499312E-2</v>
      </c>
      <c r="E60" s="1097">
        <f>F40</f>
        <v>0.64916812498877297</v>
      </c>
      <c r="F60" s="739">
        <f>E60/$E$54</f>
        <v>1.0910649162649757</v>
      </c>
      <c r="G60" s="1103">
        <f>$F$54*F60</f>
        <v>0.51453799320559301</v>
      </c>
      <c r="H60" s="1102">
        <f>1-$F$54</f>
        <v>0.52840753511990624</v>
      </c>
      <c r="I60" s="1104">
        <f t="shared" ref="I60:I61" si="17">(SUM(G60:H60)-1)/1</f>
        <v>4.294552832549936E-2</v>
      </c>
      <c r="J60" s="8" t="b">
        <f t="shared" si="16"/>
        <v>1</v>
      </c>
      <c r="L60" s="17"/>
      <c r="M60" s="7"/>
      <c r="N60" s="7"/>
      <c r="O60" s="7"/>
      <c r="P60" s="7"/>
      <c r="Q60"/>
      <c r="R60"/>
    </row>
    <row r="61" spans="2:24" x14ac:dyDescent="0.25">
      <c r="B61" s="462" t="s">
        <v>640</v>
      </c>
      <c r="C61" s="738">
        <f>H41</f>
        <v>16027.59</v>
      </c>
      <c r="D61" s="1101">
        <f>(C61-$D$54)/$D$54</f>
        <v>5.8637415726557174E-2</v>
      </c>
      <c r="E61" s="1097">
        <f>F41</f>
        <v>0.66896583333333337</v>
      </c>
      <c r="F61" s="739">
        <f>E61/$E$54</f>
        <v>1.1243391701380685</v>
      </c>
      <c r="G61" s="1103">
        <f>$F$54*F61</f>
        <v>0.53022988060665088</v>
      </c>
      <c r="H61" s="1102">
        <f>1-$F$54</f>
        <v>0.52840753511990624</v>
      </c>
      <c r="I61" s="1104">
        <f t="shared" si="17"/>
        <v>5.8637415726557229E-2</v>
      </c>
      <c r="J61" s="8" t="b">
        <f t="shared" si="16"/>
        <v>1</v>
      </c>
      <c r="L61" s="7"/>
      <c r="M61" s="7"/>
      <c r="N61" s="7"/>
      <c r="O61" s="7"/>
      <c r="P61" s="7"/>
    </row>
    <row r="62" spans="2:24" s="33" customFormat="1" x14ac:dyDescent="0.25">
      <c r="B62"/>
      <c r="C62" s="463"/>
      <c r="D62" s="738"/>
      <c r="E62" s="86"/>
      <c r="F62" s="86"/>
      <c r="G62" s="86"/>
      <c r="H62" s="86"/>
      <c r="I62" s="86"/>
      <c r="L62" s="7"/>
      <c r="M62" s="7"/>
      <c r="N62" s="7"/>
      <c r="O62" s="7"/>
      <c r="P62" s="7"/>
      <c r="Q62"/>
      <c r="R62"/>
    </row>
    <row r="63" spans="2:24" s="33" customFormat="1" ht="33.75" x14ac:dyDescent="0.5">
      <c r="B63"/>
      <c r="C63" s="1096" t="s">
        <v>655</v>
      </c>
      <c r="D63" s="738"/>
      <c r="E63" s="86"/>
      <c r="F63" s="86"/>
      <c r="G63" s="86"/>
      <c r="H63" s="86"/>
      <c r="I63" s="86"/>
      <c r="L63" s="7"/>
      <c r="M63" s="7"/>
      <c r="N63" s="7"/>
      <c r="O63" s="7"/>
      <c r="P63" s="7"/>
      <c r="Q63"/>
      <c r="R63"/>
    </row>
    <row r="64" spans="2:24" s="33" customFormat="1" x14ac:dyDescent="0.25">
      <c r="B64"/>
      <c r="C64" s="463"/>
      <c r="D64" s="738"/>
      <c r="E64" s="86"/>
      <c r="F64" s="86"/>
      <c r="G64" s="86"/>
      <c r="H64" s="86"/>
      <c r="I64" s="86"/>
      <c r="L64" s="8"/>
      <c r="M64" s="8"/>
      <c r="N64" s="8"/>
      <c r="O64" s="8"/>
      <c r="P64" s="8"/>
      <c r="Q64" s="8"/>
      <c r="R64" s="8"/>
      <c r="S64" s="142"/>
      <c r="T64" s="142"/>
      <c r="U64" s="142"/>
      <c r="V64" s="142"/>
      <c r="W64" s="142"/>
      <c r="X64" s="142"/>
    </row>
    <row r="65" spans="2:24" s="33" customFormat="1" x14ac:dyDescent="0.25">
      <c r="B65"/>
      <c r="C65"/>
      <c r="D65"/>
      <c r="E65"/>
      <c r="F65" s="1079"/>
      <c r="G65" s="1079"/>
      <c r="H65" s="1079"/>
      <c r="I65" s="7"/>
      <c r="J65" s="7"/>
      <c r="K65" s="17"/>
      <c r="L65" s="142"/>
      <c r="M65" s="145"/>
      <c r="N65" s="145"/>
      <c r="O65" s="734"/>
      <c r="P65" s="142"/>
      <c r="Q65" s="8"/>
      <c r="R65" s="8"/>
      <c r="S65" s="142"/>
      <c r="T65" s="142"/>
      <c r="U65" s="142"/>
      <c r="V65" s="142"/>
      <c r="W65" s="142"/>
      <c r="X65" s="142"/>
    </row>
    <row r="66" spans="2:24" s="33" customFormat="1" ht="15.75" thickBot="1" x14ac:dyDescent="0.3">
      <c r="B66"/>
      <c r="C66" s="1230" t="s">
        <v>651</v>
      </c>
      <c r="D66" s="1231"/>
      <c r="E66" s="1230" t="s">
        <v>652</v>
      </c>
      <c r="F66" s="1234"/>
      <c r="H66" s="17"/>
      <c r="I66" s="7"/>
      <c r="J66" s="7"/>
      <c r="K66" s="17"/>
      <c r="L66" s="142"/>
      <c r="M66" s="381"/>
      <c r="N66" s="1104"/>
      <c r="O66" s="1107"/>
      <c r="P66" s="142"/>
      <c r="Q66" s="8"/>
      <c r="R66" s="8"/>
      <c r="S66" s="142"/>
      <c r="T66" s="142"/>
      <c r="U66" s="142"/>
      <c r="V66" s="142"/>
      <c r="W66" s="142"/>
      <c r="X66" s="142"/>
    </row>
    <row r="67" spans="2:24" s="33" customFormat="1" ht="15.75" thickTop="1" x14ac:dyDescent="0.25">
      <c r="B67"/>
      <c r="C67" s="1064" t="s">
        <v>632</v>
      </c>
      <c r="D67" s="964" t="s">
        <v>72</v>
      </c>
      <c r="E67" s="1064" t="s">
        <v>632</v>
      </c>
      <c r="F67" s="964" t="s">
        <v>72</v>
      </c>
      <c r="H67" s="1079"/>
      <c r="I67" s="656" t="s">
        <v>661</v>
      </c>
      <c r="J67" s="1079"/>
      <c r="K67" s="17"/>
      <c r="L67" s="142"/>
      <c r="M67" s="655"/>
      <c r="N67" s="8"/>
      <c r="O67" s="142"/>
      <c r="P67" s="142"/>
      <c r="Q67" s="1099"/>
      <c r="R67" s="144"/>
      <c r="S67" s="1100"/>
      <c r="T67" s="1100"/>
      <c r="U67" s="142"/>
      <c r="V67" s="142"/>
      <c r="W67" s="142"/>
      <c r="X67" s="142"/>
    </row>
    <row r="68" spans="2:24" x14ac:dyDescent="0.25">
      <c r="C68" s="1064">
        <v>8</v>
      </c>
      <c r="D68" s="964">
        <f t="shared" ref="D68:D92" si="18">IF(C68&lt;($D$15/1000),0, C68 - $D$15/1000 )</f>
        <v>0</v>
      </c>
      <c r="E68" s="679">
        <f t="shared" ref="E68:E92" si="19">((C68*1000)-$D$6)/$D$8</f>
        <v>0</v>
      </c>
      <c r="F68" s="681">
        <f>IF(E68&lt;$E$15,0,(E68-$E$15))</f>
        <v>0</v>
      </c>
      <c r="H68" s="1113"/>
      <c r="I68" s="7"/>
      <c r="J68" s="1114"/>
      <c r="K68" s="17"/>
      <c r="L68" s="142"/>
      <c r="M68" s="142"/>
      <c r="N68" s="142"/>
      <c r="O68" s="887"/>
      <c r="P68" s="887"/>
      <c r="Q68" s="887"/>
      <c r="R68" s="887"/>
      <c r="S68" s="887"/>
      <c r="T68" s="145"/>
      <c r="U68" s="142"/>
      <c r="V68" s="8"/>
      <c r="W68" s="8"/>
      <c r="X68" s="8"/>
    </row>
    <row r="69" spans="2:24" x14ac:dyDescent="0.25">
      <c r="C69" s="1064">
        <v>8.5</v>
      </c>
      <c r="D69" s="964">
        <f t="shared" si="18"/>
        <v>0</v>
      </c>
      <c r="E69" s="679">
        <f t="shared" si="19"/>
        <v>4.1666666666666664E-2</v>
      </c>
      <c r="F69" s="681">
        <f t="shared" ref="F69:F92" si="20">IF(E69&lt;$E$15,0,(E69-$E$15))</f>
        <v>0</v>
      </c>
      <c r="J69" s="964" t="s">
        <v>657</v>
      </c>
      <c r="K69" s="86" t="s">
        <v>636</v>
      </c>
      <c r="L69" s="1127" t="s">
        <v>658</v>
      </c>
      <c r="M69" s="1108"/>
      <c r="N69" s="142"/>
      <c r="O69" s="142"/>
      <c r="P69" s="142"/>
      <c r="Q69" s="145"/>
      <c r="R69" s="145"/>
      <c r="S69" s="1100"/>
      <c r="T69" s="8"/>
      <c r="U69" s="142"/>
      <c r="V69" s="8"/>
      <c r="W69" s="8"/>
      <c r="X69" s="8"/>
    </row>
    <row r="70" spans="2:24" x14ac:dyDescent="0.25">
      <c r="C70" s="1064">
        <v>9</v>
      </c>
      <c r="D70" s="964">
        <f t="shared" si="18"/>
        <v>0</v>
      </c>
      <c r="E70" s="679">
        <f t="shared" si="19"/>
        <v>8.3333333333333329E-2</v>
      </c>
      <c r="F70" s="681">
        <f t="shared" si="20"/>
        <v>0</v>
      </c>
      <c r="H70" s="33" t="s">
        <v>656</v>
      </c>
      <c r="J70" s="681">
        <f>R35</f>
        <v>1700.2551510031892</v>
      </c>
      <c r="K70" s="1097">
        <f>P35</f>
        <v>0.30913730018239804</v>
      </c>
      <c r="L70" s="1126">
        <v>1</v>
      </c>
      <c r="M70" s="142"/>
      <c r="N70" s="142"/>
      <c r="O70" s="1108"/>
      <c r="P70" s="1108"/>
      <c r="Q70" s="628"/>
      <c r="R70" s="1102"/>
      <c r="S70" s="1104"/>
      <c r="T70" s="8"/>
      <c r="U70" s="142"/>
      <c r="V70" s="8"/>
      <c r="W70" s="8"/>
      <c r="X70" s="8"/>
    </row>
    <row r="71" spans="2:24" x14ac:dyDescent="0.25">
      <c r="C71" s="1064">
        <v>9.5</v>
      </c>
      <c r="D71" s="964">
        <f t="shared" si="18"/>
        <v>0</v>
      </c>
      <c r="E71" s="679">
        <f t="shared" si="19"/>
        <v>0.125</v>
      </c>
      <c r="F71" s="681">
        <f t="shared" si="20"/>
        <v>0</v>
      </c>
      <c r="I71" s="1094"/>
      <c r="J71" s="3"/>
      <c r="K71" s="17"/>
      <c r="L71" s="142"/>
      <c r="M71" s="1099"/>
      <c r="N71" s="144"/>
      <c r="O71" s="1100"/>
      <c r="P71" s="1100"/>
      <c r="Q71" s="628"/>
      <c r="R71" s="1102"/>
      <c r="S71" s="1104"/>
      <c r="T71" s="8"/>
      <c r="U71" s="142"/>
      <c r="V71" s="8"/>
      <c r="W71" s="8"/>
      <c r="X71" s="8"/>
    </row>
    <row r="72" spans="2:24" ht="15" customHeight="1" x14ac:dyDescent="0.25">
      <c r="C72" s="1064">
        <v>10</v>
      </c>
      <c r="D72" s="964">
        <f t="shared" si="18"/>
        <v>0</v>
      </c>
      <c r="E72" s="679">
        <f t="shared" si="19"/>
        <v>0.16666666666666666</v>
      </c>
      <c r="F72" s="681">
        <f t="shared" si="20"/>
        <v>0</v>
      </c>
      <c r="I72" s="1232" t="s">
        <v>664</v>
      </c>
      <c r="J72" s="1233"/>
      <c r="K72" s="1198" t="s">
        <v>665</v>
      </c>
      <c r="L72" s="1199"/>
      <c r="M72" s="1199"/>
      <c r="N72" s="1199"/>
      <c r="O72" s="1200"/>
      <c r="Q72" s="628"/>
      <c r="R72" s="1102"/>
      <c r="S72" s="1104"/>
      <c r="T72" s="8"/>
      <c r="U72" s="142"/>
      <c r="V72" s="8"/>
      <c r="W72" s="8"/>
      <c r="X72" s="8"/>
    </row>
    <row r="73" spans="2:24" x14ac:dyDescent="0.25">
      <c r="C73" s="1064">
        <v>10.5</v>
      </c>
      <c r="D73" s="964">
        <f t="shared" si="18"/>
        <v>0</v>
      </c>
      <c r="E73" s="679">
        <f t="shared" si="19"/>
        <v>0.20833333333333334</v>
      </c>
      <c r="F73" s="681">
        <f t="shared" si="20"/>
        <v>0</v>
      </c>
      <c r="H73" s="462"/>
      <c r="I73" s="1076" t="s">
        <v>72</v>
      </c>
      <c r="J73" s="1077" t="s">
        <v>236</v>
      </c>
      <c r="K73" s="1078" t="s">
        <v>72</v>
      </c>
      <c r="L73" s="1115" t="s">
        <v>236</v>
      </c>
      <c r="M73" s="1116" t="s">
        <v>643</v>
      </c>
      <c r="N73" s="1116" t="s">
        <v>644</v>
      </c>
      <c r="O73" s="1117" t="s">
        <v>402</v>
      </c>
      <c r="P73" s="1105" t="s">
        <v>646</v>
      </c>
      <c r="Q73" s="628"/>
      <c r="R73" s="1102"/>
      <c r="S73" s="1104"/>
      <c r="T73" s="8"/>
      <c r="U73" s="1109"/>
      <c r="V73" s="8"/>
      <c r="W73" s="8"/>
      <c r="X73" s="8"/>
    </row>
    <row r="74" spans="2:24" x14ac:dyDescent="0.25">
      <c r="C74" s="1064">
        <v>11</v>
      </c>
      <c r="D74" s="964">
        <f t="shared" si="18"/>
        <v>0</v>
      </c>
      <c r="E74" s="679">
        <f t="shared" si="19"/>
        <v>0.25</v>
      </c>
      <c r="F74" s="681">
        <f t="shared" si="20"/>
        <v>0</v>
      </c>
      <c r="H74" s="462" t="s">
        <v>650</v>
      </c>
      <c r="I74" s="738">
        <f>R38</f>
        <v>3.2339133086030938E-2</v>
      </c>
      <c r="J74" s="1101">
        <f>(I74-$J$70)/$J$70</f>
        <v>-0.9999809798352518</v>
      </c>
      <c r="K74" s="1097">
        <f>P38</f>
        <v>5.8798423792783525E-6</v>
      </c>
      <c r="L74" s="739">
        <f>K74/$K$70</f>
        <v>1.9020164748185066E-5</v>
      </c>
      <c r="M74" s="1103">
        <f>$L$70*L74</f>
        <v>1.9020164748185066E-5</v>
      </c>
      <c r="N74" s="1102">
        <f>1-$L$70</f>
        <v>0</v>
      </c>
      <c r="O74" s="1104">
        <f>(SUM(M74:N74)-1)/1</f>
        <v>-0.9999809798352518</v>
      </c>
      <c r="P74" s="8" t="b">
        <f t="shared" ref="P74:P77" si="21">ROUND(J74,8) = ROUND(O74,8)</f>
        <v>1</v>
      </c>
      <c r="Q74" s="628"/>
      <c r="R74" s="1102"/>
      <c r="S74" s="1104"/>
      <c r="T74" s="8"/>
      <c r="U74" s="8"/>
      <c r="V74" s="8"/>
      <c r="W74" s="8"/>
      <c r="X74" s="8"/>
    </row>
    <row r="75" spans="2:24" x14ac:dyDescent="0.25">
      <c r="C75" s="1064">
        <v>11.5</v>
      </c>
      <c r="D75" s="964">
        <f t="shared" si="18"/>
        <v>0</v>
      </c>
      <c r="E75" s="679">
        <f t="shared" si="19"/>
        <v>0.29166666666666669</v>
      </c>
      <c r="F75" s="681">
        <f t="shared" si="20"/>
        <v>0</v>
      </c>
      <c r="H75" s="462" t="s">
        <v>637</v>
      </c>
      <c r="I75" s="738">
        <f>R39</f>
        <v>1497.7609651230746</v>
      </c>
      <c r="J75" s="1101">
        <f>(I75-$J$70)/$J$70</f>
        <v>-0.11909635195672746</v>
      </c>
      <c r="K75" s="1097">
        <f>P39</f>
        <v>0.27232017547692267</v>
      </c>
      <c r="L75" s="739">
        <f>K75/$K$70</f>
        <v>0.88090364804327259</v>
      </c>
      <c r="M75" s="1103">
        <f>$L$70*L75</f>
        <v>0.88090364804327259</v>
      </c>
      <c r="N75" s="1102">
        <f>1-$L$70</f>
        <v>0</v>
      </c>
      <c r="O75" s="1104">
        <f>(SUM(M75:N75)-1)/1</f>
        <v>-0.11909635195672741</v>
      </c>
      <c r="P75" s="8" t="b">
        <f t="shared" si="21"/>
        <v>1</v>
      </c>
      <c r="Q75" s="628"/>
      <c r="R75" s="1102"/>
      <c r="S75" s="1104"/>
      <c r="T75" s="8"/>
      <c r="U75" s="8"/>
      <c r="V75" s="8"/>
      <c r="W75" s="8"/>
      <c r="X75" s="8"/>
    </row>
    <row r="76" spans="2:24" x14ac:dyDescent="0.25">
      <c r="C76" s="1064">
        <v>12</v>
      </c>
      <c r="D76" s="964">
        <f t="shared" si="18"/>
        <v>0</v>
      </c>
      <c r="E76" s="679">
        <f t="shared" si="19"/>
        <v>0.33333333333333331</v>
      </c>
      <c r="F76" s="681">
        <f t="shared" si="20"/>
        <v>0</v>
      </c>
      <c r="H76" s="462" t="s">
        <v>639</v>
      </c>
      <c r="I76" s="738">
        <f t="shared" ref="I76:I77" si="22">R40</f>
        <v>1290.0174714479231</v>
      </c>
      <c r="J76" s="1101">
        <f>(I76-$J$70)/$J$70</f>
        <v>-0.24128006864923573</v>
      </c>
      <c r="K76" s="1097">
        <f>P40</f>
        <v>0.23454863117234964</v>
      </c>
      <c r="L76" s="739">
        <f>K76/$K$70</f>
        <v>0.75871993135076421</v>
      </c>
      <c r="M76" s="1103">
        <f>$L$70*L76</f>
        <v>0.75871993135076421</v>
      </c>
      <c r="N76" s="1102">
        <f>1-$L$70</f>
        <v>0</v>
      </c>
      <c r="O76" s="1104">
        <f>(SUM(M76:N76)-1)/1</f>
        <v>-0.24128006864923579</v>
      </c>
      <c r="P76" s="8" t="b">
        <f t="shared" si="21"/>
        <v>1</v>
      </c>
      <c r="Q76" s="8"/>
      <c r="R76" s="8"/>
      <c r="S76" s="8"/>
      <c r="T76" s="8"/>
      <c r="U76" s="8"/>
      <c r="V76" s="8"/>
      <c r="W76" s="8"/>
      <c r="X76" s="8"/>
    </row>
    <row r="77" spans="2:24" x14ac:dyDescent="0.25">
      <c r="C77" s="1064">
        <v>12.5</v>
      </c>
      <c r="D77" s="964">
        <f t="shared" si="18"/>
        <v>0</v>
      </c>
      <c r="E77" s="679">
        <f t="shared" si="19"/>
        <v>0.375</v>
      </c>
      <c r="F77" s="681">
        <f t="shared" si="20"/>
        <v>0</v>
      </c>
      <c r="H77" s="462" t="s">
        <v>640</v>
      </c>
      <c r="I77" s="738">
        <f t="shared" si="22"/>
        <v>1527.5900000000004</v>
      </c>
      <c r="J77" s="1101">
        <f>(I77-$J$70)/$J$70</f>
        <v>-0.10155249398968882</v>
      </c>
      <c r="K77" s="1097">
        <f t="shared" ref="K77" si="23">P41</f>
        <v>0.27774363636363641</v>
      </c>
      <c r="L77" s="739">
        <f>K77/$K$70</f>
        <v>0.89844750601031109</v>
      </c>
      <c r="M77" s="1103">
        <f>$L$70*L77</f>
        <v>0.89844750601031109</v>
      </c>
      <c r="N77" s="1102">
        <f>1-$L$70</f>
        <v>0</v>
      </c>
      <c r="O77" s="1104">
        <f>(SUM(M77:N77)-1)/1</f>
        <v>-0.10155249398968891</v>
      </c>
      <c r="P77" s="8" t="b">
        <f t="shared" si="21"/>
        <v>1</v>
      </c>
      <c r="Q77" s="8"/>
      <c r="R77" s="8"/>
      <c r="S77" s="8"/>
      <c r="T77" s="8"/>
      <c r="U77" s="8"/>
      <c r="V77" s="8"/>
      <c r="W77" s="8"/>
      <c r="X77" s="8"/>
    </row>
    <row r="78" spans="2:24" x14ac:dyDescent="0.25">
      <c r="C78" s="1064">
        <v>13</v>
      </c>
      <c r="D78" s="964">
        <f t="shared" si="18"/>
        <v>0</v>
      </c>
      <c r="E78" s="679">
        <f t="shared" si="19"/>
        <v>0.41666666666666669</v>
      </c>
      <c r="F78" s="681">
        <f t="shared" si="20"/>
        <v>0</v>
      </c>
      <c r="H78" s="1113"/>
      <c r="I78" s="7"/>
      <c r="J78" s="1114"/>
      <c r="K78" s="17"/>
      <c r="L78" s="8"/>
      <c r="M78" s="8"/>
      <c r="N78" s="8"/>
      <c r="O78" s="8"/>
      <c r="P78" s="8"/>
      <c r="Q78" s="8"/>
      <c r="R78" s="8"/>
      <c r="S78" s="8"/>
      <c r="T78" s="8"/>
      <c r="U78" s="8"/>
      <c r="V78" s="8"/>
      <c r="W78" s="8"/>
      <c r="X78" s="8"/>
    </row>
    <row r="79" spans="2:24" x14ac:dyDescent="0.25">
      <c r="C79" s="1064">
        <v>13.5</v>
      </c>
      <c r="D79" s="964">
        <f t="shared" si="18"/>
        <v>0</v>
      </c>
      <c r="E79" s="679">
        <f t="shared" si="19"/>
        <v>0.45833333333333331</v>
      </c>
      <c r="F79" s="681">
        <f t="shared" si="20"/>
        <v>0</v>
      </c>
      <c r="H79" s="1113"/>
      <c r="I79" s="7"/>
      <c r="J79" s="1114"/>
      <c r="K79" s="17"/>
    </row>
    <row r="80" spans="2:24" x14ac:dyDescent="0.25">
      <c r="C80" s="1064">
        <v>14</v>
      </c>
      <c r="D80" s="964">
        <f t="shared" si="18"/>
        <v>0</v>
      </c>
      <c r="E80" s="679">
        <f t="shared" si="19"/>
        <v>0.5</v>
      </c>
      <c r="F80" s="681">
        <f t="shared" si="20"/>
        <v>0</v>
      </c>
      <c r="H80" s="1118" t="s">
        <v>666</v>
      </c>
      <c r="I80" s="7"/>
      <c r="J80" s="1114"/>
      <c r="K80" s="17"/>
    </row>
    <row r="81" spans="3:11" x14ac:dyDescent="0.25">
      <c r="C81" s="1064">
        <v>14.5</v>
      </c>
      <c r="D81" s="964">
        <f t="shared" si="18"/>
        <v>0</v>
      </c>
      <c r="E81" s="679">
        <f t="shared" si="19"/>
        <v>0.54166666666666663</v>
      </c>
      <c r="F81" s="681">
        <f t="shared" si="20"/>
        <v>0</v>
      </c>
      <c r="H81" s="1118" t="s">
        <v>672</v>
      </c>
      <c r="I81" s="7"/>
      <c r="J81" s="1114"/>
      <c r="K81" s="17"/>
    </row>
    <row r="82" spans="3:11" x14ac:dyDescent="0.25">
      <c r="C82" s="1064">
        <v>15</v>
      </c>
      <c r="D82" s="964">
        <f t="shared" si="18"/>
        <v>0.5</v>
      </c>
      <c r="E82" s="679">
        <f t="shared" si="19"/>
        <v>0.58333333333333337</v>
      </c>
      <c r="F82" s="681">
        <f t="shared" si="20"/>
        <v>4.1666666666666741E-2</v>
      </c>
      <c r="H82" s="1118" t="s">
        <v>673</v>
      </c>
      <c r="I82" s="7"/>
      <c r="J82" s="1114"/>
      <c r="K82" s="255"/>
    </row>
    <row r="83" spans="3:11" x14ac:dyDescent="0.25">
      <c r="C83" s="1064">
        <v>15.5</v>
      </c>
      <c r="D83" s="964">
        <f t="shared" si="18"/>
        <v>1</v>
      </c>
      <c r="E83" s="679">
        <f t="shared" si="19"/>
        <v>0.625</v>
      </c>
      <c r="F83" s="681">
        <f t="shared" si="20"/>
        <v>8.333333333333337E-2</v>
      </c>
      <c r="H83" s="1113"/>
      <c r="I83" s="7"/>
      <c r="J83" s="1114"/>
      <c r="K83" s="255"/>
    </row>
    <row r="84" spans="3:11" x14ac:dyDescent="0.25">
      <c r="C84" s="1064">
        <v>16</v>
      </c>
      <c r="D84" s="964">
        <f t="shared" si="18"/>
        <v>1.5</v>
      </c>
      <c r="E84" s="679">
        <f t="shared" si="19"/>
        <v>0.66666666666666663</v>
      </c>
      <c r="F84" s="681">
        <f t="shared" si="20"/>
        <v>0.125</v>
      </c>
      <c r="H84" s="1118" t="s">
        <v>674</v>
      </c>
      <c r="I84" s="7"/>
      <c r="J84" s="1114"/>
      <c r="K84" s="255"/>
    </row>
    <row r="85" spans="3:11" x14ac:dyDescent="0.25">
      <c r="C85" s="1064">
        <v>16.5</v>
      </c>
      <c r="D85" s="964">
        <f t="shared" si="18"/>
        <v>2</v>
      </c>
      <c r="E85" s="679">
        <f t="shared" si="19"/>
        <v>0.70833333333333337</v>
      </c>
      <c r="F85" s="681">
        <f t="shared" si="20"/>
        <v>0.16666666666666674</v>
      </c>
      <c r="H85" s="1113"/>
      <c r="I85" s="7"/>
      <c r="J85" s="1114"/>
      <c r="K85" s="255"/>
    </row>
    <row r="86" spans="3:11" x14ac:dyDescent="0.25">
      <c r="C86" s="1064">
        <v>17</v>
      </c>
      <c r="D86" s="964">
        <f t="shared" si="18"/>
        <v>2.5</v>
      </c>
      <c r="E86" s="679">
        <f t="shared" si="19"/>
        <v>0.75</v>
      </c>
      <c r="F86" s="681">
        <f t="shared" si="20"/>
        <v>0.20833333333333337</v>
      </c>
      <c r="H86" s="1113"/>
      <c r="I86" s="7"/>
      <c r="J86" s="1114"/>
      <c r="K86" s="255"/>
    </row>
    <row r="87" spans="3:11" x14ac:dyDescent="0.25">
      <c r="C87" s="1064">
        <v>17.5</v>
      </c>
      <c r="D87" s="964">
        <f t="shared" si="18"/>
        <v>3</v>
      </c>
      <c r="E87" s="679">
        <f t="shared" si="19"/>
        <v>0.79166666666666663</v>
      </c>
      <c r="F87" s="681">
        <f t="shared" si="20"/>
        <v>0.25</v>
      </c>
      <c r="H87" s="1113"/>
      <c r="I87" s="7"/>
      <c r="J87" s="1114"/>
      <c r="K87" s="255"/>
    </row>
    <row r="88" spans="3:11" x14ac:dyDescent="0.25">
      <c r="C88" s="1064">
        <v>18</v>
      </c>
      <c r="D88" s="964">
        <f t="shared" si="18"/>
        <v>3.5</v>
      </c>
      <c r="E88" s="679">
        <f t="shared" si="19"/>
        <v>0.83333333333333337</v>
      </c>
      <c r="F88" s="681">
        <f t="shared" si="20"/>
        <v>0.29166666666666674</v>
      </c>
      <c r="H88" s="1113"/>
      <c r="I88" s="7"/>
      <c r="J88" s="1114"/>
      <c r="K88" s="255"/>
    </row>
    <row r="89" spans="3:11" x14ac:dyDescent="0.25">
      <c r="C89" s="1064">
        <v>18.5</v>
      </c>
      <c r="D89" s="964">
        <f t="shared" si="18"/>
        <v>4</v>
      </c>
      <c r="E89" s="679">
        <f t="shared" si="19"/>
        <v>0.875</v>
      </c>
      <c r="F89" s="681">
        <f t="shared" si="20"/>
        <v>0.33333333333333337</v>
      </c>
      <c r="H89" s="1113"/>
      <c r="I89" s="7"/>
      <c r="J89" s="1114"/>
      <c r="K89" s="255"/>
    </row>
    <row r="90" spans="3:11" x14ac:dyDescent="0.25">
      <c r="C90" s="1064">
        <v>19</v>
      </c>
      <c r="D90" s="964">
        <f t="shared" si="18"/>
        <v>4.5</v>
      </c>
      <c r="E90" s="679">
        <f t="shared" si="19"/>
        <v>0.91666666666666663</v>
      </c>
      <c r="F90" s="681">
        <f t="shared" si="20"/>
        <v>0.375</v>
      </c>
      <c r="H90" s="1113"/>
      <c r="I90" s="7"/>
      <c r="J90" s="1114"/>
      <c r="K90" s="255"/>
    </row>
    <row r="91" spans="3:11" ht="15" customHeight="1" x14ac:dyDescent="0.25">
      <c r="C91" s="1064">
        <v>19.5</v>
      </c>
      <c r="D91" s="964">
        <f t="shared" si="18"/>
        <v>5</v>
      </c>
      <c r="E91" s="679">
        <f t="shared" si="19"/>
        <v>0.95833333333333337</v>
      </c>
      <c r="F91" s="681">
        <f t="shared" si="20"/>
        <v>0.41666666666666674</v>
      </c>
      <c r="H91" s="1113"/>
      <c r="I91" s="7"/>
      <c r="J91" s="1114"/>
      <c r="K91" s="255"/>
    </row>
    <row r="92" spans="3:11" x14ac:dyDescent="0.25">
      <c r="C92" s="1062">
        <v>20</v>
      </c>
      <c r="D92" s="1111">
        <f t="shared" si="18"/>
        <v>5.5</v>
      </c>
      <c r="E92" s="1112">
        <f t="shared" si="19"/>
        <v>1</v>
      </c>
      <c r="F92" s="692">
        <f t="shared" si="20"/>
        <v>0.45833333333333337</v>
      </c>
      <c r="H92" s="1113"/>
      <c r="I92" s="7"/>
      <c r="J92" s="1114"/>
      <c r="K92" s="255"/>
    </row>
    <row r="93" spans="3:11" x14ac:dyDescent="0.25">
      <c r="C93" s="7"/>
      <c r="D93" s="7"/>
      <c r="E93" s="7"/>
      <c r="F93" s="7"/>
      <c r="G93" s="7"/>
      <c r="H93" s="7"/>
      <c r="I93" s="7"/>
      <c r="J93" s="7"/>
      <c r="K93" s="17"/>
    </row>
    <row r="94" spans="3:11" x14ac:dyDescent="0.25">
      <c r="H94" s="17"/>
      <c r="I94" s="17"/>
      <c r="J94" s="142"/>
      <c r="K94" s="17"/>
    </row>
    <row r="95" spans="3:11" ht="33.75" x14ac:dyDescent="0.5">
      <c r="C95" s="1096" t="s">
        <v>671</v>
      </c>
      <c r="H95" s="17"/>
      <c r="I95" s="17"/>
      <c r="J95" s="17"/>
      <c r="K95" s="17"/>
    </row>
    <row r="96" spans="3:11" x14ac:dyDescent="0.25">
      <c r="H96" s="17"/>
      <c r="I96" s="17"/>
      <c r="J96" s="17"/>
      <c r="K96" s="17"/>
    </row>
    <row r="98" spans="3:17" ht="15.75" thickBot="1" x14ac:dyDescent="0.3">
      <c r="C98" s="1230" t="s">
        <v>651</v>
      </c>
      <c r="D98" s="1231"/>
      <c r="E98" s="1230" t="s">
        <v>652</v>
      </c>
      <c r="F98" s="1234"/>
    </row>
    <row r="99" spans="3:17" ht="15.75" thickTop="1" x14ac:dyDescent="0.25">
      <c r="C99" s="1064" t="s">
        <v>632</v>
      </c>
      <c r="D99" s="964" t="s">
        <v>72</v>
      </c>
      <c r="E99" s="1064" t="s">
        <v>632</v>
      </c>
      <c r="F99" s="964" t="s">
        <v>72</v>
      </c>
      <c r="H99" s="656" t="str">
        <f ca="1">"The previous example (above) topped out at .46 (cell "&amp;CELL("address",F92)&amp;")."</f>
        <v>The previous example (above) topped out at .46 (cell $F$92).</v>
      </c>
    </row>
    <row r="100" spans="3:17" x14ac:dyDescent="0.25">
      <c r="C100" s="1064">
        <v>8</v>
      </c>
      <c r="D100" s="964">
        <f t="shared" ref="D100:D124" si="24">IF(C100&lt;($D$15/1000),0, C100 - $D$15/1000 )</f>
        <v>0</v>
      </c>
      <c r="E100" s="679">
        <f t="shared" ref="E100:E124" si="25">((C100*1000)-$D$6)/$D$8</f>
        <v>0</v>
      </c>
      <c r="F100" s="681">
        <f>IF( E100&lt;$E$15,0,(E100-$E$15) )  / (1-$E$15)</f>
        <v>0</v>
      </c>
      <c r="H100" s="33" t="s">
        <v>667</v>
      </c>
    </row>
    <row r="101" spans="3:17" x14ac:dyDescent="0.25">
      <c r="C101" s="1064">
        <v>8.5</v>
      </c>
      <c r="D101" s="964">
        <f t="shared" si="24"/>
        <v>0</v>
      </c>
      <c r="E101" s="679">
        <f t="shared" si="25"/>
        <v>4.1666666666666664E-2</v>
      </c>
      <c r="F101" s="681">
        <f t="shared" ref="F101:F124" si="26">IF( E101&lt;$E$15,0,(E101-$E$15) )  / (1-$E$15)</f>
        <v>0</v>
      </c>
    </row>
    <row r="102" spans="3:17" x14ac:dyDescent="0.25">
      <c r="C102" s="1064">
        <v>9</v>
      </c>
      <c r="D102" s="964">
        <f t="shared" si="24"/>
        <v>0</v>
      </c>
      <c r="E102" s="679">
        <f t="shared" si="25"/>
        <v>8.3333333333333329E-2</v>
      </c>
      <c r="F102" s="681">
        <f t="shared" si="26"/>
        <v>0</v>
      </c>
      <c r="H102" s="1239" t="s">
        <v>668</v>
      </c>
      <c r="I102" s="1239"/>
      <c r="J102" s="1239"/>
    </row>
    <row r="103" spans="3:17" x14ac:dyDescent="0.25">
      <c r="C103" s="1064">
        <v>9.5</v>
      </c>
      <c r="D103" s="964">
        <f t="shared" si="24"/>
        <v>0</v>
      </c>
      <c r="E103" s="679">
        <f t="shared" si="25"/>
        <v>0.125</v>
      </c>
      <c r="F103" s="681">
        <f t="shared" si="26"/>
        <v>0</v>
      </c>
      <c r="H103" s="17"/>
      <c r="I103" s="7"/>
      <c r="J103" s="7"/>
      <c r="K103" s="17"/>
      <c r="L103" s="142"/>
      <c r="M103" s="381"/>
      <c r="N103" s="1104"/>
      <c r="O103" s="1107"/>
      <c r="P103" s="142"/>
      <c r="Q103" s="8"/>
    </row>
    <row r="104" spans="3:17" x14ac:dyDescent="0.25">
      <c r="C104" s="1064">
        <v>10</v>
      </c>
      <c r="D104" s="964">
        <f t="shared" si="24"/>
        <v>0</v>
      </c>
      <c r="E104" s="679">
        <f t="shared" si="25"/>
        <v>0.16666666666666666</v>
      </c>
      <c r="F104" s="681">
        <f t="shared" si="26"/>
        <v>0</v>
      </c>
      <c r="H104" s="191" t="s">
        <v>670</v>
      </c>
      <c r="I104" s="656"/>
      <c r="J104" s="1079"/>
      <c r="K104" s="17"/>
      <c r="L104" s="142"/>
      <c r="M104" s="655"/>
      <c r="N104" s="8"/>
      <c r="O104" s="142"/>
      <c r="P104" s="142"/>
      <c r="Q104" s="1099"/>
    </row>
    <row r="105" spans="3:17" x14ac:dyDescent="0.25">
      <c r="C105" s="1064">
        <v>10.5</v>
      </c>
      <c r="D105" s="964">
        <f t="shared" si="24"/>
        <v>0</v>
      </c>
      <c r="E105" s="679">
        <f t="shared" si="25"/>
        <v>0.20833333333333334</v>
      </c>
      <c r="F105" s="681">
        <f t="shared" si="26"/>
        <v>0</v>
      </c>
      <c r="H105" s="1113"/>
      <c r="I105" s="7"/>
      <c r="J105" s="1114"/>
      <c r="K105" s="17"/>
      <c r="L105" s="142"/>
      <c r="M105" s="142"/>
      <c r="N105" s="142"/>
      <c r="O105" s="887"/>
      <c r="P105" s="887"/>
      <c r="Q105" s="887"/>
    </row>
    <row r="106" spans="3:17" x14ac:dyDescent="0.25">
      <c r="C106" s="1064">
        <v>11</v>
      </c>
      <c r="D106" s="964">
        <f t="shared" si="24"/>
        <v>0</v>
      </c>
      <c r="E106" s="679">
        <f t="shared" si="25"/>
        <v>0.25</v>
      </c>
      <c r="F106" s="681">
        <f t="shared" si="26"/>
        <v>0</v>
      </c>
      <c r="J106" s="964" t="s">
        <v>657</v>
      </c>
      <c r="K106" s="86" t="s">
        <v>636</v>
      </c>
      <c r="L106" s="734" t="s">
        <v>658</v>
      </c>
      <c r="M106" s="1108" t="s">
        <v>659</v>
      </c>
      <c r="N106" s="1108" t="s">
        <v>660</v>
      </c>
      <c r="O106" s="142"/>
      <c r="P106" s="142"/>
      <c r="Q106" s="1108"/>
    </row>
    <row r="107" spans="3:17" x14ac:dyDescent="0.25">
      <c r="C107" s="1064">
        <v>11.5</v>
      </c>
      <c r="D107" s="964">
        <f t="shared" si="24"/>
        <v>0</v>
      </c>
      <c r="E107" s="679">
        <f t="shared" si="25"/>
        <v>0.29166666666666669</v>
      </c>
      <c r="F107" s="681">
        <f t="shared" si="26"/>
        <v>0</v>
      </c>
      <c r="H107" s="33" t="s">
        <v>656</v>
      </c>
      <c r="J107" s="1128">
        <f>J70</f>
        <v>1700.2551510031892</v>
      </c>
      <c r="K107" s="1124">
        <f>K70/(1-$E$15)</f>
        <v>0.67448138221614118</v>
      </c>
      <c r="L107" s="1098">
        <v>1</v>
      </c>
      <c r="M107" s="1108">
        <f>1/(1-$E$15)</f>
        <v>2.1818181818181817</v>
      </c>
      <c r="N107" s="142">
        <f>L107*M107</f>
        <v>2.1818181818181817</v>
      </c>
      <c r="O107" s="1108"/>
      <c r="P107" s="1108"/>
      <c r="Q107" s="628"/>
    </row>
    <row r="108" spans="3:17" x14ac:dyDescent="0.25">
      <c r="C108" s="1064">
        <v>12</v>
      </c>
      <c r="D108" s="964">
        <f t="shared" si="24"/>
        <v>0</v>
      </c>
      <c r="E108" s="679">
        <f t="shared" si="25"/>
        <v>0.33333333333333331</v>
      </c>
      <c r="F108" s="681">
        <f t="shared" si="26"/>
        <v>0</v>
      </c>
      <c r="I108" s="1094"/>
      <c r="J108" s="3"/>
      <c r="K108" s="17"/>
      <c r="L108" s="142"/>
      <c r="M108" s="1099"/>
      <c r="N108" s="144"/>
      <c r="O108" s="1100"/>
      <c r="P108" s="1100"/>
      <c r="Q108" s="628"/>
    </row>
    <row r="109" spans="3:17" x14ac:dyDescent="0.25">
      <c r="C109" s="1064">
        <v>12.5</v>
      </c>
      <c r="D109" s="964">
        <f t="shared" si="24"/>
        <v>0</v>
      </c>
      <c r="E109" s="679">
        <f t="shared" si="25"/>
        <v>0.375</v>
      </c>
      <c r="F109" s="681">
        <f t="shared" si="26"/>
        <v>0</v>
      </c>
      <c r="I109" s="1232" t="s">
        <v>664</v>
      </c>
      <c r="J109" s="1233"/>
      <c r="K109" s="1198" t="s">
        <v>669</v>
      </c>
      <c r="L109" s="1199"/>
      <c r="M109" s="1199"/>
      <c r="N109" s="1199"/>
      <c r="O109" s="1200"/>
      <c r="Q109" s="628"/>
    </row>
    <row r="110" spans="3:17" x14ac:dyDescent="0.25">
      <c r="C110" s="1064">
        <v>13</v>
      </c>
      <c r="D110" s="964">
        <f t="shared" si="24"/>
        <v>0</v>
      </c>
      <c r="E110" s="679">
        <f t="shared" si="25"/>
        <v>0.41666666666666669</v>
      </c>
      <c r="F110" s="681">
        <f t="shared" si="26"/>
        <v>0</v>
      </c>
      <c r="H110" s="462"/>
      <c r="I110" s="1076" t="s">
        <v>72</v>
      </c>
      <c r="J110" s="1077" t="s">
        <v>236</v>
      </c>
      <c r="K110" s="1078" t="s">
        <v>72</v>
      </c>
      <c r="L110" s="1115" t="s">
        <v>236</v>
      </c>
      <c r="M110" s="1116" t="s">
        <v>643</v>
      </c>
      <c r="N110" s="1116" t="s">
        <v>644</v>
      </c>
      <c r="O110" s="1117" t="s">
        <v>402</v>
      </c>
      <c r="P110" s="1105" t="s">
        <v>646</v>
      </c>
      <c r="Q110" s="628"/>
    </row>
    <row r="111" spans="3:17" x14ac:dyDescent="0.25">
      <c r="C111" s="1064">
        <v>13.5</v>
      </c>
      <c r="D111" s="964">
        <f t="shared" si="24"/>
        <v>0</v>
      </c>
      <c r="E111" s="679">
        <f t="shared" si="25"/>
        <v>0.45833333333333331</v>
      </c>
      <c r="F111" s="681">
        <f t="shared" si="26"/>
        <v>0</v>
      </c>
      <c r="H111" s="462" t="s">
        <v>650</v>
      </c>
      <c r="I111" s="1122">
        <f>I74</f>
        <v>3.2339133086030938E-2</v>
      </c>
      <c r="J111" s="1123">
        <f>J74</f>
        <v>-0.9999809798352518</v>
      </c>
      <c r="K111" s="1124">
        <f>K74/(1-$E$15)</f>
        <v>1.2828747009334586E-5</v>
      </c>
      <c r="L111" s="739">
        <f>K111/$K$107</f>
        <v>1.9020164748185066E-5</v>
      </c>
      <c r="M111" s="1103">
        <f>$L$70*L111</f>
        <v>1.9020164748185066E-5</v>
      </c>
      <c r="N111" s="1102">
        <f>1-$L$70</f>
        <v>0</v>
      </c>
      <c r="O111" s="1104">
        <f>(SUM(M111:N111)-1)/1</f>
        <v>-0.9999809798352518</v>
      </c>
      <c r="P111" s="8" t="b">
        <f>ROUND(J111,8) = ROUND(O111,8)</f>
        <v>1</v>
      </c>
      <c r="Q111" s="628"/>
    </row>
    <row r="112" spans="3:17" x14ac:dyDescent="0.25">
      <c r="C112" s="1064">
        <v>14</v>
      </c>
      <c r="D112" s="964">
        <f t="shared" si="24"/>
        <v>0</v>
      </c>
      <c r="E112" s="679">
        <f t="shared" si="25"/>
        <v>0.5</v>
      </c>
      <c r="F112" s="681">
        <f t="shared" si="26"/>
        <v>0</v>
      </c>
      <c r="H112" s="462" t="s">
        <v>637</v>
      </c>
      <c r="I112" s="1122">
        <f t="shared" ref="I112" si="27">I75</f>
        <v>1497.7609651230746</v>
      </c>
      <c r="J112" s="1123">
        <f>J75</f>
        <v>-0.11909635195672746</v>
      </c>
      <c r="K112" s="1124">
        <f t="shared" ref="K112:K114" si="28">K75/(1-$E$15)</f>
        <v>0.59415311013146754</v>
      </c>
      <c r="L112" s="739">
        <f>K112/$K$107</f>
        <v>0.88090364804327248</v>
      </c>
      <c r="M112" s="1103">
        <f>$L$70*L112</f>
        <v>0.88090364804327248</v>
      </c>
      <c r="N112" s="1102">
        <f>1-$L$70</f>
        <v>0</v>
      </c>
      <c r="O112" s="1104">
        <f>(SUM(M112:N112)-1)/1</f>
        <v>-0.11909635195672752</v>
      </c>
      <c r="P112" s="8" t="b">
        <f t="shared" ref="P112:P114" si="29">ROUND(J112,8) = ROUND(O112,8)</f>
        <v>1</v>
      </c>
      <c r="Q112" s="628"/>
    </row>
    <row r="113" spans="3:17" x14ac:dyDescent="0.25">
      <c r="C113" s="1064">
        <v>14.5</v>
      </c>
      <c r="D113" s="964">
        <f t="shared" si="24"/>
        <v>0</v>
      </c>
      <c r="E113" s="679">
        <f t="shared" si="25"/>
        <v>0.54166666666666663</v>
      </c>
      <c r="F113" s="1129">
        <f t="shared" si="26"/>
        <v>0</v>
      </c>
      <c r="H113" s="462" t="s">
        <v>639</v>
      </c>
      <c r="I113" s="1122">
        <f t="shared" ref="I113:J113" si="30">I76</f>
        <v>1290.0174714479231</v>
      </c>
      <c r="J113" s="1123">
        <f t="shared" si="30"/>
        <v>-0.24128006864923573</v>
      </c>
      <c r="K113" s="1124">
        <f t="shared" si="28"/>
        <v>0.5117424680123992</v>
      </c>
      <c r="L113" s="739">
        <f>K113/$K$107</f>
        <v>0.75871993135076421</v>
      </c>
      <c r="M113" s="1103">
        <f>$L$70*L113</f>
        <v>0.75871993135076421</v>
      </c>
      <c r="N113" s="1102">
        <f>1-$L$70</f>
        <v>0</v>
      </c>
      <c r="O113" s="1104">
        <f>(SUM(M113:N113)-1)/1</f>
        <v>-0.24128006864923579</v>
      </c>
      <c r="P113" s="8" t="b">
        <f t="shared" si="29"/>
        <v>1</v>
      </c>
      <c r="Q113" s="8"/>
    </row>
    <row r="114" spans="3:17" x14ac:dyDescent="0.25">
      <c r="C114" s="1064">
        <v>15</v>
      </c>
      <c r="D114" s="964">
        <f t="shared" si="24"/>
        <v>0.5</v>
      </c>
      <c r="E114" s="679">
        <f t="shared" si="25"/>
        <v>0.58333333333333337</v>
      </c>
      <c r="F114" s="1130">
        <f t="shared" si="26"/>
        <v>9.0909090909091064E-2</v>
      </c>
      <c r="H114" s="462" t="s">
        <v>640</v>
      </c>
      <c r="I114" s="1122">
        <f t="shared" ref="I114:J114" si="31">I77</f>
        <v>1527.5900000000004</v>
      </c>
      <c r="J114" s="1123">
        <f t="shared" si="31"/>
        <v>-0.10155249398968882</v>
      </c>
      <c r="K114" s="1124">
        <f t="shared" si="28"/>
        <v>0.6059861157024794</v>
      </c>
      <c r="L114" s="739">
        <f>K114/$K$107</f>
        <v>0.89844750601031109</v>
      </c>
      <c r="M114" s="1103">
        <f>$L$70*L114</f>
        <v>0.89844750601031109</v>
      </c>
      <c r="N114" s="1102">
        <f>1-$L$70</f>
        <v>0</v>
      </c>
      <c r="O114" s="1104">
        <f>(SUM(M114:N114)-1)/1</f>
        <v>-0.10155249398968891</v>
      </c>
      <c r="P114" s="8" t="b">
        <f t="shared" si="29"/>
        <v>1</v>
      </c>
      <c r="Q114" s="8"/>
    </row>
    <row r="115" spans="3:17" x14ac:dyDescent="0.25">
      <c r="C115" s="1064">
        <v>15.5</v>
      </c>
      <c r="D115" s="964">
        <f t="shared" si="24"/>
        <v>1</v>
      </c>
      <c r="E115" s="679">
        <f t="shared" si="25"/>
        <v>0.625</v>
      </c>
      <c r="F115" s="1120">
        <f t="shared" si="26"/>
        <v>0.18181818181818188</v>
      </c>
      <c r="H115" s="1113"/>
      <c r="I115" s="7"/>
      <c r="J115" s="1114"/>
      <c r="K115" s="17"/>
      <c r="L115" s="8"/>
      <c r="M115" s="8"/>
      <c r="N115" s="8"/>
      <c r="O115" s="8"/>
      <c r="P115" s="8"/>
      <c r="Q115" s="8"/>
    </row>
    <row r="116" spans="3:17" x14ac:dyDescent="0.25">
      <c r="C116" s="1064">
        <v>16</v>
      </c>
      <c r="D116" s="964">
        <f t="shared" si="24"/>
        <v>1.5</v>
      </c>
      <c r="E116" s="679">
        <f t="shared" si="25"/>
        <v>0.66666666666666663</v>
      </c>
      <c r="F116" s="1120">
        <f t="shared" si="26"/>
        <v>0.27272727272727271</v>
      </c>
      <c r="H116" s="1113"/>
      <c r="I116" s="7"/>
      <c r="J116" s="1114"/>
      <c r="K116" s="17"/>
    </row>
    <row r="117" spans="3:17" x14ac:dyDescent="0.25">
      <c r="C117" s="1064">
        <v>16.5</v>
      </c>
      <c r="D117" s="964">
        <f t="shared" si="24"/>
        <v>2</v>
      </c>
      <c r="E117" s="679">
        <f t="shared" si="25"/>
        <v>0.70833333333333337</v>
      </c>
      <c r="F117" s="1120">
        <f t="shared" si="26"/>
        <v>0.36363636363636376</v>
      </c>
      <c r="H117" s="1118"/>
      <c r="I117" s="7"/>
      <c r="J117" s="1114"/>
      <c r="K117" s="17"/>
    </row>
    <row r="118" spans="3:17" x14ac:dyDescent="0.25">
      <c r="C118" s="1064">
        <v>17</v>
      </c>
      <c r="D118" s="964">
        <f t="shared" si="24"/>
        <v>2.5</v>
      </c>
      <c r="E118" s="679">
        <f t="shared" si="25"/>
        <v>0.75</v>
      </c>
      <c r="F118" s="1120">
        <f t="shared" si="26"/>
        <v>0.45454545454545459</v>
      </c>
      <c r="H118" s="1113"/>
      <c r="I118" s="7"/>
      <c r="J118" s="1114"/>
      <c r="K118" s="17"/>
    </row>
    <row r="119" spans="3:17" x14ac:dyDescent="0.25">
      <c r="C119" s="1064">
        <v>17.5</v>
      </c>
      <c r="D119" s="964">
        <f t="shared" si="24"/>
        <v>3</v>
      </c>
      <c r="E119" s="679">
        <f t="shared" si="25"/>
        <v>0.79166666666666663</v>
      </c>
      <c r="F119" s="1120">
        <f t="shared" si="26"/>
        <v>0.54545454545454541</v>
      </c>
      <c r="H119" s="1113"/>
      <c r="I119" s="7"/>
      <c r="J119" s="1114"/>
      <c r="K119" s="255"/>
    </row>
    <row r="120" spans="3:17" x14ac:dyDescent="0.25">
      <c r="C120" s="1064">
        <v>18</v>
      </c>
      <c r="D120" s="964">
        <f t="shared" si="24"/>
        <v>3.5</v>
      </c>
      <c r="E120" s="679">
        <f t="shared" si="25"/>
        <v>0.83333333333333337</v>
      </c>
      <c r="F120" s="1120">
        <f t="shared" si="26"/>
        <v>0.63636363636363646</v>
      </c>
    </row>
    <row r="121" spans="3:17" x14ac:dyDescent="0.25">
      <c r="C121" s="1064">
        <v>18.5</v>
      </c>
      <c r="D121" s="964">
        <f t="shared" si="24"/>
        <v>4</v>
      </c>
      <c r="E121" s="679">
        <f t="shared" si="25"/>
        <v>0.875</v>
      </c>
      <c r="F121" s="1120">
        <f t="shared" si="26"/>
        <v>0.72727272727272729</v>
      </c>
    </row>
    <row r="122" spans="3:17" x14ac:dyDescent="0.25">
      <c r="C122" s="1064">
        <v>19</v>
      </c>
      <c r="D122" s="964">
        <f t="shared" si="24"/>
        <v>4.5</v>
      </c>
      <c r="E122" s="679">
        <f t="shared" si="25"/>
        <v>0.91666666666666663</v>
      </c>
      <c r="F122" s="1120">
        <f t="shared" si="26"/>
        <v>0.81818181818181812</v>
      </c>
    </row>
    <row r="123" spans="3:17" x14ac:dyDescent="0.25">
      <c r="C123" s="1064">
        <v>19.5</v>
      </c>
      <c r="D123" s="964">
        <f t="shared" si="24"/>
        <v>5</v>
      </c>
      <c r="E123" s="679">
        <f t="shared" si="25"/>
        <v>0.95833333333333337</v>
      </c>
      <c r="F123" s="1119">
        <f t="shared" si="26"/>
        <v>0.90909090909090917</v>
      </c>
    </row>
    <row r="124" spans="3:17" x14ac:dyDescent="0.25">
      <c r="C124" s="1062">
        <v>20</v>
      </c>
      <c r="D124" s="1111">
        <f t="shared" si="24"/>
        <v>5.5</v>
      </c>
      <c r="E124" s="1112">
        <f t="shared" si="25"/>
        <v>1</v>
      </c>
      <c r="F124" s="1121">
        <f t="shared" si="26"/>
        <v>1</v>
      </c>
    </row>
    <row r="128" spans="3:17" ht="33.75" x14ac:dyDescent="0.5">
      <c r="C128" s="1096" t="s">
        <v>588</v>
      </c>
    </row>
    <row r="130" spans="3:3" x14ac:dyDescent="0.25">
      <c r="C130" s="33" t="s">
        <v>675</v>
      </c>
    </row>
    <row r="131" spans="3:3" x14ac:dyDescent="0.25">
      <c r="C131" s="1131" t="s">
        <v>676</v>
      </c>
    </row>
    <row r="133" spans="3:3" x14ac:dyDescent="0.25">
      <c r="C133" s="33" t="s">
        <v>677</v>
      </c>
    </row>
    <row r="134" spans="3:3" x14ac:dyDescent="0.25">
      <c r="C134" s="33" t="s">
        <v>678</v>
      </c>
    </row>
    <row r="135" spans="3:3" x14ac:dyDescent="0.25">
      <c r="C135" s="33" t="s">
        <v>679</v>
      </c>
    </row>
    <row r="137" spans="3:3" x14ac:dyDescent="0.25">
      <c r="C137" s="33" t="s">
        <v>680</v>
      </c>
    </row>
  </sheetData>
  <mergeCells count="15">
    <mergeCell ref="I109:J109"/>
    <mergeCell ref="K109:O109"/>
    <mergeCell ref="H102:J102"/>
    <mergeCell ref="I72:J72"/>
    <mergeCell ref="K72:O72"/>
    <mergeCell ref="C98:D98"/>
    <mergeCell ref="E98:F98"/>
    <mergeCell ref="B5:B11"/>
    <mergeCell ref="B13:B21"/>
    <mergeCell ref="C24:C27"/>
    <mergeCell ref="M24:M27"/>
    <mergeCell ref="C66:D66"/>
    <mergeCell ref="C56:D56"/>
    <mergeCell ref="E56:I56"/>
    <mergeCell ref="E66:F66"/>
  </mergeCells>
  <hyperlinks>
    <hyperlink ref="D9" r:id="rId1" xr:uid="{00000000-0004-0000-0800-000000000000}"/>
    <hyperlink ref="D10" r:id="rId2" xr:uid="{00000000-0004-0000-0800-000001000000}"/>
    <hyperlink ref="D11" r:id="rId3" xr:uid="{00000000-0004-0000-0800-000002000000}"/>
    <hyperlink ref="D19" r:id="rId4" xr:uid="{00000000-0004-0000-0800-000003000000}"/>
    <hyperlink ref="D20" r:id="rId5" xr:uid="{00000000-0004-0000-0800-000004000000}"/>
    <hyperlink ref="D21" r:id="rId6" xr:uid="{00000000-0004-0000-0800-000005000000}"/>
  </hyperlinks>
  <pageMargins left="0.7" right="0.7" top="0.75" bottom="0.75" header="0.3" footer="0.3"/>
  <pageSetup orientation="portrait" r:id="rId7"/>
  <drawing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B2:AP74"/>
  <sheetViews>
    <sheetView zoomScale="85" zoomScaleNormal="85" workbookViewId="0">
      <selection activeCell="K15" sqref="K15"/>
    </sheetView>
  </sheetViews>
  <sheetFormatPr defaultRowHeight="15" x14ac:dyDescent="0.25"/>
  <cols>
    <col min="2" max="2" width="28.140625" bestFit="1" customWidth="1"/>
    <col min="3" max="3" width="13.28515625" customWidth="1"/>
    <col min="4" max="4" width="12.140625" customWidth="1"/>
    <col min="5" max="16" width="11.42578125" style="33" customWidth="1"/>
    <col min="17" max="18" width="12" style="33" customWidth="1"/>
    <col min="19" max="19" width="0" hidden="1" customWidth="1"/>
    <col min="20" max="20" width="9.42578125" hidden="1" customWidth="1"/>
    <col min="21" max="21" width="12.7109375" hidden="1" customWidth="1"/>
    <col min="22" max="22" width="10.28515625" hidden="1" customWidth="1"/>
    <col min="23" max="23" width="10.7109375" hidden="1" customWidth="1"/>
    <col min="24" max="24" width="0" hidden="1" customWidth="1"/>
    <col min="25" max="25" width="9.42578125" hidden="1" customWidth="1"/>
    <col min="26" max="26" width="10.85546875" customWidth="1"/>
    <col min="27" max="27" width="12.28515625" customWidth="1"/>
    <col min="28" max="28" width="9.85546875" customWidth="1"/>
    <col min="29" max="29" width="10.85546875" customWidth="1"/>
    <col min="30" max="30" width="10.42578125" customWidth="1"/>
    <col min="31" max="31" width="10.5703125" customWidth="1"/>
    <col min="32" max="35" width="12.140625" customWidth="1"/>
    <col min="36" max="36" width="5" customWidth="1"/>
    <col min="37" max="40" width="11.85546875" customWidth="1"/>
  </cols>
  <sheetData>
    <row r="2" spans="2:34" ht="31.5" x14ac:dyDescent="0.5">
      <c r="B2" s="188" t="s">
        <v>545</v>
      </c>
      <c r="D2" s="141"/>
    </row>
    <row r="3" spans="2:34" ht="31.5" x14ac:dyDescent="0.5">
      <c r="B3" s="188"/>
      <c r="D3" s="141"/>
      <c r="K3" s="17"/>
      <c r="L3" s="17"/>
    </row>
    <row r="4" spans="2:34" ht="29.25" customHeight="1" x14ac:dyDescent="0.25">
      <c r="C4" s="1172" t="s">
        <v>163</v>
      </c>
      <c r="D4" s="152" t="s">
        <v>101</v>
      </c>
      <c r="E4" s="1199" t="s">
        <v>519</v>
      </c>
      <c r="F4" s="1199"/>
      <c r="G4" s="1199"/>
      <c r="H4" s="1199"/>
      <c r="I4" s="1199"/>
      <c r="J4" s="1200"/>
      <c r="K4" s="17"/>
      <c r="L4" s="17"/>
    </row>
    <row r="5" spans="2:34" x14ac:dyDescent="0.25">
      <c r="C5" s="1173"/>
      <c r="D5" s="17" t="s">
        <v>149</v>
      </c>
      <c r="E5" s="968">
        <v>0</v>
      </c>
      <c r="F5" s="7" t="s">
        <v>150</v>
      </c>
      <c r="G5" s="17"/>
      <c r="H5" s="17" t="s">
        <v>520</v>
      </c>
      <c r="I5" s="17"/>
      <c r="J5" s="241"/>
      <c r="K5" s="17"/>
      <c r="L5" s="17"/>
    </row>
    <row r="6" spans="2:34" x14ac:dyDescent="0.25">
      <c r="C6" s="1173"/>
      <c r="D6" s="17" t="s">
        <v>152</v>
      </c>
      <c r="E6" s="968">
        <v>50000</v>
      </c>
      <c r="F6" s="7" t="s">
        <v>151</v>
      </c>
      <c r="G6" s="17"/>
      <c r="H6" s="17" t="s">
        <v>521</v>
      </c>
      <c r="I6" s="17"/>
      <c r="J6" s="241"/>
      <c r="K6" s="17"/>
      <c r="L6" s="17"/>
    </row>
    <row r="7" spans="2:34" x14ac:dyDescent="0.25">
      <c r="C7" s="1174"/>
      <c r="D7" s="267" t="s">
        <v>153</v>
      </c>
      <c r="E7" s="129">
        <f>E6-E5</f>
        <v>50000</v>
      </c>
      <c r="F7" s="247" t="s">
        <v>154</v>
      </c>
      <c r="G7" s="259"/>
      <c r="H7" s="259"/>
      <c r="I7" s="259"/>
      <c r="J7" s="262"/>
      <c r="K7" s="17"/>
      <c r="L7" s="17"/>
    </row>
    <row r="8" spans="2:34" s="33" customFormat="1" x14ac:dyDescent="0.25">
      <c r="B8"/>
      <c r="C8" s="258"/>
      <c r="D8" s="142"/>
      <c r="E8" s="192"/>
      <c r="F8" s="8"/>
      <c r="G8" s="17"/>
      <c r="H8" s="17"/>
      <c r="I8" s="17"/>
      <c r="J8" s="17"/>
      <c r="K8" s="17"/>
      <c r="L8" s="17"/>
      <c r="S8"/>
      <c r="T8"/>
      <c r="U8"/>
      <c r="V8"/>
      <c r="W8"/>
      <c r="X8"/>
      <c r="Y8"/>
      <c r="Z8"/>
      <c r="AA8"/>
      <c r="AB8"/>
      <c r="AC8"/>
      <c r="AD8"/>
      <c r="AE8"/>
      <c r="AF8"/>
      <c r="AG8"/>
      <c r="AH8"/>
    </row>
    <row r="9" spans="2:34" s="33" customFormat="1" ht="30" customHeight="1" x14ac:dyDescent="0.25">
      <c r="B9"/>
      <c r="C9" s="1172" t="s">
        <v>167</v>
      </c>
      <c r="D9" s="1" t="s">
        <v>4</v>
      </c>
      <c r="E9" s="1199" t="s">
        <v>518</v>
      </c>
      <c r="F9" s="1199"/>
      <c r="G9" s="1199"/>
      <c r="H9" s="1199"/>
      <c r="I9" s="1199"/>
      <c r="J9" s="1200"/>
      <c r="K9" s="17"/>
      <c r="L9" s="17"/>
      <c r="S9"/>
      <c r="T9"/>
      <c r="U9"/>
      <c r="V9"/>
      <c r="W9"/>
      <c r="X9"/>
      <c r="Y9"/>
      <c r="Z9"/>
      <c r="AA9"/>
      <c r="AB9"/>
      <c r="AC9"/>
      <c r="AD9"/>
      <c r="AE9"/>
      <c r="AF9"/>
      <c r="AG9"/>
      <c r="AH9"/>
    </row>
    <row r="10" spans="2:34" s="33" customFormat="1" x14ac:dyDescent="0.25">
      <c r="B10"/>
      <c r="C10" s="1173"/>
      <c r="D10" s="292" t="s">
        <v>134</v>
      </c>
      <c r="E10" s="17" t="s">
        <v>3</v>
      </c>
      <c r="F10" s="7"/>
      <c r="G10" s="17"/>
      <c r="H10" s="191"/>
      <c r="I10" s="17"/>
      <c r="J10" s="241"/>
      <c r="K10" s="17"/>
      <c r="L10" s="17"/>
      <c r="S10"/>
      <c r="T10"/>
      <c r="U10"/>
      <c r="V10"/>
      <c r="W10"/>
      <c r="X10"/>
      <c r="Y10"/>
      <c r="Z10"/>
      <c r="AA10"/>
      <c r="AB10"/>
      <c r="AC10"/>
      <c r="AD10"/>
      <c r="AE10"/>
      <c r="AF10"/>
      <c r="AG10"/>
      <c r="AH10"/>
    </row>
    <row r="11" spans="2:34" s="33" customFormat="1" x14ac:dyDescent="0.25">
      <c r="B11"/>
      <c r="C11" s="1174"/>
      <c r="D11" s="290" t="s">
        <v>135</v>
      </c>
      <c r="E11" s="259" t="s">
        <v>2</v>
      </c>
      <c r="F11" s="247"/>
      <c r="G11" s="259"/>
      <c r="H11" s="274"/>
      <c r="I11" s="259"/>
      <c r="J11" s="262"/>
      <c r="K11" s="17"/>
      <c r="L11" s="17"/>
      <c r="S11"/>
      <c r="T11"/>
      <c r="U11"/>
      <c r="V11"/>
      <c r="W11"/>
      <c r="X11"/>
      <c r="Y11"/>
      <c r="Z11"/>
      <c r="AA11"/>
      <c r="AB11"/>
      <c r="AC11"/>
      <c r="AD11"/>
      <c r="AE11"/>
      <c r="AF11"/>
      <c r="AG11"/>
      <c r="AH11"/>
    </row>
    <row r="12" spans="2:34" s="33" customFormat="1" ht="15.75" thickBot="1" x14ac:dyDescent="0.3">
      <c r="B12"/>
      <c r="C12" s="258"/>
      <c r="D12" s="142"/>
      <c r="E12" s="192"/>
      <c r="F12" s="8"/>
      <c r="G12" s="17"/>
      <c r="H12" s="17"/>
      <c r="I12" s="17"/>
      <c r="J12" s="17"/>
      <c r="K12" s="17"/>
      <c r="L12" s="17"/>
      <c r="S12"/>
      <c r="T12"/>
      <c r="U12"/>
      <c r="V12"/>
      <c r="W12"/>
      <c r="X12"/>
      <c r="Y12"/>
      <c r="Z12"/>
      <c r="AA12"/>
      <c r="AB12"/>
      <c r="AC12"/>
      <c r="AD12"/>
      <c r="AE12"/>
      <c r="AF12"/>
      <c r="AG12"/>
      <c r="AH12"/>
    </row>
    <row r="13" spans="2:34" s="33" customFormat="1" x14ac:dyDescent="0.25">
      <c r="B13"/>
      <c r="C13" s="1175" t="s">
        <v>152</v>
      </c>
      <c r="D13" s="275" t="s">
        <v>164</v>
      </c>
      <c r="E13" s="276" t="s">
        <v>168</v>
      </c>
      <c r="F13" s="253" t="s">
        <v>166</v>
      </c>
      <c r="G13" s="253"/>
      <c r="H13" s="253"/>
      <c r="I13" s="251"/>
      <c r="S13"/>
      <c r="T13"/>
      <c r="U13"/>
      <c r="V13"/>
      <c r="W13"/>
      <c r="X13"/>
      <c r="Y13"/>
      <c r="Z13"/>
      <c r="AA13"/>
      <c r="AB13"/>
      <c r="AC13"/>
      <c r="AD13"/>
      <c r="AE13"/>
      <c r="AF13"/>
      <c r="AG13"/>
      <c r="AH13"/>
    </row>
    <row r="14" spans="2:34" x14ac:dyDescent="0.25">
      <c r="C14" s="1176"/>
      <c r="D14" s="17" t="s">
        <v>139</v>
      </c>
      <c r="E14" s="256">
        <v>4</v>
      </c>
      <c r="F14" s="17" t="s">
        <v>140</v>
      </c>
      <c r="G14" s="17"/>
      <c r="H14" s="17"/>
      <c r="I14" s="197"/>
    </row>
    <row r="15" spans="2:34" x14ac:dyDescent="0.25">
      <c r="C15" s="1176"/>
      <c r="D15" s="17" t="s">
        <v>5</v>
      </c>
      <c r="E15" s="968">
        <v>4</v>
      </c>
      <c r="F15" s="17" t="s">
        <v>143</v>
      </c>
      <c r="G15" s="17"/>
      <c r="H15" s="17"/>
      <c r="I15" s="197"/>
    </row>
    <row r="16" spans="2:34" x14ac:dyDescent="0.25">
      <c r="C16" s="1176"/>
      <c r="D16" s="142" t="s">
        <v>155</v>
      </c>
      <c r="E16" s="968">
        <v>1</v>
      </c>
      <c r="F16" s="142" t="s">
        <v>156</v>
      </c>
      <c r="G16" s="17"/>
      <c r="H16" s="17"/>
      <c r="I16" s="197"/>
    </row>
    <row r="17" spans="2:41" ht="15.75" thickBot="1" x14ac:dyDescent="0.3">
      <c r="C17" s="1177"/>
      <c r="D17" s="168" t="s">
        <v>141</v>
      </c>
      <c r="E17" s="277">
        <f>E15*E16*LN(E14)</f>
        <v>5.5451774444795623</v>
      </c>
      <c r="F17" s="168" t="s">
        <v>142</v>
      </c>
      <c r="G17" s="254"/>
      <c r="H17" s="254"/>
      <c r="I17" s="252"/>
      <c r="M17" s="33" t="s">
        <v>544</v>
      </c>
    </row>
    <row r="18" spans="2:41" x14ac:dyDescent="0.25">
      <c r="B18" s="7"/>
    </row>
    <row r="19" spans="2:41" s="7" customFormat="1" ht="15.75" thickBot="1" x14ac:dyDescent="0.3">
      <c r="C19"/>
      <c r="D19"/>
      <c r="E19" s="33"/>
      <c r="F19" s="33"/>
      <c r="G19" s="33"/>
      <c r="H19" s="33"/>
      <c r="I19" s="33"/>
      <c r="J19" s="33"/>
      <c r="K19" s="33"/>
      <c r="L19" s="33"/>
      <c r="M19" s="33"/>
      <c r="N19" s="33"/>
      <c r="O19" s="33"/>
      <c r="P19" s="33"/>
      <c r="Q19" s="33"/>
      <c r="R19" s="33"/>
      <c r="S19"/>
      <c r="T19"/>
      <c r="U19"/>
      <c r="V19"/>
      <c r="W19"/>
      <c r="X19"/>
      <c r="Y19"/>
      <c r="Z19"/>
      <c r="AB19"/>
      <c r="AC19" s="8"/>
      <c r="AD19" s="8"/>
    </row>
    <row r="20" spans="2:41" s="7" customFormat="1" ht="21" customHeight="1" thickBot="1" x14ac:dyDescent="0.35">
      <c r="B20" s="7" t="s">
        <v>549</v>
      </c>
      <c r="D20"/>
      <c r="E20" s="61" t="s">
        <v>12</v>
      </c>
      <c r="F20" s="62"/>
      <c r="G20" s="62"/>
      <c r="H20" s="63"/>
      <c r="I20" s="62" t="s">
        <v>13</v>
      </c>
      <c r="J20" s="62"/>
      <c r="K20" s="62"/>
      <c r="L20" s="62"/>
      <c r="M20" s="1242" t="s">
        <v>528</v>
      </c>
      <c r="N20" s="1243"/>
      <c r="O20" s="979"/>
      <c r="P20" s="61" t="s">
        <v>36</v>
      </c>
      <c r="Q20" s="63" t="s">
        <v>35</v>
      </c>
      <c r="R20" s="195"/>
      <c r="S20" s="1178" t="s">
        <v>98</v>
      </c>
      <c r="T20" s="1179"/>
      <c r="U20" s="185" t="s">
        <v>99</v>
      </c>
      <c r="W20" s="7" t="s">
        <v>100</v>
      </c>
      <c r="X20" s="20"/>
      <c r="Y20" s="186" t="s">
        <v>100</v>
      </c>
      <c r="Z20" s="1244" t="s">
        <v>532</v>
      </c>
      <c r="AB20" s="20"/>
    </row>
    <row r="21" spans="2:41" s="7" customFormat="1" ht="16.5" customHeight="1" thickTop="1" thickBot="1" x14ac:dyDescent="0.3">
      <c r="B21" s="1024">
        <f>(AF32-0)^2 + (AK32-AC47)^2</f>
        <v>0</v>
      </c>
      <c r="C21" s="32"/>
      <c r="D21" s="117" t="s">
        <v>45</v>
      </c>
      <c r="E21" s="174" t="str">
        <f>"i="&amp;$E$5&amp;", 0"</f>
        <v>i=0, 0</v>
      </c>
      <c r="F21" s="178" t="str">
        <f>"i="&amp;$E$5&amp;", 1"</f>
        <v>i=0, 1</v>
      </c>
      <c r="G21" s="175" t="str">
        <f>"i="&amp;$E$6&amp;", 0"</f>
        <v>i=50000, 0</v>
      </c>
      <c r="H21" s="179" t="str">
        <f>"i="&amp;$E$6&amp;", 1"</f>
        <v>i=50000, 1</v>
      </c>
      <c r="I21" s="176" t="str">
        <f>"i="&amp;$E$5&amp;", 0"</f>
        <v>i=0, 0</v>
      </c>
      <c r="J21" s="178" t="str">
        <f>"i="&amp;$E$5&amp;", 1"</f>
        <v>i=0, 1</v>
      </c>
      <c r="K21" s="175" t="str">
        <f>"i="&amp;$E$6&amp;", 0"</f>
        <v>i=50000, 0</v>
      </c>
      <c r="L21" s="238" t="str">
        <f>"i="&amp;$E$6&amp;", 1"</f>
        <v>i=50000, 1</v>
      </c>
      <c r="M21" s="976" t="s">
        <v>529</v>
      </c>
      <c r="N21" s="977" t="s">
        <v>530</v>
      </c>
      <c r="O21" s="980" t="s">
        <v>534</v>
      </c>
      <c r="P21" s="296">
        <v>0</v>
      </c>
      <c r="Q21" s="43"/>
      <c r="R21" s="142"/>
      <c r="S21" s="182" t="str">
        <f>E21</f>
        <v>i=0, 0</v>
      </c>
      <c r="T21" s="183" t="str">
        <f>H21</f>
        <v>i=50000, 1</v>
      </c>
      <c r="Y21"/>
      <c r="Z21" s="1245"/>
      <c r="AA21" s="1010" t="s">
        <v>535</v>
      </c>
      <c r="AF21" s="1240" t="s">
        <v>522</v>
      </c>
      <c r="AG21" s="1246"/>
      <c r="AH21" s="1246"/>
      <c r="AI21" s="1246"/>
      <c r="AJ21" s="1246"/>
      <c r="AK21" s="1246"/>
      <c r="AL21" s="1246"/>
      <c r="AM21" s="1246"/>
      <c r="AN21" s="1241"/>
    </row>
    <row r="22" spans="2:41" s="7" customFormat="1" ht="18" customHeight="1" thickTop="1" thickBot="1" x14ac:dyDescent="0.3">
      <c r="D22" s="25">
        <v>1</v>
      </c>
      <c r="E22" s="217">
        <v>0</v>
      </c>
      <c r="F22" s="216">
        <v>0</v>
      </c>
      <c r="G22" s="215">
        <v>0</v>
      </c>
      <c r="H22" s="214">
        <v>0</v>
      </c>
      <c r="I22" s="213">
        <f t="shared" ref="I22:L46" si="0">EXP(E22/$E$15)/(EXP($E22/$E$15)+EXP($F22/$E$15)+EXP($G22/$E$15)+EXP($H22/$E$15))</f>
        <v>0.25</v>
      </c>
      <c r="J22" s="212">
        <f t="shared" si="0"/>
        <v>0.25</v>
      </c>
      <c r="K22" s="211">
        <f t="shared" si="0"/>
        <v>0.25</v>
      </c>
      <c r="L22" s="210">
        <f t="shared" si="0"/>
        <v>0.25</v>
      </c>
      <c r="M22" s="985">
        <f>IF( ROUND(K22,3) = 0, 0, (   K22/SUM(K22,I22) * $E$6 )   )</f>
        <v>25000</v>
      </c>
      <c r="N22" s="986">
        <f t="shared" ref="N22:N47" si="1">IF( ROUND(L22,3) = 0, 0, (   L22/SUM(L22,J22) * $E$6 )   )</f>
        <v>25000</v>
      </c>
      <c r="O22" s="981">
        <f>SUM(J22,L22)</f>
        <v>0.5</v>
      </c>
      <c r="P22" s="340">
        <f>$E$15*$E$16*LN(EXP($E22/$E$15) + EXP($F22/$E$15) + EXP($G22/$E$15) +EXP($H22/$E$15) )</f>
        <v>5.5451774444795623</v>
      </c>
      <c r="Q22" s="46">
        <f>(P22-P21)</f>
        <v>5.5451774444795623</v>
      </c>
      <c r="R22" s="1007"/>
      <c r="S22" s="116"/>
      <c r="T22" s="102"/>
      <c r="Y22"/>
      <c r="Z22" s="993">
        <f t="shared" ref="Z22:Z47" si="2">(1-O22)*M22 + O22*N22</f>
        <v>25000</v>
      </c>
      <c r="AA22" s="1008">
        <f>Z22/$E$6</f>
        <v>0.5</v>
      </c>
      <c r="AB22" s="1198" t="s">
        <v>523</v>
      </c>
      <c r="AC22" s="1200"/>
    </row>
    <row r="23" spans="2:41" s="7" customFormat="1" ht="16.5" customHeight="1" thickBot="1" x14ac:dyDescent="0.35">
      <c r="B23" s="7" t="s">
        <v>546</v>
      </c>
      <c r="C23" s="7" t="s">
        <v>547</v>
      </c>
      <c r="D23" s="25">
        <v>2</v>
      </c>
      <c r="E23" s="235">
        <v>0.9</v>
      </c>
      <c r="F23" s="234">
        <v>5</v>
      </c>
      <c r="G23" s="233">
        <v>1.8</v>
      </c>
      <c r="H23" s="232">
        <v>5.9</v>
      </c>
      <c r="I23" s="231">
        <f t="shared" si="0"/>
        <v>0.11723657723405832</v>
      </c>
      <c r="J23" s="230">
        <f t="shared" si="0"/>
        <v>0.32674953222132169</v>
      </c>
      <c r="K23" s="229">
        <f t="shared" si="0"/>
        <v>0.14681802883879322</v>
      </c>
      <c r="L23" s="228">
        <f t="shared" si="0"/>
        <v>0.40919586170582672</v>
      </c>
      <c r="M23" s="987">
        <f>IF( ROUND(K23,3) = 0, 0, (   K23/SUM(K23,I23) * $E$6 )   )</f>
        <v>27800.694527231</v>
      </c>
      <c r="N23" s="988">
        <f>IF( ROUND(L23,3) = 0, 0, (   L23/SUM(L23,J23) * $E$6 )   )</f>
        <v>27800.694527230997</v>
      </c>
      <c r="O23" s="982">
        <f>SUM(J23,L23)</f>
        <v>0.73594539392714842</v>
      </c>
      <c r="P23" s="341">
        <f>$E$15*LN(EXP($E23/$E$15) + EXP($F23/$E$15) + EXP($G23/$E$15) +EXP($H23/$E$15) )</f>
        <v>9.4742454323566783</v>
      </c>
      <c r="Q23" s="49">
        <f>(P23-P22)</f>
        <v>3.929067987877116</v>
      </c>
      <c r="R23" s="1007"/>
      <c r="S23" s="116">
        <f>E23-E22</f>
        <v>0.9</v>
      </c>
      <c r="T23" s="102">
        <f>H23-H22</f>
        <v>5.9</v>
      </c>
      <c r="U23" s="184">
        <f t="shared" ref="U23:U46" si="3">Q23</f>
        <v>3.929067987877116</v>
      </c>
      <c r="W23" s="7" t="str">
        <f t="shared" ref="W23:W46" si="4">IF(S23&gt;0,"Bought ",IF(S23&lt;0,"Sold ",""))&amp;IF(S23&lt;0,S23*-1,IF(S23&gt;0,S23,""))&amp;IF(S23&lt;&gt;0," Shares of State 1 at a cost of "&amp;ROUND($U23,5),"")</f>
        <v>Bought 0.9 Shares of State 1 at a cost of 3.92907</v>
      </c>
      <c r="X23" s="7" t="str">
        <f t="shared" ref="X23:X46" si="5">IF(T23&gt;0,"Bought ",IF(T23&lt;0,"Sold ",""))&amp;IF(T23&lt;0,T23*-1,IF(T23&gt;0,T23,""))&amp;IF(T23&lt;&gt;0," Shares of State 2 at a cost of "&amp;ROUND($U23,5),"")</f>
        <v>Bought 5.9 Shares of State 2 at a cost of 3.92907</v>
      </c>
      <c r="Y23" s="187" t="str">
        <f t="shared" ref="Y23:Y46" si="6">W23&amp;X23</f>
        <v>Bought 0.9 Shares of State 1 at a cost of 3.92907Bought 5.9 Shares of State 2 at a cost of 3.92907</v>
      </c>
      <c r="Z23" s="1017">
        <f t="shared" si="2"/>
        <v>27800.694527230997</v>
      </c>
      <c r="AA23" s="1008">
        <f t="shared" ref="AA23:AA47" si="7">Z23/$E$6</f>
        <v>0.55601389054461992</v>
      </c>
      <c r="AB23" s="1203"/>
      <c r="AC23" s="1205"/>
      <c r="AF23" s="1247" t="s">
        <v>524</v>
      </c>
      <c r="AG23" s="1247"/>
      <c r="AH23" s="1247"/>
      <c r="AI23" s="1247"/>
      <c r="AK23" s="1247" t="s">
        <v>525</v>
      </c>
      <c r="AL23" s="1247"/>
      <c r="AM23" s="1247"/>
      <c r="AN23" s="1247"/>
    </row>
    <row r="24" spans="2:41" s="7" customFormat="1" ht="19.5" thickBot="1" x14ac:dyDescent="0.35">
      <c r="B24" s="1001">
        <v>1</v>
      </c>
      <c r="C24" s="1002">
        <f>(I23+K23)/K23</f>
        <v>1.7985162187593768</v>
      </c>
      <c r="D24" s="994">
        <v>3</v>
      </c>
      <c r="E24" s="995">
        <f>E23+$B$24</f>
        <v>1.9</v>
      </c>
      <c r="F24" s="996">
        <f>F23</f>
        <v>5</v>
      </c>
      <c r="G24" s="997">
        <f>G23+$B$24</f>
        <v>2.8</v>
      </c>
      <c r="H24" s="998">
        <f>H23+$C$24</f>
        <v>7.6985162187593774</v>
      </c>
      <c r="I24" s="231">
        <f>EXP(E24/$E$15)/(EXP($E24/$E$15)+EXP($F24/$E$15)+EXP($G24/$E$15)+EXP($H24/$E$15))</f>
        <v>0.11514836279408856</v>
      </c>
      <c r="J24" s="230">
        <f t="shared" si="0"/>
        <v>0.24994012973891144</v>
      </c>
      <c r="K24" s="229">
        <f t="shared" si="0"/>
        <v>0.1442029104593392</v>
      </c>
      <c r="L24" s="228">
        <f t="shared" si="0"/>
        <v>0.49070859700766073</v>
      </c>
      <c r="M24" s="987">
        <f t="shared" ref="M24:M47" si="8">IF( ROUND(K24,3) = 0, 0, (   K24/SUM(K24,I24) * $E$6 )   )</f>
        <v>27800.694527230997</v>
      </c>
      <c r="N24" s="988">
        <f t="shared" si="1"/>
        <v>33126.945290460644</v>
      </c>
      <c r="O24" s="982">
        <f t="shared" ref="O24:O47" si="9">SUM(J24,L24)</f>
        <v>0.74064872674657223</v>
      </c>
      <c r="P24" s="341">
        <f t="shared" ref="P24:P47" si="10">$E$15*LN(EXP($E24/$E$15) + EXP($F24/$E$15) + EXP($G24/$E$15) +EXP($H24/$E$15) )</f>
        <v>10.546135483377636</v>
      </c>
      <c r="Q24" s="1003">
        <f>(P24-P23)</f>
        <v>1.0718900510209579</v>
      </c>
      <c r="R24" s="1011"/>
      <c r="S24" s="832">
        <f>E24-E23</f>
        <v>0.99999999999999989</v>
      </c>
      <c r="T24" s="955">
        <f>H24-H23</f>
        <v>1.7985162187593771</v>
      </c>
      <c r="U24" s="1012">
        <f t="shared" si="3"/>
        <v>1.0718900510209579</v>
      </c>
      <c r="V24" s="247"/>
      <c r="W24" s="247" t="str">
        <f t="shared" si="4"/>
        <v>Bought 1 Shares of State 1 at a cost of 1.07189</v>
      </c>
      <c r="X24" s="247" t="str">
        <f t="shared" si="5"/>
        <v>Bought 1.79851621875938 Shares of State 2 at a cost of 1.07189</v>
      </c>
      <c r="Y24" s="1013" t="str">
        <f t="shared" si="6"/>
        <v>Bought 1 Shares of State 1 at a cost of 1.07189Bought 1.79851621875938 Shares of State 2 at a cost of 1.07189</v>
      </c>
      <c r="Z24" s="1014">
        <f t="shared" si="2"/>
        <v>31745.575373349991</v>
      </c>
      <c r="AA24" s="1015">
        <f t="shared" si="7"/>
        <v>0.63491150746699987</v>
      </c>
      <c r="AB24" s="1004">
        <f>Q24</f>
        <v>1.0718900510209579</v>
      </c>
      <c r="AC24" s="7" t="s">
        <v>538</v>
      </c>
      <c r="AF24" s="1"/>
      <c r="AG24" s="152" t="s">
        <v>174</v>
      </c>
      <c r="AH24" s="289" t="s">
        <v>154</v>
      </c>
      <c r="AI24" s="239" t="s">
        <v>171</v>
      </c>
      <c r="AJ24" s="142"/>
      <c r="AK24" s="1"/>
      <c r="AL24" s="152" t="s">
        <v>174</v>
      </c>
      <c r="AM24" s="289" t="s">
        <v>154</v>
      </c>
      <c r="AN24" s="239" t="s">
        <v>171</v>
      </c>
    </row>
    <row r="25" spans="2:41" s="7" customFormat="1" ht="18.75" x14ac:dyDescent="0.3">
      <c r="C25" s="1023"/>
      <c r="D25" s="25">
        <v>4</v>
      </c>
      <c r="E25" s="235">
        <v>26.3</v>
      </c>
      <c r="F25" s="234">
        <v>25.1</v>
      </c>
      <c r="G25" s="233">
        <v>3.6</v>
      </c>
      <c r="H25" s="232">
        <v>17</v>
      </c>
      <c r="I25" s="231">
        <f t="shared" si="0"/>
        <v>0.54287863557001981</v>
      </c>
      <c r="J25" s="230">
        <f t="shared" si="0"/>
        <v>0.4021743848491009</v>
      </c>
      <c r="K25" s="229">
        <f t="shared" si="0"/>
        <v>1.8624368929449102E-3</v>
      </c>
      <c r="L25" s="228">
        <f t="shared" si="0"/>
        <v>5.3084542687934284E-2</v>
      </c>
      <c r="M25" s="987">
        <f t="shared" si="8"/>
        <v>170.94698629242166</v>
      </c>
      <c r="N25" s="988">
        <f t="shared" si="1"/>
        <v>5830.1484580569668</v>
      </c>
      <c r="O25" s="982">
        <f t="shared" si="9"/>
        <v>0.45525892753703517</v>
      </c>
      <c r="P25" s="341">
        <f t="shared" si="10"/>
        <v>28.743477965068799</v>
      </c>
      <c r="Q25" s="49">
        <f>(P25-P24)</f>
        <v>18.197342481691162</v>
      </c>
      <c r="R25" s="1007"/>
      <c r="S25" s="116">
        <f>E25-E24</f>
        <v>24.400000000000002</v>
      </c>
      <c r="T25" s="102">
        <f>H25-H24</f>
        <v>9.3014837812406235</v>
      </c>
      <c r="U25" s="184">
        <f t="shared" si="3"/>
        <v>18.197342481691162</v>
      </c>
      <c r="W25" s="7" t="str">
        <f t="shared" si="4"/>
        <v>Bought 24.4 Shares of State 1 at a cost of 18.19734</v>
      </c>
      <c r="X25" s="7" t="str">
        <f t="shared" si="5"/>
        <v>Bought 9.30148378124062 Shares of State 2 at a cost of 18.19734</v>
      </c>
      <c r="Y25" s="187" t="str">
        <f t="shared" si="6"/>
        <v>Bought 24.4 Shares of State 1 at a cost of 18.19734Bought 9.30148378124062 Shares of State 2 at a cost of 18.19734</v>
      </c>
      <c r="Z25" s="993">
        <f t="shared" si="2"/>
        <v>2747.3489790439594</v>
      </c>
      <c r="AA25" s="1008">
        <f t="shared" si="7"/>
        <v>5.4946979580879185E-2</v>
      </c>
      <c r="AB25" s="1016"/>
      <c r="AF25" s="5" t="s">
        <v>172</v>
      </c>
      <c r="AG25" s="466">
        <f>D50</f>
        <v>9000</v>
      </c>
      <c r="AH25" s="510">
        <f>($AG$25-$E$5)/($E$6-$E$5)</f>
        <v>0.18</v>
      </c>
      <c r="AI25" s="511">
        <f>1-AH25</f>
        <v>0.82000000000000006</v>
      </c>
      <c r="AK25" s="5" t="s">
        <v>172</v>
      </c>
      <c r="AL25" s="466">
        <f>AG25</f>
        <v>9000</v>
      </c>
      <c r="AM25" s="510">
        <f>($D$50-$E$5)/($E$6-$E$5)</f>
        <v>0.18</v>
      </c>
      <c r="AN25" s="511">
        <f>1-AM25</f>
        <v>0.82000000000000006</v>
      </c>
      <c r="AO25" s="33"/>
    </row>
    <row r="26" spans="2:41" s="7" customFormat="1" ht="19.5" thickBot="1" x14ac:dyDescent="0.35">
      <c r="C26" s="21"/>
      <c r="D26" s="25">
        <v>5</v>
      </c>
      <c r="E26" s="235">
        <v>28.19</v>
      </c>
      <c r="F26" s="234">
        <v>25.32</v>
      </c>
      <c r="G26" s="233">
        <v>3.98</v>
      </c>
      <c r="H26" s="232">
        <v>18.96</v>
      </c>
      <c r="I26" s="231">
        <f t="shared" si="0"/>
        <v>0.62899713969299331</v>
      </c>
      <c r="J26" s="230">
        <f t="shared" si="0"/>
        <v>0.30693214874563624</v>
      </c>
      <c r="K26" s="229">
        <f t="shared" si="0"/>
        <v>1.4793853675200887E-3</v>
      </c>
      <c r="L26" s="228">
        <f t="shared" si="0"/>
        <v>6.2591326193850466E-2</v>
      </c>
      <c r="M26" s="987">
        <f t="shared" si="8"/>
        <v>117.32279543461961</v>
      </c>
      <c r="N26" s="988">
        <f t="shared" si="1"/>
        <v>8469.194846700937</v>
      </c>
      <c r="O26" s="982">
        <f t="shared" si="9"/>
        <v>0.36952347493948667</v>
      </c>
      <c r="P26" s="341">
        <f t="shared" si="10"/>
        <v>30.044514278719856</v>
      </c>
      <c r="Q26" s="49">
        <f t="shared" ref="Q26:Q46" si="11">(P26-P25)</f>
        <v>1.301036313651057</v>
      </c>
      <c r="R26" s="1007"/>
      <c r="S26" s="116">
        <f>E26-E25</f>
        <v>1.8900000000000006</v>
      </c>
      <c r="T26" s="102">
        <f>H26-H25</f>
        <v>1.9600000000000009</v>
      </c>
      <c r="U26" s="184">
        <f t="shared" si="3"/>
        <v>1.301036313651057</v>
      </c>
      <c r="W26" s="7" t="str">
        <f t="shared" si="4"/>
        <v>Bought 1.89 Shares of State 1 at a cost of 1.30104</v>
      </c>
      <c r="X26" s="7" t="str">
        <f t="shared" si="5"/>
        <v>Bought 1.96 Shares of State 2 at a cost of 1.30104</v>
      </c>
      <c r="Y26" s="187" t="str">
        <f t="shared" si="6"/>
        <v>Bought 1.89 Shares of State 1 at a cost of 1.30104Bought 1.96 Shares of State 2 at a cost of 1.30104</v>
      </c>
      <c r="Z26" s="993">
        <f t="shared" si="2"/>
        <v>3203.5355780685277</v>
      </c>
      <c r="AA26" s="1008">
        <f t="shared" si="7"/>
        <v>6.407071156137055E-2</v>
      </c>
      <c r="AB26" s="1240" t="s">
        <v>526</v>
      </c>
      <c r="AC26" s="1241"/>
      <c r="AF26" s="290" t="s">
        <v>173</v>
      </c>
      <c r="AG26" s="467">
        <v>0</v>
      </c>
      <c r="AH26" s="969">
        <f>AG26</f>
        <v>0</v>
      </c>
      <c r="AI26" s="971">
        <f>1-AH26</f>
        <v>1</v>
      </c>
      <c r="AJ26" s="17"/>
      <c r="AK26" s="290" t="s">
        <v>173</v>
      </c>
      <c r="AL26" s="467">
        <v>1</v>
      </c>
      <c r="AM26" s="969">
        <f>AL26</f>
        <v>1</v>
      </c>
      <c r="AN26" s="971">
        <f>1-AM26</f>
        <v>0</v>
      </c>
      <c r="AO26" s="33"/>
    </row>
    <row r="27" spans="2:41" s="7" customFormat="1" ht="18.75" x14ac:dyDescent="0.3">
      <c r="C27" s="21" t="s">
        <v>543</v>
      </c>
      <c r="D27" s="25">
        <v>6</v>
      </c>
      <c r="E27" s="235">
        <f ca="1">E26+RAND()</f>
        <v>28.452986756061744</v>
      </c>
      <c r="F27" s="234">
        <f t="shared" ref="F27:F42" ca="1" si="12">F26+RAND()</f>
        <v>25.687510323545407</v>
      </c>
      <c r="G27" s="233">
        <f t="shared" ref="G27:G42" ca="1" si="13">G26+RAND()</f>
        <v>3.9929187730725269</v>
      </c>
      <c r="H27" s="232">
        <f t="shared" ref="H27:H42" ca="1" si="14">H26+RAND()</f>
        <v>19.251995270841007</v>
      </c>
      <c r="I27" s="231">
        <f t="shared" ca="1" si="0"/>
        <v>0.62370065191643076</v>
      </c>
      <c r="J27" s="230">
        <f t="shared" ca="1" si="0"/>
        <v>0.31240531168154623</v>
      </c>
      <c r="K27" s="229">
        <f t="shared" ca="1" si="0"/>
        <v>1.3780280569625038E-3</v>
      </c>
      <c r="L27" s="228">
        <f t="shared" ca="1" si="0"/>
        <v>6.2516008345060617E-2</v>
      </c>
      <c r="M27" s="987">
        <f t="shared" ca="1" si="8"/>
        <v>110.22836813288531</v>
      </c>
      <c r="N27" s="988">
        <f t="shared" ca="1" si="1"/>
        <v>8337.2170380473544</v>
      </c>
      <c r="O27" s="982">
        <f t="shared" ca="1" si="9"/>
        <v>0.37492132002660683</v>
      </c>
      <c r="P27" s="341">
        <f t="shared" ca="1" si="10"/>
        <v>30.341325756902613</v>
      </c>
      <c r="Q27" s="49">
        <f t="shared" ca="1" si="11"/>
        <v>0.29681147818275733</v>
      </c>
      <c r="R27" s="1007"/>
      <c r="S27" s="116">
        <f ca="1">E27-E24</f>
        <v>26.552986756061745</v>
      </c>
      <c r="T27" s="102">
        <f ca="1">H27-H24</f>
        <v>11.553479052081631</v>
      </c>
      <c r="U27" s="184">
        <f t="shared" ca="1" si="3"/>
        <v>0.29681147818275733</v>
      </c>
      <c r="W27" s="7" t="str">
        <f t="shared" ca="1" si="4"/>
        <v>Bought 26.5529867560617 Shares of State 1 at a cost of 0.29681</v>
      </c>
      <c r="X27" s="7" t="str">
        <f t="shared" ca="1" si="5"/>
        <v>Bought 11.5534790520816 Shares of State 2 at a cost of 0.29681</v>
      </c>
      <c r="Y27" s="187" t="str">
        <f t="shared" ca="1" si="6"/>
        <v>Bought 26.5529867560617 Shares of State 1 at a cost of 0.29681Bought 11.5534790520816 Shares of State 2 at a cost of 0.29681</v>
      </c>
      <c r="Z27" s="993">
        <f t="shared" ca="1" si="2"/>
        <v>3194.7018201011565</v>
      </c>
      <c r="AA27" s="1008">
        <f t="shared" ca="1" si="7"/>
        <v>6.3894036402023124E-2</v>
      </c>
      <c r="AB27" s="1005">
        <f>SUMPRODUCT(AF29:AI29,I23:L23)</f>
        <v>0.99999999999999989</v>
      </c>
      <c r="AC27" s="7" t="s">
        <v>539</v>
      </c>
    </row>
    <row r="28" spans="2:41" s="7" customFormat="1" ht="18.75" x14ac:dyDescent="0.3">
      <c r="C28" s="21" t="s">
        <v>543</v>
      </c>
      <c r="D28" s="25">
        <v>7</v>
      </c>
      <c r="E28" s="235">
        <f t="shared" ref="E28:E42" ca="1" si="15">E27+RAND()</f>
        <v>28.881379716573193</v>
      </c>
      <c r="F28" s="234">
        <f t="shared" ca="1" si="12"/>
        <v>26.299487424173531</v>
      </c>
      <c r="G28" s="233">
        <f t="shared" ca="1" si="13"/>
        <v>4.1436551027343782</v>
      </c>
      <c r="H28" s="232">
        <f t="shared" ca="1" si="14"/>
        <v>19.302723281639278</v>
      </c>
      <c r="I28" s="231">
        <f t="shared" ca="1" si="0"/>
        <v>0.61816962016206523</v>
      </c>
      <c r="J28" s="230">
        <f t="shared" ca="1" si="0"/>
        <v>0.32417704864513797</v>
      </c>
      <c r="K28" s="229">
        <f t="shared" ca="1" si="0"/>
        <v>1.2742168219980353E-3</v>
      </c>
      <c r="L28" s="228">
        <f t="shared" ca="1" si="0"/>
        <v>5.6379114370798858E-2</v>
      </c>
      <c r="M28" s="987">
        <f t="shared" ca="1" si="8"/>
        <v>102.85168290655039</v>
      </c>
      <c r="N28" s="988">
        <f t="shared" ca="1" si="1"/>
        <v>7407.4630566997066</v>
      </c>
      <c r="O28" s="982">
        <f t="shared" ca="1" si="9"/>
        <v>0.38055616301593681</v>
      </c>
      <c r="P28" s="341">
        <f t="shared" ca="1" si="10"/>
        <v>30.80534928818026</v>
      </c>
      <c r="Q28" s="49">
        <f t="shared" ca="1" si="11"/>
        <v>0.46402353127764684</v>
      </c>
      <c r="R28" s="1007"/>
      <c r="S28" s="116">
        <f ca="1">E28-E23</f>
        <v>27.981379716573194</v>
      </c>
      <c r="T28" s="102">
        <f ca="1">H28-H23</f>
        <v>13.402723281639277</v>
      </c>
      <c r="U28" s="184">
        <f t="shared" ca="1" si="3"/>
        <v>0.46402353127764684</v>
      </c>
      <c r="W28" s="7" t="str">
        <f t="shared" ca="1" si="4"/>
        <v>Bought 27.9813797165732 Shares of State 1 at a cost of 0.46402</v>
      </c>
      <c r="X28" s="7" t="str">
        <f t="shared" ca="1" si="5"/>
        <v>Bought 13.4027232816393 Shares of State 2 at a cost of 0.46402</v>
      </c>
      <c r="Y28" s="187" t="str">
        <f t="shared" ca="1" si="6"/>
        <v>Bought 27.9813797165732 Shares of State 1 at a cost of 0.46402Bought 13.4027232816393 Shares of State 2 at a cost of 0.46402</v>
      </c>
      <c r="Z28" s="993">
        <f t="shared" ca="1" si="2"/>
        <v>2882.6665596398448</v>
      </c>
      <c r="AA28" s="1008">
        <f t="shared" ca="1" si="7"/>
        <v>5.7653331192796899E-2</v>
      </c>
      <c r="AF28" s="468">
        <f>AI25*AI26</f>
        <v>0.82000000000000006</v>
      </c>
      <c r="AG28" s="468">
        <f>AI25*AH26</f>
        <v>0</v>
      </c>
      <c r="AH28" s="468">
        <f>AH25*AI26</f>
        <v>0.18</v>
      </c>
      <c r="AI28" s="468">
        <f>AH25*AH26</f>
        <v>0</v>
      </c>
      <c r="AJ28" s="17"/>
      <c r="AK28" s="468">
        <f>AN25*AN26</f>
        <v>0</v>
      </c>
      <c r="AL28" s="468">
        <f>AN25*AM26</f>
        <v>0.82000000000000006</v>
      </c>
      <c r="AM28" s="468">
        <f>AM25*AN26</f>
        <v>0</v>
      </c>
      <c r="AN28" s="468">
        <f>AM25*AM26</f>
        <v>0.18</v>
      </c>
      <c r="AO28" s="33"/>
    </row>
    <row r="29" spans="2:41" s="7" customFormat="1" ht="18.75" x14ac:dyDescent="0.3">
      <c r="C29" s="21" t="s">
        <v>543</v>
      </c>
      <c r="D29" s="25">
        <v>6</v>
      </c>
      <c r="E29" s="235">
        <f t="shared" ca="1" si="15"/>
        <v>29.459621068448726</v>
      </c>
      <c r="F29" s="234">
        <f t="shared" ca="1" si="12"/>
        <v>26.806361012740219</v>
      </c>
      <c r="G29" s="233">
        <f t="shared" ca="1" si="13"/>
        <v>4.2383355527428632</v>
      </c>
      <c r="H29" s="232">
        <f t="shared" ca="1" si="14"/>
        <v>20.138853600883262</v>
      </c>
      <c r="I29" s="231">
        <f t="shared" ca="1" si="0"/>
        <v>0.61948486485395127</v>
      </c>
      <c r="J29" s="230">
        <f t="shared" ca="1" si="0"/>
        <v>0.3191219300493352</v>
      </c>
      <c r="K29" s="229">
        <f t="shared" ca="1" si="0"/>
        <v>1.1315256904609347E-3</v>
      </c>
      <c r="L29" s="228">
        <f t="shared" ca="1" si="0"/>
        <v>6.0261679406252606E-2</v>
      </c>
      <c r="M29" s="987">
        <f t="shared" ca="1" si="8"/>
        <v>91.161441085075651</v>
      </c>
      <c r="N29" s="988">
        <f t="shared" ca="1" si="1"/>
        <v>7942.0509880128438</v>
      </c>
      <c r="O29" s="982">
        <f t="shared" ca="1" si="9"/>
        <v>0.3793836094555878</v>
      </c>
      <c r="P29" s="341">
        <f t="shared" ca="1" si="10"/>
        <v>31.375089106208229</v>
      </c>
      <c r="Q29" s="49">
        <f t="shared" ca="1" si="11"/>
        <v>0.56973981802796914</v>
      </c>
      <c r="R29" s="1007"/>
      <c r="S29" s="116">
        <f ca="1">E29-E24</f>
        <v>27.559621068448727</v>
      </c>
      <c r="T29" s="102">
        <f ca="1">H29-H24</f>
        <v>12.440337382123886</v>
      </c>
      <c r="U29" s="184">
        <f t="shared" ca="1" si="3"/>
        <v>0.56973981802796914</v>
      </c>
      <c r="W29" s="7" t="str">
        <f t="shared" ca="1" si="4"/>
        <v>Bought 27.5596210684487 Shares of State 1 at a cost of 0.56974</v>
      </c>
      <c r="X29" s="7" t="str">
        <f t="shared" ca="1" si="5"/>
        <v>Bought 12.4403373821239 Shares of State 2 at a cost of 0.56974</v>
      </c>
      <c r="Y29" s="187" t="str">
        <f t="shared" ca="1" si="6"/>
        <v>Bought 27.5596210684487 Shares of State 1 at a cost of 0.56974Bought 12.4403373821239 Shares of State 2 at a cost of 0.56974</v>
      </c>
      <c r="Z29" s="993">
        <f t="shared" ca="1" si="2"/>
        <v>3069.6602548356764</v>
      </c>
      <c r="AA29" s="1008">
        <f t="shared" ca="1" si="7"/>
        <v>6.1393205096713525E-2</v>
      </c>
      <c r="AC29"/>
      <c r="AE29" s="21" t="s">
        <v>340</v>
      </c>
      <c r="AF29" s="635">
        <f>E24-E23</f>
        <v>0.99999999999999989</v>
      </c>
      <c r="AG29" s="635">
        <f>F24-F23</f>
        <v>0</v>
      </c>
      <c r="AH29" s="635">
        <f>G24-G23</f>
        <v>0.99999999999999978</v>
      </c>
      <c r="AI29" s="635">
        <f>H24-H23</f>
        <v>1.7985162187593771</v>
      </c>
      <c r="AJ29" s="190"/>
      <c r="AK29" s="635">
        <f>AF29</f>
        <v>0.99999999999999989</v>
      </c>
      <c r="AL29" s="635">
        <f t="shared" ref="AL29:AN29" si="16">AG29</f>
        <v>0</v>
      </c>
      <c r="AM29" s="635">
        <f t="shared" si="16"/>
        <v>0.99999999999999978</v>
      </c>
      <c r="AN29" s="635">
        <f t="shared" si="16"/>
        <v>1.7985162187593771</v>
      </c>
      <c r="AO29" s="33"/>
    </row>
    <row r="30" spans="2:41" s="7" customFormat="1" ht="18.75" x14ac:dyDescent="0.3">
      <c r="C30" s="21" t="s">
        <v>543</v>
      </c>
      <c r="D30" s="25">
        <v>7</v>
      </c>
      <c r="E30" s="235">
        <f t="shared" ca="1" si="15"/>
        <v>30.112333184381303</v>
      </c>
      <c r="F30" s="234">
        <f t="shared" ca="1" si="12"/>
        <v>26.892165184392461</v>
      </c>
      <c r="G30" s="233">
        <f t="shared" ca="1" si="13"/>
        <v>4.2770811503239266</v>
      </c>
      <c r="H30" s="232">
        <f t="shared" ca="1" si="14"/>
        <v>21.107927386680785</v>
      </c>
      <c r="I30" s="231">
        <f t="shared" ca="1" si="0"/>
        <v>0.64353418677504937</v>
      </c>
      <c r="J30" s="230">
        <f t="shared" ca="1" si="0"/>
        <v>0.28770428140254345</v>
      </c>
      <c r="K30" s="229">
        <f t="shared" ca="1" si="0"/>
        <v>1.0081955445178058E-3</v>
      </c>
      <c r="L30" s="228">
        <f t="shared" ca="1" si="0"/>
        <v>6.7753336277889362E-2</v>
      </c>
      <c r="M30" s="987">
        <f t="shared" ca="1" si="8"/>
        <v>78.210182307137842</v>
      </c>
      <c r="N30" s="988">
        <f t="shared" ca="1" si="1"/>
        <v>9530.4380758554544</v>
      </c>
      <c r="O30" s="982">
        <f t="shared" ca="1" si="9"/>
        <v>0.35545761768043282</v>
      </c>
      <c r="P30" s="341">
        <f t="shared" ca="1" si="10"/>
        <v>31.875453692603521</v>
      </c>
      <c r="Q30" s="49">
        <f t="shared" ca="1" si="11"/>
        <v>0.50036458639529258</v>
      </c>
      <c r="R30" s="1007"/>
      <c r="S30" s="116">
        <f ca="1">E30-E23</f>
        <v>29.212333184381304</v>
      </c>
      <c r="T30" s="102">
        <f ca="1">H30-H23</f>
        <v>15.207927386680785</v>
      </c>
      <c r="U30" s="184">
        <f t="shared" ca="1" si="3"/>
        <v>0.50036458639529258</v>
      </c>
      <c r="W30" s="7" t="str">
        <f t="shared" ca="1" si="4"/>
        <v>Bought 29.2123331843813 Shares of State 1 at a cost of 0.50036</v>
      </c>
      <c r="X30" s="7" t="str">
        <f t="shared" ca="1" si="5"/>
        <v>Bought 15.2079273866808 Shares of State 2 at a cost of 0.50036</v>
      </c>
      <c r="Y30" s="187" t="str">
        <f t="shared" ca="1" si="6"/>
        <v>Bought 29.2123331843813 Shares of State 1 at a cost of 0.50036Bought 15.2079273866808 Shares of State 2 at a cost of 0.50036</v>
      </c>
      <c r="Z30" s="993">
        <f t="shared" ca="1" si="2"/>
        <v>3438.076591120358</v>
      </c>
      <c r="AA30" s="1008">
        <f t="shared" ca="1" si="7"/>
        <v>6.8761531822407157E-2</v>
      </c>
      <c r="AJ30" s="142"/>
    </row>
    <row r="31" spans="2:41" s="7" customFormat="1" ht="18.75" x14ac:dyDescent="0.3">
      <c r="C31" s="21" t="s">
        <v>543</v>
      </c>
      <c r="D31" s="25">
        <v>6</v>
      </c>
      <c r="E31" s="235">
        <f t="shared" ca="1" si="15"/>
        <v>30.537747457407171</v>
      </c>
      <c r="F31" s="234">
        <f t="shared" ca="1" si="12"/>
        <v>26.95171514115799</v>
      </c>
      <c r="G31" s="233">
        <f t="shared" ca="1" si="13"/>
        <v>4.2803468902684001</v>
      </c>
      <c r="H31" s="232">
        <f t="shared" ca="1" si="14"/>
        <v>21.154739915070941</v>
      </c>
      <c r="I31" s="231">
        <f t="shared" ca="1" si="0"/>
        <v>0.66437380046279482</v>
      </c>
      <c r="J31" s="230">
        <f t="shared" ca="1" si="0"/>
        <v>0.27105909626907815</v>
      </c>
      <c r="K31" s="229">
        <f t="shared" ca="1" si="0"/>
        <v>9.3659417814090059E-4</v>
      </c>
      <c r="L31" s="228">
        <f t="shared" ca="1" si="0"/>
        <v>6.3630509089986076E-2</v>
      </c>
      <c r="M31" s="987">
        <f t="shared" ca="1" si="8"/>
        <v>70.387760786931281</v>
      </c>
      <c r="N31" s="988">
        <f t="shared" ca="1" si="1"/>
        <v>9505.8986104037376</v>
      </c>
      <c r="O31" s="982">
        <f t="shared" ca="1" si="9"/>
        <v>0.33468960535906422</v>
      </c>
      <c r="P31" s="341">
        <f t="shared" ca="1" si="10"/>
        <v>32.173388799006418</v>
      </c>
      <c r="Q31" s="49">
        <f t="shared" ca="1" si="11"/>
        <v>0.29793510640289611</v>
      </c>
      <c r="R31" s="1007"/>
      <c r="S31" s="116">
        <f ca="1">E31-E26</f>
        <v>2.3477474574071699</v>
      </c>
      <c r="T31" s="102">
        <f ca="1">H31-H26</f>
        <v>2.1947399150709401</v>
      </c>
      <c r="U31" s="184">
        <f t="shared" ca="1" si="3"/>
        <v>0.29793510640289611</v>
      </c>
      <c r="W31" s="7" t="str">
        <f t="shared" ca="1" si="4"/>
        <v>Bought 2.34774745740717 Shares of State 1 at a cost of 0.29794</v>
      </c>
      <c r="X31" s="7" t="str">
        <f t="shared" ca="1" si="5"/>
        <v>Bought 2.19473991507094 Shares of State 2 at a cost of 0.29794</v>
      </c>
      <c r="Y31" s="187" t="str">
        <f t="shared" ca="1" si="6"/>
        <v>Bought 2.34774745740717 Shares of State 1 at a cost of 0.29794Bought 2.19473991507094 Shares of State 2 at a cost of 0.29794</v>
      </c>
      <c r="Z31" s="993">
        <f t="shared" ca="1" si="2"/>
        <v>3228.3551634063492</v>
      </c>
      <c r="AA31" s="1008">
        <f t="shared" ca="1" si="7"/>
        <v>6.456710326812698E-2</v>
      </c>
      <c r="AE31" s="7" t="s">
        <v>178</v>
      </c>
      <c r="AF31" s="970">
        <f>SUMPRODUCT(AF28:AI28,AF29:AI29)</f>
        <v>0.99999999999999989</v>
      </c>
      <c r="AK31" s="1006">
        <f>SUMPRODUCT(AK28:AN28,AK29:AN29)</f>
        <v>0.32373291937668786</v>
      </c>
      <c r="AM31" s="33"/>
      <c r="AN31" s="33"/>
      <c r="AO31" s="33"/>
    </row>
    <row r="32" spans="2:41" s="7" customFormat="1" ht="18.75" x14ac:dyDescent="0.3">
      <c r="C32" s="21" t="s">
        <v>543</v>
      </c>
      <c r="D32" s="25">
        <v>7</v>
      </c>
      <c r="E32" s="235">
        <f t="shared" ca="1" si="15"/>
        <v>30.539727797462358</v>
      </c>
      <c r="F32" s="234">
        <f t="shared" ca="1" si="12"/>
        <v>27.600221756547938</v>
      </c>
      <c r="G32" s="233">
        <f t="shared" ca="1" si="13"/>
        <v>4.4453140500084904</v>
      </c>
      <c r="H32" s="232">
        <f t="shared" ca="1" si="14"/>
        <v>21.912797149410491</v>
      </c>
      <c r="I32" s="231">
        <f t="shared" ca="1" si="0"/>
        <v>0.62627776772870991</v>
      </c>
      <c r="J32" s="230">
        <f t="shared" ca="1" si="0"/>
        <v>0.3003406951743528</v>
      </c>
      <c r="K32" s="229">
        <f t="shared" ca="1" si="0"/>
        <v>9.196064743123792E-4</v>
      </c>
      <c r="L32" s="228">
        <f t="shared" ca="1" si="0"/>
        <v>7.2461930622624779E-2</v>
      </c>
      <c r="M32" s="987">
        <f t="shared" ca="1" si="8"/>
        <v>73.310772026183969</v>
      </c>
      <c r="N32" s="988">
        <f t="shared" ca="1" si="1"/>
        <v>9718.538122916334</v>
      </c>
      <c r="O32" s="982">
        <f t="shared" ca="1" si="9"/>
        <v>0.37280262579697759</v>
      </c>
      <c r="P32" s="341">
        <f t="shared" ca="1" si="10"/>
        <v>32.411572948980258</v>
      </c>
      <c r="Q32" s="49">
        <f t="shared" ca="1" si="11"/>
        <v>0.23818414997383996</v>
      </c>
      <c r="R32" s="1007"/>
      <c r="S32" s="116">
        <f ca="1">E32-E25</f>
        <v>4.2397277974623577</v>
      </c>
      <c r="T32" s="102">
        <f ca="1">H32-H25</f>
        <v>4.9127971494104905</v>
      </c>
      <c r="U32" s="184">
        <f t="shared" ca="1" si="3"/>
        <v>0.23818414997383996</v>
      </c>
      <c r="W32" s="7" t="str">
        <f t="shared" ca="1" si="4"/>
        <v>Bought 4.23972779746236 Shares of State 1 at a cost of 0.23818</v>
      </c>
      <c r="X32" s="7" t="str">
        <f t="shared" ca="1" si="5"/>
        <v>Bought 4.91279714941049 Shares of State 2 at a cost of 0.23818</v>
      </c>
      <c r="Y32" s="187" t="str">
        <f t="shared" ca="1" si="6"/>
        <v>Bought 4.23972779746236 Shares of State 1 at a cost of 0.23818Bought 4.91279714941049 Shares of State 2 at a cost of 0.23818</v>
      </c>
      <c r="Z32" s="993">
        <f t="shared" ca="1" si="2"/>
        <v>3669.0768548468582</v>
      </c>
      <c r="AA32" s="1008">
        <f t="shared" ca="1" si="7"/>
        <v>7.3381537096937163E-2</v>
      </c>
      <c r="AE32" s="21" t="s">
        <v>527</v>
      </c>
      <c r="AF32" s="616">
        <f>(AF31-$AB$27)/$AB$27</f>
        <v>0</v>
      </c>
      <c r="AG32" s="7" t="s">
        <v>540</v>
      </c>
      <c r="AJ32" s="17"/>
      <c r="AK32" s="616">
        <f>(AK31-$AB$27)/$AB$27</f>
        <v>-0.67626708062331209</v>
      </c>
      <c r="AL32" s="7" t="s">
        <v>536</v>
      </c>
      <c r="AM32" s="33"/>
      <c r="AN32" s="33"/>
      <c r="AO32" s="33"/>
    </row>
    <row r="33" spans="3:42" s="7" customFormat="1" ht="18.75" x14ac:dyDescent="0.3">
      <c r="C33" s="21" t="s">
        <v>543</v>
      </c>
      <c r="D33" s="25">
        <v>8</v>
      </c>
      <c r="E33" s="235">
        <f t="shared" ca="1" si="15"/>
        <v>30.816949111588183</v>
      </c>
      <c r="F33" s="234">
        <f t="shared" ca="1" si="12"/>
        <v>27.829631466279466</v>
      </c>
      <c r="G33" s="233">
        <f t="shared" ca="1" si="13"/>
        <v>4.9976567908176595</v>
      </c>
      <c r="H33" s="232">
        <f t="shared" ca="1" si="14"/>
        <v>22.594928786198604</v>
      </c>
      <c r="I33" s="231">
        <f t="shared" ca="1" si="0"/>
        <v>0.62364836623083042</v>
      </c>
      <c r="J33" s="230">
        <f t="shared" ca="1" si="0"/>
        <v>0.29552613686188001</v>
      </c>
      <c r="K33" s="229">
        <f t="shared" ca="1" si="0"/>
        <v>9.8094745228168999E-4</v>
      </c>
      <c r="L33" s="228">
        <f t="shared" ca="1" si="0"/>
        <v>7.984454945500806E-2</v>
      </c>
      <c r="M33" s="987">
        <f t="shared" ca="1" si="8"/>
        <v>78.522367650147274</v>
      </c>
      <c r="N33" s="988">
        <f t="shared" ca="1" si="1"/>
        <v>10635.426841456028</v>
      </c>
      <c r="O33" s="982">
        <f t="shared" ca="1" si="9"/>
        <v>0.37537068631688808</v>
      </c>
      <c r="P33" s="341">
        <f t="shared" ca="1" si="10"/>
        <v>32.705623452000381</v>
      </c>
      <c r="Q33" s="49">
        <f t="shared" ca="1" si="11"/>
        <v>0.2940505030201237</v>
      </c>
      <c r="R33" s="1007"/>
      <c r="S33" s="116">
        <f ca="1">E33-E24</f>
        <v>28.916949111588185</v>
      </c>
      <c r="T33" s="102">
        <f ca="1">H33-H24</f>
        <v>14.896412567439228</v>
      </c>
      <c r="U33" s="184">
        <f t="shared" ca="1" si="3"/>
        <v>0.2940505030201237</v>
      </c>
      <c r="W33" s="7" t="str">
        <f t="shared" ca="1" si="4"/>
        <v>Bought 28.9169491115882 Shares of State 1 at a cost of 0.29405</v>
      </c>
      <c r="X33" s="7" t="str">
        <f t="shared" ca="1" si="5"/>
        <v>Bought 14.8964125674392 Shares of State 2 at a cost of 0.29405</v>
      </c>
      <c r="Y33" s="187" t="str">
        <f t="shared" ca="1" si="6"/>
        <v>Bought 28.9169491115882 Shares of State 1 at a cost of 0.29405Bought 14.8964125674392 Shares of State 2 at a cost of 0.29405</v>
      </c>
      <c r="Z33" s="993">
        <f t="shared" ca="1" si="2"/>
        <v>4041.2748453644872</v>
      </c>
      <c r="AA33" s="1000">
        <f t="shared" ca="1" si="7"/>
        <v>8.082549690728974E-2</v>
      </c>
    </row>
    <row r="34" spans="3:42" s="7" customFormat="1" ht="18.75" x14ac:dyDescent="0.3">
      <c r="C34" s="21" t="s">
        <v>543</v>
      </c>
      <c r="D34" s="25">
        <v>9</v>
      </c>
      <c r="E34" s="235">
        <f t="shared" ca="1" si="15"/>
        <v>31.415804959398688</v>
      </c>
      <c r="F34" s="234">
        <f t="shared" ca="1" si="12"/>
        <v>28.281894263394058</v>
      </c>
      <c r="G34" s="233">
        <f t="shared" ca="1" si="13"/>
        <v>5.8224775638244823</v>
      </c>
      <c r="H34" s="232">
        <f t="shared" ca="1" si="14"/>
        <v>23.252737105501541</v>
      </c>
      <c r="I34" s="231">
        <f t="shared" ca="1" si="0"/>
        <v>0.62956119184131609</v>
      </c>
      <c r="J34" s="230">
        <f t="shared" ca="1" si="0"/>
        <v>0.28759273990785028</v>
      </c>
      <c r="K34" s="229">
        <f t="shared" ca="1" si="0"/>
        <v>1.0477984062239362E-3</v>
      </c>
      <c r="L34" s="228">
        <f t="shared" ca="1" si="0"/>
        <v>8.1798269844609653E-2</v>
      </c>
      <c r="M34" s="987">
        <f t="shared" ca="1" si="8"/>
        <v>83.078295935222243</v>
      </c>
      <c r="N34" s="988">
        <f t="shared" ca="1" si="1"/>
        <v>11072.043943276414</v>
      </c>
      <c r="O34" s="982">
        <f t="shared" ca="1" si="9"/>
        <v>0.36939100975245992</v>
      </c>
      <c r="P34" s="341">
        <f t="shared" ca="1" si="10"/>
        <v>33.266733852065599</v>
      </c>
      <c r="Q34" s="49">
        <f t="shared" ca="1" si="11"/>
        <v>0.56111040006521762</v>
      </c>
      <c r="R34" s="1007"/>
      <c r="S34" s="116">
        <f ca="1">E34-E26</f>
        <v>3.2258049593986868</v>
      </c>
      <c r="T34" s="102">
        <f ca="1">H34-H26</f>
        <v>4.2927371055015406</v>
      </c>
      <c r="U34" s="184">
        <f t="shared" ca="1" si="3"/>
        <v>0.56111040006521762</v>
      </c>
      <c r="W34" s="7" t="str">
        <f t="shared" ca="1" si="4"/>
        <v>Bought 3.22580495939869 Shares of State 1 at a cost of 0.56111</v>
      </c>
      <c r="X34" s="7" t="str">
        <f t="shared" ca="1" si="5"/>
        <v>Bought 4.29273710550154 Shares of State 2 at a cost of 0.56111</v>
      </c>
      <c r="Y34" s="187" t="str">
        <f t="shared" ca="1" si="6"/>
        <v>Bought 3.22580495939869 Shares of State 1 at a cost of 0.56111Bought 4.29273710550154 Shares of State 2 at a cost of 0.56111</v>
      </c>
      <c r="Z34" s="993">
        <f t="shared" ca="1" si="2"/>
        <v>4142.3034125416798</v>
      </c>
      <c r="AA34" s="1000">
        <f t="shared" ca="1" si="7"/>
        <v>8.2846068250833599E-2</v>
      </c>
      <c r="AE34" s="8"/>
      <c r="AF34" s="8"/>
      <c r="AG34" s="8"/>
      <c r="AH34" s="8"/>
      <c r="AI34" s="8"/>
      <c r="AJ34" s="8"/>
      <c r="AK34" s="8"/>
      <c r="AL34" s="8"/>
      <c r="AM34" s="8"/>
      <c r="AN34" s="8"/>
      <c r="AO34" s="8"/>
      <c r="AP34" s="8"/>
    </row>
    <row r="35" spans="3:42" s="7" customFormat="1" ht="18.75" x14ac:dyDescent="0.3">
      <c r="C35" s="21" t="s">
        <v>543</v>
      </c>
      <c r="D35" s="25">
        <v>10</v>
      </c>
      <c r="E35" s="235">
        <f t="shared" ca="1" si="15"/>
        <v>31.919572825126604</v>
      </c>
      <c r="F35" s="234">
        <f t="shared" ca="1" si="12"/>
        <v>28.695352405471205</v>
      </c>
      <c r="G35" s="233">
        <f t="shared" ca="1" si="13"/>
        <v>6.1545745715581504</v>
      </c>
      <c r="H35" s="232">
        <f t="shared" ca="1" si="14"/>
        <v>23.560285295238721</v>
      </c>
      <c r="I35" s="231">
        <f t="shared" ca="1" si="0"/>
        <v>0.6361646772006736</v>
      </c>
      <c r="J35" s="230">
        <f t="shared" ca="1" si="0"/>
        <v>0.28412161016861887</v>
      </c>
      <c r="K35" s="229">
        <f t="shared" ca="1" si="0"/>
        <v>1.0143093046716841E-3</v>
      </c>
      <c r="L35" s="228">
        <f t="shared" ca="1" si="0"/>
        <v>7.8699403326036046E-2</v>
      </c>
      <c r="M35" s="987">
        <f t="shared" ca="1" si="8"/>
        <v>79.593750433825321</v>
      </c>
      <c r="N35" s="988">
        <f t="shared" ca="1" si="1"/>
        <v>10845.485845487758</v>
      </c>
      <c r="O35" s="982">
        <f t="shared" ca="1" si="9"/>
        <v>0.3628210134946549</v>
      </c>
      <c r="P35" s="341">
        <f t="shared" ca="1" si="10"/>
        <v>33.728764116092684</v>
      </c>
      <c r="Q35" s="49">
        <f t="shared" ca="1" si="11"/>
        <v>0.46203026402708502</v>
      </c>
      <c r="R35" s="1007"/>
      <c r="S35" s="116">
        <f ca="1">E35-E25</f>
        <v>5.6195728251266033</v>
      </c>
      <c r="T35" s="102">
        <f ca="1">H35-H25</f>
        <v>6.5602852952387209</v>
      </c>
      <c r="U35" s="184">
        <f t="shared" ca="1" si="3"/>
        <v>0.46203026402708502</v>
      </c>
      <c r="W35" s="7" t="str">
        <f t="shared" ca="1" si="4"/>
        <v>Bought 5.6195728251266 Shares of State 1 at a cost of 0.46203</v>
      </c>
      <c r="X35" s="7" t="str">
        <f t="shared" ca="1" si="5"/>
        <v>Bought 6.56028529523872 Shares of State 2 at a cost of 0.46203</v>
      </c>
      <c r="Y35" s="187" t="str">
        <f t="shared" ca="1" si="6"/>
        <v>Bought 5.6195728251266 Shares of State 1 at a cost of 0.46203Bought 6.56028529523872 Shares of State 2 at a cost of 0.46203</v>
      </c>
      <c r="Z35" s="993">
        <f t="shared" ca="1" si="2"/>
        <v>3985.6856315353866</v>
      </c>
      <c r="AA35" s="1000">
        <f t="shared" ca="1" si="7"/>
        <v>7.9713712630707728E-2</v>
      </c>
      <c r="AE35" s="8"/>
      <c r="AF35" s="8"/>
      <c r="AG35" s="8"/>
      <c r="AH35" s="8"/>
      <c r="AI35" s="8"/>
      <c r="AJ35" s="8"/>
      <c r="AK35" s="8"/>
      <c r="AL35" s="8"/>
      <c r="AM35" s="8"/>
      <c r="AN35" s="8"/>
      <c r="AO35" s="8"/>
      <c r="AP35" s="8"/>
    </row>
    <row r="36" spans="3:42" s="7" customFormat="1" ht="18.75" x14ac:dyDescent="0.3">
      <c r="C36" s="21" t="s">
        <v>543</v>
      </c>
      <c r="D36" s="25">
        <v>11</v>
      </c>
      <c r="E36" s="235">
        <f t="shared" ca="1" si="15"/>
        <v>32.094348314461094</v>
      </c>
      <c r="F36" s="234">
        <f t="shared" ca="1" si="12"/>
        <v>29.385016536889911</v>
      </c>
      <c r="G36" s="233">
        <f t="shared" ca="1" si="13"/>
        <v>7.1061765110320954</v>
      </c>
      <c r="H36" s="232">
        <f t="shared" ca="1" si="14"/>
        <v>23.971381924183394</v>
      </c>
      <c r="I36" s="231">
        <f t="shared" ca="1" si="0"/>
        <v>0.6093309399914939</v>
      </c>
      <c r="J36" s="230">
        <f t="shared" ca="1" si="0"/>
        <v>0.309521820214883</v>
      </c>
      <c r="K36" s="229">
        <f t="shared" ca="1" si="0"/>
        <v>1.1797689151456369E-3</v>
      </c>
      <c r="L36" s="228">
        <f t="shared" ca="1" si="0"/>
        <v>7.9967470878477387E-2</v>
      </c>
      <c r="M36" s="987">
        <f t="shared" ca="1" si="8"/>
        <v>96.621475916325778</v>
      </c>
      <c r="N36" s="988">
        <f t="shared" ca="1" si="1"/>
        <v>10265.682870765915</v>
      </c>
      <c r="O36" s="982">
        <f t="shared" ca="1" si="9"/>
        <v>0.38948929109336039</v>
      </c>
      <c r="P36" s="341">
        <f t="shared" ca="1" si="10"/>
        <v>34.075923288252127</v>
      </c>
      <c r="Q36" s="49">
        <f t="shared" ca="1" si="11"/>
        <v>0.34715917215944359</v>
      </c>
      <c r="R36" s="1007"/>
      <c r="S36" s="116">
        <f ca="1">E36-E24</f>
        <v>30.194348314461095</v>
      </c>
      <c r="T36" s="102">
        <f ca="1">H36-H24</f>
        <v>16.272865705424017</v>
      </c>
      <c r="U36" s="184">
        <f t="shared" ca="1" si="3"/>
        <v>0.34715917215944359</v>
      </c>
      <c r="W36" s="7" t="str">
        <f t="shared" ca="1" si="4"/>
        <v>Bought 30.1943483144611 Shares of State 1 at a cost of 0.34716</v>
      </c>
      <c r="X36" s="7" t="str">
        <f t="shared" ca="1" si="5"/>
        <v>Bought 16.272865705424 Shares of State 2 at a cost of 0.34716</v>
      </c>
      <c r="Y36" s="187" t="str">
        <f t="shared" ca="1" si="6"/>
        <v>Bought 30.1943483144611 Shares of State 1 at a cost of 0.34716Bought 16.272865705424 Shares of State 2 at a cost of 0.34716</v>
      </c>
      <c r="Z36" s="993">
        <f t="shared" ca="1" si="2"/>
        <v>4057.361989681151</v>
      </c>
      <c r="AA36" s="1000">
        <f t="shared" ca="1" si="7"/>
        <v>8.1147239793623024E-2</v>
      </c>
      <c r="AE36" s="8"/>
      <c r="AF36" s="28"/>
      <c r="AG36" s="28"/>
      <c r="AH36" s="28"/>
      <c r="AI36" s="28"/>
      <c r="AJ36" s="28"/>
      <c r="AK36" s="28"/>
      <c r="AL36" s="28"/>
      <c r="AM36" s="28"/>
      <c r="AN36" s="8"/>
      <c r="AO36" s="8"/>
      <c r="AP36" s="8"/>
    </row>
    <row r="37" spans="3:42" s="7" customFormat="1" ht="18.75" x14ac:dyDescent="0.3">
      <c r="C37" s="21" t="s">
        <v>543</v>
      </c>
      <c r="D37" s="25">
        <v>9</v>
      </c>
      <c r="E37" s="235">
        <f t="shared" ca="1" si="15"/>
        <v>32.470046560047273</v>
      </c>
      <c r="F37" s="234">
        <f t="shared" ca="1" si="12"/>
        <v>29.613971486401347</v>
      </c>
      <c r="G37" s="233">
        <f t="shared" ca="1" si="13"/>
        <v>7.9409260972360345</v>
      </c>
      <c r="H37" s="232">
        <f t="shared" ca="1" si="14"/>
        <v>23.991527817331914</v>
      </c>
      <c r="I37" s="231">
        <f t="shared" ca="1" si="0"/>
        <v>0.62037815634636839</v>
      </c>
      <c r="J37" s="230">
        <f t="shared" ca="1" si="0"/>
        <v>0.3037820347487204</v>
      </c>
      <c r="K37" s="229">
        <f t="shared" ca="1" si="0"/>
        <v>1.3472279432249386E-3</v>
      </c>
      <c r="L37" s="228">
        <f t="shared" ca="1" si="0"/>
        <v>7.4492580961686206E-2</v>
      </c>
      <c r="M37" s="987">
        <f t="shared" ca="1" si="8"/>
        <v>108.34590136321452</v>
      </c>
      <c r="N37" s="988">
        <f t="shared" ca="1" si="1"/>
        <v>9846.3626513489126</v>
      </c>
      <c r="O37" s="982">
        <f t="shared" ca="1" si="9"/>
        <v>0.3782746157104066</v>
      </c>
      <c r="P37" s="341">
        <f t="shared" ca="1" si="10"/>
        <v>34.379750789181415</v>
      </c>
      <c r="Q37" s="49">
        <f t="shared" ca="1" si="11"/>
        <v>0.30382750092928745</v>
      </c>
      <c r="R37" s="1007"/>
      <c r="S37" s="116">
        <f ca="1">E37-E33</f>
        <v>1.6530974484590892</v>
      </c>
      <c r="T37" s="102">
        <f ca="1">H37-H33</f>
        <v>1.3965990311333094</v>
      </c>
      <c r="U37" s="184">
        <f t="shared" ca="1" si="3"/>
        <v>0.30382750092928745</v>
      </c>
      <c r="W37" s="7" t="str">
        <f t="shared" ca="1" si="4"/>
        <v>Bought 1.65309744845909 Shares of State 1 at a cost of 0.30383</v>
      </c>
      <c r="X37" s="7" t="str">
        <f t="shared" ca="1" si="5"/>
        <v>Bought 1.39659903113331 Shares of State 2 at a cost of 0.30383</v>
      </c>
      <c r="Y37" s="187" t="str">
        <f t="shared" ca="1" si="6"/>
        <v>Bought 1.65309744845909 Shares of State 1 at a cost of 0.30383Bought 1.39659903113331 Shares of State 2 at a cost of 0.30383</v>
      </c>
      <c r="Z37" s="993">
        <f t="shared" ca="1" si="2"/>
        <v>3791.9904452455567</v>
      </c>
      <c r="AA37" s="1000">
        <f t="shared" ca="1" si="7"/>
        <v>7.5839808904911127E-2</v>
      </c>
      <c r="AE37" s="8"/>
      <c r="AF37" s="8"/>
      <c r="AG37" s="8"/>
      <c r="AH37" s="8"/>
      <c r="AI37" s="8"/>
      <c r="AJ37" s="8"/>
      <c r="AK37" s="8"/>
      <c r="AL37" s="8"/>
      <c r="AM37" s="8"/>
      <c r="AN37" s="8"/>
      <c r="AO37" s="8"/>
      <c r="AP37" s="8"/>
    </row>
    <row r="38" spans="3:42" s="7" customFormat="1" ht="18.75" x14ac:dyDescent="0.3">
      <c r="C38" s="21" t="s">
        <v>543</v>
      </c>
      <c r="D38" s="25">
        <v>10</v>
      </c>
      <c r="E38" s="235">
        <f t="shared" ca="1" si="15"/>
        <v>32.581528262882365</v>
      </c>
      <c r="F38" s="234">
        <f t="shared" ca="1" si="12"/>
        <v>29.617804684202042</v>
      </c>
      <c r="G38" s="233">
        <f t="shared" ca="1" si="13"/>
        <v>8.5101238314111409</v>
      </c>
      <c r="H38" s="232">
        <f t="shared" ca="1" si="14"/>
        <v>24.611096652177835</v>
      </c>
      <c r="I38" s="231">
        <f t="shared" ca="1" si="0"/>
        <v>0.61902475629112896</v>
      </c>
      <c r="J38" s="230">
        <f t="shared" ca="1" si="0"/>
        <v>0.29507051781762472</v>
      </c>
      <c r="K38" s="229">
        <f t="shared" ca="1" si="0"/>
        <v>1.5072610928551331E-3</v>
      </c>
      <c r="L38" s="228">
        <f t="shared" ca="1" si="0"/>
        <v>8.439746479839122E-2</v>
      </c>
      <c r="M38" s="987">
        <f t="shared" ca="1" si="8"/>
        <v>121.44909937197023</v>
      </c>
      <c r="N38" s="988">
        <f t="shared" ca="1" si="1"/>
        <v>11120.498785768852</v>
      </c>
      <c r="O38" s="982">
        <f t="shared" ca="1" si="9"/>
        <v>0.37946798261601594</v>
      </c>
      <c r="P38" s="341">
        <f t="shared" ca="1" si="10"/>
        <v>34.499968315238341</v>
      </c>
      <c r="Q38" s="49">
        <f t="shared" ca="1" si="11"/>
        <v>0.12021752605692626</v>
      </c>
      <c r="R38" s="196"/>
      <c r="S38" s="116">
        <f ca="1">E38-E32</f>
        <v>2.0418004654200068</v>
      </c>
      <c r="T38" s="102">
        <f ca="1">H38-H32</f>
        <v>2.6982995027673446</v>
      </c>
      <c r="U38" s="184">
        <f t="shared" ca="1" si="3"/>
        <v>0.12021752605692626</v>
      </c>
      <c r="W38" s="7" t="str">
        <f t="shared" ca="1" si="4"/>
        <v>Bought 2.04180046542001 Shares of State 1 at a cost of 0.12022</v>
      </c>
      <c r="X38" s="7" t="str">
        <f t="shared" ca="1" si="5"/>
        <v>Bought 2.69829950276734 Shares of State 2 at a cost of 0.12022</v>
      </c>
      <c r="Y38" s="187" t="str">
        <f t="shared" ca="1" si="6"/>
        <v>Bought 2.04180046542001 Shares of State 1 at a cost of 0.12022Bought 2.69829950276734 Shares of State 2 at a cost of 0.12022</v>
      </c>
      <c r="Z38" s="993">
        <f t="shared" ca="1" si="2"/>
        <v>4295.2362945623181</v>
      </c>
      <c r="AA38" s="1000">
        <f t="shared" ca="1" si="7"/>
        <v>8.5904725891246356E-2</v>
      </c>
      <c r="AE38" s="8"/>
      <c r="AF38" s="8"/>
      <c r="AG38" s="8"/>
      <c r="AH38" s="8"/>
      <c r="AI38" s="8"/>
      <c r="AJ38" s="8"/>
      <c r="AK38" s="8"/>
      <c r="AL38" s="8"/>
      <c r="AM38" s="8"/>
      <c r="AN38" s="8"/>
      <c r="AO38" s="8"/>
      <c r="AP38" s="8"/>
    </row>
    <row r="39" spans="3:42" s="7" customFormat="1" ht="18.75" x14ac:dyDescent="0.3">
      <c r="C39" s="21" t="s">
        <v>543</v>
      </c>
      <c r="D39" s="25">
        <v>11</v>
      </c>
      <c r="E39" s="235">
        <f t="shared" ca="1" si="15"/>
        <v>33.419708277684265</v>
      </c>
      <c r="F39" s="234">
        <f t="shared" ca="1" si="12"/>
        <v>30.256905172746297</v>
      </c>
      <c r="G39" s="233">
        <f t="shared" ca="1" si="13"/>
        <v>9.4655606874115961</v>
      </c>
      <c r="H39" s="232">
        <f t="shared" ca="1" si="14"/>
        <v>24.931262236004383</v>
      </c>
      <c r="I39" s="231">
        <f t="shared" ca="1" si="0"/>
        <v>0.63459320869187219</v>
      </c>
      <c r="J39" s="230">
        <f t="shared" ca="1" si="0"/>
        <v>0.2878050672498193</v>
      </c>
      <c r="K39" s="229">
        <f t="shared" ca="1" si="0"/>
        <v>1.5911344936355993E-3</v>
      </c>
      <c r="L39" s="228">
        <f t="shared" ca="1" si="0"/>
        <v>7.6010589564672812E-2</v>
      </c>
      <c r="M39" s="987">
        <f t="shared" ca="1" si="8"/>
        <v>125.0529434336954</v>
      </c>
      <c r="N39" s="988">
        <f t="shared" ca="1" si="1"/>
        <v>10446.30544905744</v>
      </c>
      <c r="O39" s="982">
        <f t="shared" ca="1" si="9"/>
        <v>0.36381565681449213</v>
      </c>
      <c r="P39" s="341">
        <f t="shared" ca="1" si="10"/>
        <v>35.238792684104155</v>
      </c>
      <c r="Q39" s="49">
        <f t="shared" ca="1" si="11"/>
        <v>0.7388243688658136</v>
      </c>
      <c r="R39" s="196"/>
      <c r="S39" s="116">
        <f ca="1">E39-E31</f>
        <v>2.8819608202770937</v>
      </c>
      <c r="T39" s="102">
        <f ca="1">H39-H31</f>
        <v>3.7765223209334415</v>
      </c>
      <c r="U39" s="184">
        <f t="shared" ca="1" si="3"/>
        <v>0.7388243688658136</v>
      </c>
      <c r="W39" s="7" t="str">
        <f t="shared" ca="1" si="4"/>
        <v>Bought 2.88196082027709 Shares of State 1 at a cost of 0.73882</v>
      </c>
      <c r="X39" s="7" t="str">
        <f t="shared" ca="1" si="5"/>
        <v>Bought 3.77652232093344 Shares of State 2 at a cost of 0.73882</v>
      </c>
      <c r="Y39" s="187" t="str">
        <f t="shared" ca="1" si="6"/>
        <v>Bought 2.88196082027709 Shares of State 1 at a cost of 0.73882Bought 3.77652232093344 Shares of State 2 at a cost of 0.73882</v>
      </c>
      <c r="Z39" s="993">
        <f t="shared" ca="1" si="2"/>
        <v>3880.0862029154205</v>
      </c>
      <c r="AA39" s="1000">
        <f t="shared" ca="1" si="7"/>
        <v>7.7601724058308411E-2</v>
      </c>
      <c r="AE39" s="8"/>
      <c r="AF39" s="8"/>
      <c r="AG39" s="8"/>
      <c r="AH39" s="8"/>
      <c r="AI39" s="8"/>
      <c r="AJ39" s="8"/>
      <c r="AK39" s="8"/>
      <c r="AL39" s="8"/>
      <c r="AM39" s="8"/>
      <c r="AN39" s="8"/>
      <c r="AO39" s="8"/>
      <c r="AP39" s="8"/>
    </row>
    <row r="40" spans="3:42" s="7" customFormat="1" ht="18.75" x14ac:dyDescent="0.3">
      <c r="C40" s="21" t="s">
        <v>543</v>
      </c>
      <c r="D40" s="25">
        <v>12</v>
      </c>
      <c r="E40" s="235">
        <f t="shared" ca="1" si="15"/>
        <v>33.921062528966303</v>
      </c>
      <c r="F40" s="234">
        <f t="shared" ca="1" si="12"/>
        <v>30.631211639498204</v>
      </c>
      <c r="G40" s="233">
        <f t="shared" ca="1" si="13"/>
        <v>9.9377937946545742</v>
      </c>
      <c r="H40" s="232">
        <f t="shared" ca="1" si="14"/>
        <v>25.034073589328845</v>
      </c>
      <c r="I40" s="231">
        <f t="shared" ca="1" si="0"/>
        <v>0.64505434485930246</v>
      </c>
      <c r="J40" s="230">
        <f t="shared" ca="1" si="0"/>
        <v>0.28340354796878336</v>
      </c>
      <c r="K40" s="229">
        <f t="shared" ca="1" si="0"/>
        <v>1.6056318983937198E-3</v>
      </c>
      <c r="L40" s="228">
        <f t="shared" ca="1" si="0"/>
        <v>6.9936475273520413E-2</v>
      </c>
      <c r="M40" s="987">
        <f t="shared" ca="1" si="8"/>
        <v>124.14808060676926</v>
      </c>
      <c r="N40" s="988">
        <f t="shared" ca="1" si="1"/>
        <v>9896.483652173376</v>
      </c>
      <c r="O40" s="982">
        <f t="shared" ca="1" si="9"/>
        <v>0.35334002324230379</v>
      </c>
      <c r="P40" s="341">
        <f t="shared" ca="1" si="10"/>
        <v>35.674745369525702</v>
      </c>
      <c r="Q40" s="49">
        <f t="shared" ca="1" si="11"/>
        <v>0.43595268542154741</v>
      </c>
      <c r="R40" s="196"/>
      <c r="S40" s="116">
        <f ca="1">E40-E39</f>
        <v>0.50135425128203792</v>
      </c>
      <c r="T40" s="102">
        <f ca="1">H40-H39</f>
        <v>0.10281135332446212</v>
      </c>
      <c r="U40" s="184">
        <f t="shared" ca="1" si="3"/>
        <v>0.43595268542154741</v>
      </c>
      <c r="W40" s="7" t="str">
        <f t="shared" ca="1" si="4"/>
        <v>Bought 0.501354251282038 Shares of State 1 at a cost of 0.43595</v>
      </c>
      <c r="X40" s="7" t="str">
        <f t="shared" ca="1" si="5"/>
        <v>Bought 0.102811353324462 Shares of State 2 at a cost of 0.43595</v>
      </c>
      <c r="Y40" s="187" t="str">
        <f t="shared" ca="1" si="6"/>
        <v>Bought 0.501354251282038 Shares of State 1 at a cost of 0.43595Bought 0.102811353324462 Shares of State 2 at a cost of 0.43595</v>
      </c>
      <c r="Z40" s="993">
        <f t="shared" ca="1" si="2"/>
        <v>3577.1053585957061</v>
      </c>
      <c r="AA40" s="1000">
        <f t="shared" ca="1" si="7"/>
        <v>7.1542107171914116E-2</v>
      </c>
      <c r="AE40" s="8"/>
      <c r="AF40" s="8"/>
      <c r="AG40" s="8"/>
      <c r="AH40" s="8"/>
      <c r="AI40" s="8"/>
      <c r="AJ40" s="8"/>
      <c r="AK40" s="8"/>
      <c r="AL40" s="8"/>
      <c r="AM40" s="8"/>
      <c r="AN40" s="8"/>
      <c r="AO40" s="8"/>
      <c r="AP40" s="8"/>
    </row>
    <row r="41" spans="3:42" s="7" customFormat="1" ht="18.75" x14ac:dyDescent="0.3">
      <c r="C41" s="21" t="s">
        <v>543</v>
      </c>
      <c r="D41" s="25">
        <v>13</v>
      </c>
      <c r="E41" s="235">
        <f t="shared" ca="1" si="15"/>
        <v>34.319147731458763</v>
      </c>
      <c r="F41" s="234">
        <f t="shared" ca="1" si="12"/>
        <v>30.842801699828527</v>
      </c>
      <c r="G41" s="233">
        <f t="shared" ca="1" si="13"/>
        <v>10.249537771569688</v>
      </c>
      <c r="H41" s="232">
        <f t="shared" ca="1" si="14"/>
        <v>25.548490200670436</v>
      </c>
      <c r="I41" s="231">
        <f t="shared" ca="1" si="0"/>
        <v>0.65215007622950827</v>
      </c>
      <c r="J41" s="230">
        <f t="shared" ca="1" si="0"/>
        <v>0.27346898246553342</v>
      </c>
      <c r="K41" s="229">
        <f t="shared" ca="1" si="0"/>
        <v>1.5886303401932819E-3</v>
      </c>
      <c r="L41" s="228">
        <f t="shared" ca="1" si="0"/>
        <v>7.2792310964764961E-2</v>
      </c>
      <c r="M41" s="987">
        <f t="shared" ca="1" si="8"/>
        <v>121.50346340429685</v>
      </c>
      <c r="N41" s="988">
        <f t="shared" ca="1" si="1"/>
        <v>10511.182212085436</v>
      </c>
      <c r="O41" s="982">
        <f t="shared" ca="1" si="9"/>
        <v>0.34626129343029838</v>
      </c>
      <c r="P41" s="341">
        <f t="shared" ca="1" si="10"/>
        <v>36.02906999256404</v>
      </c>
      <c r="Q41" s="49">
        <f t="shared" ca="1" si="11"/>
        <v>0.35432462303833745</v>
      </c>
      <c r="R41" s="196"/>
      <c r="S41" s="116">
        <f ca="1">E41-E40</f>
        <v>0.39808520249246016</v>
      </c>
      <c r="T41" s="102">
        <f ca="1">H41-H40</f>
        <v>0.51441661134159133</v>
      </c>
      <c r="U41" s="184">
        <f t="shared" ca="1" si="3"/>
        <v>0.35432462303833745</v>
      </c>
      <c r="W41" s="7" t="str">
        <f t="shared" ca="1" si="4"/>
        <v>Bought 0.39808520249246 Shares of State 1 at a cost of 0.35432</v>
      </c>
      <c r="X41" s="7" t="str">
        <f t="shared" ca="1" si="5"/>
        <v>Bought 0.514416611341591 Shares of State 2 at a cost of 0.35432</v>
      </c>
      <c r="Y41" s="187" t="str">
        <f t="shared" ca="1" si="6"/>
        <v>Bought 0.39808520249246 Shares of State 1 at a cost of 0.35432Bought 0.514416611341591 Shares of State 2 at a cost of 0.35432</v>
      </c>
      <c r="Z41" s="993">
        <f t="shared" ca="1" si="2"/>
        <v>3719.0470652479121</v>
      </c>
      <c r="AA41" s="1000">
        <f t="shared" ca="1" si="7"/>
        <v>7.4380941304958245E-2</v>
      </c>
      <c r="AE41" s="8"/>
      <c r="AF41" s="8"/>
      <c r="AG41" s="8"/>
      <c r="AH41" s="8"/>
      <c r="AI41" s="8"/>
      <c r="AJ41" s="8"/>
      <c r="AK41" s="8"/>
      <c r="AL41" s="8"/>
      <c r="AM41" s="8"/>
      <c r="AN41" s="8"/>
      <c r="AO41" s="8"/>
      <c r="AP41" s="8"/>
    </row>
    <row r="42" spans="3:42" s="7" customFormat="1" ht="18.75" x14ac:dyDescent="0.3">
      <c r="C42" s="21" t="s">
        <v>543</v>
      </c>
      <c r="D42" s="25">
        <v>14</v>
      </c>
      <c r="E42" s="235">
        <f t="shared" ca="1" si="15"/>
        <v>34.810229074709845</v>
      </c>
      <c r="F42" s="234">
        <f t="shared" ca="1" si="12"/>
        <v>31.424654613240453</v>
      </c>
      <c r="G42" s="233">
        <f t="shared" ca="1" si="13"/>
        <v>10.768405546059025</v>
      </c>
      <c r="H42" s="232">
        <f t="shared" ca="1" si="14"/>
        <v>26.369535887545588</v>
      </c>
      <c r="I42" s="231">
        <f t="shared" ca="1" si="0"/>
        <v>0.64406883938101656</v>
      </c>
      <c r="J42" s="230">
        <f t="shared" ca="1" si="0"/>
        <v>0.27627921377794945</v>
      </c>
      <c r="K42" s="229">
        <f t="shared" ca="1" si="0"/>
        <v>1.5798813221867165E-3</v>
      </c>
      <c r="L42" s="228">
        <f t="shared" ca="1" si="0"/>
        <v>7.8072065518847419E-2</v>
      </c>
      <c r="M42" s="987">
        <f t="shared" ca="1" si="8"/>
        <v>122.3483661878863</v>
      </c>
      <c r="N42" s="988">
        <f t="shared" ca="1" si="1"/>
        <v>11016.19636787821</v>
      </c>
      <c r="O42" s="982">
        <f t="shared" ca="1" si="9"/>
        <v>0.35435127929679688</v>
      </c>
      <c r="P42" s="341">
        <f t="shared" ca="1" si="10"/>
        <v>36.570027735276632</v>
      </c>
      <c r="Q42" s="49">
        <f t="shared" ca="1" si="11"/>
        <v>0.54095774271259245</v>
      </c>
      <c r="R42" s="196"/>
      <c r="S42" s="116">
        <f ca="1">E42-E39</f>
        <v>1.3905207970255802</v>
      </c>
      <c r="T42" s="102">
        <f ca="1">H42-H39</f>
        <v>1.4382736515412056</v>
      </c>
      <c r="U42" s="184">
        <f t="shared" ca="1" si="3"/>
        <v>0.54095774271259245</v>
      </c>
      <c r="W42" s="7" t="str">
        <f t="shared" ca="1" si="4"/>
        <v>Bought 1.39052079702558 Shares of State 1 at a cost of 0.54096</v>
      </c>
      <c r="X42" s="7" t="str">
        <f t="shared" ca="1" si="5"/>
        <v>Bought 1.43827365154121 Shares of State 2 at a cost of 0.54096</v>
      </c>
      <c r="Y42" s="187" t="str">
        <f t="shared" ca="1" si="6"/>
        <v>Bought 1.39052079702558 Shares of State 1 at a cost of 0.54096Bought 1.43827365154121 Shares of State 2 at a cost of 0.54096</v>
      </c>
      <c r="Z42" s="993">
        <f t="shared" ca="1" si="2"/>
        <v>3982.5973420517071</v>
      </c>
      <c r="AA42" s="1000">
        <f t="shared" ca="1" si="7"/>
        <v>7.9651946841034146E-2</v>
      </c>
    </row>
    <row r="43" spans="3:42" s="7" customFormat="1" ht="18.75" x14ac:dyDescent="0.3">
      <c r="C43" s="21" t="s">
        <v>537</v>
      </c>
      <c r="D43" s="25">
        <v>15</v>
      </c>
      <c r="E43" s="235">
        <v>0</v>
      </c>
      <c r="F43" s="234">
        <f ca="1">F42+0.1</f>
        <v>31.524654613240454</v>
      </c>
      <c r="G43" s="233">
        <v>0</v>
      </c>
      <c r="H43" s="232">
        <f ca="1">H42-0.05</f>
        <v>26.319535887545587</v>
      </c>
      <c r="I43" s="231">
        <f t="shared" ca="1" si="0"/>
        <v>2.9678816153549909E-4</v>
      </c>
      <c r="J43" s="230">
        <f t="shared" ca="1" si="0"/>
        <v>0.78558369172263565</v>
      </c>
      <c r="K43" s="229">
        <f t="shared" ca="1" si="0"/>
        <v>2.9678816153549909E-4</v>
      </c>
      <c r="L43" s="228">
        <f t="shared" ca="1" si="0"/>
        <v>0.21382273195429333</v>
      </c>
      <c r="M43" s="987">
        <f t="shared" ca="1" si="8"/>
        <v>0</v>
      </c>
      <c r="N43" s="988">
        <f t="shared" ca="1" si="1"/>
        <v>10697.486372341664</v>
      </c>
      <c r="O43" s="982">
        <f t="shared" ca="1" si="9"/>
        <v>0.999406423676929</v>
      </c>
      <c r="P43" s="341">
        <f t="shared" ca="1" si="10"/>
        <v>32.489967737905324</v>
      </c>
      <c r="Q43" s="49">
        <f t="shared" ca="1" si="11"/>
        <v>-4.0800599973713076</v>
      </c>
      <c r="R43" s="196"/>
      <c r="S43" s="116">
        <f ca="1">E43-E42</f>
        <v>-34.810229074709845</v>
      </c>
      <c r="T43" s="102">
        <f ca="1">H43-H42</f>
        <v>-5.0000000000000711E-2</v>
      </c>
      <c r="U43" s="184">
        <f t="shared" ca="1" si="3"/>
        <v>-4.0800599973713076</v>
      </c>
      <c r="W43" s="7" t="str">
        <f t="shared" ca="1" si="4"/>
        <v>Sold 34.8102290747098 Shares of State 1 at a cost of -4.08006</v>
      </c>
      <c r="X43" s="7" t="str">
        <f t="shared" ca="1" si="5"/>
        <v>Sold 0.0500000000000007 Shares of State 2 at a cost of -4.08006</v>
      </c>
      <c r="Y43" s="187" t="str">
        <f t="shared" ca="1" si="6"/>
        <v>Sold 34.8102290747098 Shares of State 1 at a cost of -4.08006Sold 0.0500000000000007 Shares of State 2 at a cost of -4.08006</v>
      </c>
      <c r="Z43" s="993">
        <f t="shared" ca="1" si="2"/>
        <v>10691.136597714667</v>
      </c>
      <c r="AA43" s="1000">
        <f t="shared" ca="1" si="7"/>
        <v>0.21382273195429333</v>
      </c>
    </row>
    <row r="44" spans="3:42" s="7" customFormat="1" ht="18.75" x14ac:dyDescent="0.3">
      <c r="C44" s="21" t="s">
        <v>543</v>
      </c>
      <c r="D44" s="25">
        <v>16</v>
      </c>
      <c r="E44" s="235">
        <v>0</v>
      </c>
      <c r="F44" s="234">
        <f t="shared" ref="F44:F46" ca="1" si="17">F43+0.1</f>
        <v>31.624654613240455</v>
      </c>
      <c r="G44" s="233">
        <v>0</v>
      </c>
      <c r="H44" s="232">
        <f t="shared" ref="H44:H46" ca="1" si="18">H43-0.05</f>
        <v>26.269535887545587</v>
      </c>
      <c r="I44" s="231">
        <f t="shared" ca="1" si="0"/>
        <v>2.9176083146467246E-4</v>
      </c>
      <c r="J44" s="230">
        <f t="shared" ca="1" si="0"/>
        <v>0.79182687096204663</v>
      </c>
      <c r="K44" s="229">
        <f t="shared" ca="1" si="0"/>
        <v>2.9176083146467246E-4</v>
      </c>
      <c r="L44" s="228">
        <f t="shared" ca="1" si="0"/>
        <v>0.2075896073750241</v>
      </c>
      <c r="M44" s="987">
        <f t="shared" ca="1" si="8"/>
        <v>0</v>
      </c>
      <c r="N44" s="988">
        <f t="shared" ca="1" si="1"/>
        <v>10385.54055664724</v>
      </c>
      <c r="O44" s="982">
        <f t="shared" ca="1" si="9"/>
        <v>0.9994164783370707</v>
      </c>
      <c r="P44" s="341">
        <f t="shared" ca="1" si="10"/>
        <v>32.558304646575337</v>
      </c>
      <c r="Q44" s="49">
        <f t="shared" ca="1" si="11"/>
        <v>6.8336908670012519E-2</v>
      </c>
      <c r="R44" s="196"/>
      <c r="S44" s="116">
        <f ca="1">E44-E39</f>
        <v>-33.419708277684265</v>
      </c>
      <c r="T44" s="102">
        <f ca="1">H44-H39</f>
        <v>1.3382736515412041</v>
      </c>
      <c r="U44" s="184">
        <f t="shared" ca="1" si="3"/>
        <v>6.8336908670012519E-2</v>
      </c>
      <c r="W44" s="7" t="str">
        <f t="shared" ca="1" si="4"/>
        <v>Sold 33.4197082776843 Shares of State 1 at a cost of 0.06834</v>
      </c>
      <c r="X44" s="7" t="str">
        <f t="shared" ca="1" si="5"/>
        <v>Bought 1.3382736515412 Shares of State 2 at a cost of 0.06834</v>
      </c>
      <c r="Y44" s="187" t="str">
        <f t="shared" ca="1" si="6"/>
        <v>Sold 33.4197082776843 Shares of State 1 at a cost of 0.06834Bought 1.3382736515412 Shares of State 2 at a cost of 0.06834</v>
      </c>
      <c r="Z44" s="993">
        <f t="shared" ca="1" si="2"/>
        <v>10379.480368751205</v>
      </c>
      <c r="AA44" s="1000">
        <f t="shared" ca="1" si="7"/>
        <v>0.2075896073750241</v>
      </c>
      <c r="AH44" s="191"/>
      <c r="AI44" s="191"/>
      <c r="AJ44" s="191"/>
      <c r="AK44" s="191"/>
      <c r="AL44" s="191"/>
      <c r="AM44" s="191"/>
      <c r="AN44" s="191"/>
    </row>
    <row r="45" spans="3:42" s="7" customFormat="1" ht="18.75" x14ac:dyDescent="0.3">
      <c r="C45" s="21" t="s">
        <v>543</v>
      </c>
      <c r="D45" s="25">
        <v>17</v>
      </c>
      <c r="E45" s="235">
        <v>0</v>
      </c>
      <c r="F45" s="234">
        <f t="shared" ca="1" si="17"/>
        <v>31.724654613240457</v>
      </c>
      <c r="G45" s="233">
        <v>0</v>
      </c>
      <c r="H45" s="232">
        <f ca="1">H44+0.5</f>
        <v>26.769535887545587</v>
      </c>
      <c r="I45" s="231">
        <f t="shared" ca="1" si="0"/>
        <v>2.7848133011294102E-4</v>
      </c>
      <c r="J45" s="230">
        <f t="shared" ca="1" si="0"/>
        <v>0.77491968688048618</v>
      </c>
      <c r="K45" s="229">
        <f t="shared" ca="1" si="0"/>
        <v>2.7848133011294102E-4</v>
      </c>
      <c r="L45" s="228">
        <f t="shared" ca="1" si="0"/>
        <v>0.22452335045928795</v>
      </c>
      <c r="M45" s="987">
        <f t="shared" ca="1" si="8"/>
        <v>0</v>
      </c>
      <c r="N45" s="988">
        <f t="shared" ca="1" si="1"/>
        <v>11232.423563473092</v>
      </c>
      <c r="O45" s="982">
        <f t="shared" ca="1" si="9"/>
        <v>0.99944303733977413</v>
      </c>
      <c r="P45" s="341">
        <f t="shared" ca="1" si="10"/>
        <v>32.744638152561905</v>
      </c>
      <c r="Q45" s="49">
        <f t="shared" ca="1" si="11"/>
        <v>0.18633350598656762</v>
      </c>
      <c r="R45" s="196"/>
      <c r="S45" s="116">
        <f>E45-E44</f>
        <v>0</v>
      </c>
      <c r="T45" s="102">
        <f ca="1">H45-H44</f>
        <v>0.5</v>
      </c>
      <c r="U45" s="184">
        <f t="shared" ca="1" si="3"/>
        <v>0.18633350598656762</v>
      </c>
      <c r="W45" s="7" t="str">
        <f t="shared" si="4"/>
        <v/>
      </c>
      <c r="X45" s="7" t="str">
        <f t="shared" ca="1" si="5"/>
        <v>Bought 0.5 Shares of State 2 at a cost of 0.18633</v>
      </c>
      <c r="Y45" s="187" t="str">
        <f t="shared" ca="1" si="6"/>
        <v>Bought 0.5 Shares of State 2 at a cost of 0.18633</v>
      </c>
      <c r="Z45" s="993">
        <f t="shared" ca="1" si="2"/>
        <v>11226.167522964397</v>
      </c>
      <c r="AA45" s="1000">
        <f t="shared" ca="1" si="7"/>
        <v>0.22452335045928795</v>
      </c>
    </row>
    <row r="46" spans="3:42" s="7" customFormat="1" ht="19.5" thickBot="1" x14ac:dyDescent="0.35">
      <c r="C46" s="21" t="s">
        <v>543</v>
      </c>
      <c r="D46" s="25">
        <v>18</v>
      </c>
      <c r="E46" s="227">
        <v>0</v>
      </c>
      <c r="F46" s="226">
        <f t="shared" ca="1" si="17"/>
        <v>31.824654613240458</v>
      </c>
      <c r="G46" s="225">
        <v>0</v>
      </c>
      <c r="H46" s="224">
        <f t="shared" ca="1" si="18"/>
        <v>26.719535887545586</v>
      </c>
      <c r="I46" s="223">
        <f t="shared" ca="1" si="0"/>
        <v>2.7387257195798676E-4</v>
      </c>
      <c r="J46" s="222">
        <f t="shared" ca="1" si="0"/>
        <v>0.7813875946480624</v>
      </c>
      <c r="K46" s="221">
        <f t="shared" ca="1" si="0"/>
        <v>2.7387257195798676E-4</v>
      </c>
      <c r="L46" s="220">
        <f t="shared" ca="1" si="0"/>
        <v>0.21806466020802165</v>
      </c>
      <c r="M46" s="989">
        <f t="shared" ca="1" si="8"/>
        <v>0</v>
      </c>
      <c r="N46" s="990">
        <f t="shared" ca="1" si="1"/>
        <v>10909.208476367981</v>
      </c>
      <c r="O46" s="983">
        <f t="shared" ca="1" si="9"/>
        <v>0.99945225485608402</v>
      </c>
      <c r="P46" s="342">
        <f t="shared" ca="1" si="10"/>
        <v>32.811390502398517</v>
      </c>
      <c r="Q46" s="975">
        <f t="shared" ca="1" si="11"/>
        <v>6.6752349836612268E-2</v>
      </c>
      <c r="R46" s="196"/>
      <c r="S46" s="121">
        <f>E46-E45</f>
        <v>0</v>
      </c>
      <c r="T46" s="104">
        <f ca="1">H46-H45</f>
        <v>-5.0000000000000711E-2</v>
      </c>
      <c r="U46" s="184">
        <f t="shared" ca="1" si="3"/>
        <v>6.6752349836612268E-2</v>
      </c>
      <c r="W46" s="7" t="str">
        <f t="shared" si="4"/>
        <v/>
      </c>
      <c r="X46" s="7" t="str">
        <f t="shared" ca="1" si="5"/>
        <v>Sold 0.0500000000000007 Shares of State 2 at a cost of 0.06675</v>
      </c>
      <c r="Y46" s="187" t="str">
        <f t="shared" ca="1" si="6"/>
        <v>Sold 0.0500000000000007 Shares of State 2 at a cost of 0.06675</v>
      </c>
      <c r="Z46" s="993">
        <f t="shared" ca="1" si="2"/>
        <v>10903.233010401083</v>
      </c>
      <c r="AA46" s="1000">
        <f t="shared" ca="1" si="7"/>
        <v>0.21806466020802168</v>
      </c>
    </row>
    <row r="47" spans="3:42" s="7" customFormat="1" ht="16.5" thickTop="1" thickBot="1" x14ac:dyDescent="0.3">
      <c r="D47" s="25" t="s">
        <v>97</v>
      </c>
      <c r="E47" s="217">
        <f>E46</f>
        <v>0</v>
      </c>
      <c r="F47" s="216">
        <f t="shared" ref="F47:H47" ca="1" si="19">F46</f>
        <v>31.824654613240458</v>
      </c>
      <c r="G47" s="215">
        <f t="shared" si="19"/>
        <v>0</v>
      </c>
      <c r="H47" s="214">
        <f t="shared" ca="1" si="19"/>
        <v>26.719535887545586</v>
      </c>
      <c r="I47" s="433">
        <f>F51*F50</f>
        <v>0</v>
      </c>
      <c r="J47" s="433">
        <f>F50*E51</f>
        <v>0.82000000000000006</v>
      </c>
      <c r="K47" s="433">
        <f>E50*F51</f>
        <v>0</v>
      </c>
      <c r="L47" s="433">
        <f>E50*E51</f>
        <v>0.18</v>
      </c>
      <c r="M47" s="991">
        <f t="shared" si="8"/>
        <v>0</v>
      </c>
      <c r="N47" s="992">
        <f t="shared" si="1"/>
        <v>9000</v>
      </c>
      <c r="O47" s="984">
        <f t="shared" si="9"/>
        <v>1</v>
      </c>
      <c r="P47" s="978">
        <f t="shared" ca="1" si="10"/>
        <v>32.811390502398517</v>
      </c>
      <c r="Q47" s="8" t="s">
        <v>533</v>
      </c>
      <c r="X47" s="8"/>
      <c r="Y47" s="8"/>
      <c r="Z47" s="1009">
        <f t="shared" si="2"/>
        <v>9000</v>
      </c>
      <c r="AA47" s="1000">
        <f t="shared" si="7"/>
        <v>0.18</v>
      </c>
      <c r="AB47" s="973" t="s">
        <v>531</v>
      </c>
      <c r="AC47" s="974">
        <f>(Z47-Z23)/Z23</f>
        <v>-0.67626708062331209</v>
      </c>
    </row>
    <row r="48" spans="3:42" s="7" customFormat="1" ht="15.75" thickBot="1" x14ac:dyDescent="0.3">
      <c r="C48"/>
      <c r="D48"/>
      <c r="E48" s="33"/>
      <c r="F48" s="33"/>
      <c r="G48" s="33"/>
      <c r="H48" s="33"/>
      <c r="I48" s="33"/>
      <c r="J48" s="33"/>
      <c r="K48" s="33"/>
      <c r="L48" s="33"/>
      <c r="M48" s="33"/>
      <c r="N48" s="33"/>
      <c r="O48" s="33"/>
      <c r="P48" s="246">
        <f ca="1">SUMPRODUCT(E47:H47,I47:L47)</f>
        <v>30.905733242615383</v>
      </c>
      <c r="Q48" t="s">
        <v>110</v>
      </c>
      <c r="X48"/>
      <c r="Y48"/>
      <c r="Z48"/>
      <c r="AA48"/>
      <c r="AB48"/>
      <c r="AC48" s="999">
        <f>(AA47-AA23)/AA23</f>
        <v>-0.67626708062331209</v>
      </c>
    </row>
    <row r="49" spans="2:40" s="7" customFormat="1" ht="15.75" thickBot="1" x14ac:dyDescent="0.3">
      <c r="C49" s="1"/>
      <c r="D49" s="152" t="s">
        <v>174</v>
      </c>
      <c r="E49" s="289" t="s">
        <v>154</v>
      </c>
      <c r="F49" s="239" t="s">
        <v>171</v>
      </c>
      <c r="G49" s="142"/>
      <c r="H49" s="17"/>
      <c r="I49" s="468">
        <f>F50*F51</f>
        <v>0</v>
      </c>
      <c r="J49" s="468">
        <f>F50*E51</f>
        <v>0.82000000000000006</v>
      </c>
      <c r="K49" s="468">
        <f>E50*F51</f>
        <v>0</v>
      </c>
      <c r="L49" s="468">
        <f>E50*E51</f>
        <v>0.18</v>
      </c>
      <c r="M49" s="17"/>
      <c r="N49" s="17"/>
      <c r="O49" s="17"/>
      <c r="P49" s="246">
        <f ca="1">P47-P48</f>
        <v>1.9056572597831334</v>
      </c>
      <c r="Q49" s="7" t="s">
        <v>102</v>
      </c>
    </row>
    <row r="50" spans="2:40" s="7" customFormat="1" ht="15.75" thickBot="1" x14ac:dyDescent="0.3">
      <c r="C50" s="5" t="s">
        <v>172</v>
      </c>
      <c r="D50" s="972">
        <v>9000</v>
      </c>
      <c r="E50" s="510">
        <f>($D$50-$E$5)/($E$6-$E$5)</f>
        <v>0.18</v>
      </c>
      <c r="F50" s="511">
        <f>1-E50</f>
        <v>0.82000000000000006</v>
      </c>
      <c r="H50" s="33"/>
      <c r="J50" s="33"/>
      <c r="K50" s="33"/>
      <c r="L50" s="33"/>
      <c r="M50" s="17"/>
      <c r="N50" s="17"/>
      <c r="O50" s="17"/>
      <c r="P50" s="248">
        <f ca="1">P22-P49</f>
        <v>3.6395201846964289</v>
      </c>
      <c r="Q50" s="54" t="s">
        <v>103</v>
      </c>
      <c r="V50" s="8"/>
      <c r="W50" s="8"/>
      <c r="X50" s="8"/>
      <c r="Y50" s="28"/>
      <c r="Z50" s="28"/>
      <c r="AA50" s="28"/>
      <c r="AB50" s="28"/>
    </row>
    <row r="51" spans="2:40" ht="15.75" thickBot="1" x14ac:dyDescent="0.3">
      <c r="C51" s="290" t="s">
        <v>173</v>
      </c>
      <c r="D51" s="467">
        <v>1</v>
      </c>
      <c r="E51" s="969">
        <f>D51</f>
        <v>1</v>
      </c>
      <c r="F51" s="971">
        <f>1-E51</f>
        <v>0</v>
      </c>
      <c r="G51" s="17"/>
      <c r="Q51" s="190"/>
    </row>
    <row r="52" spans="2:40" x14ac:dyDescent="0.25">
      <c r="C52" s="17"/>
      <c r="D52" s="209"/>
      <c r="E52" s="17"/>
      <c r="F52" s="7"/>
      <c r="G52" s="17"/>
    </row>
    <row r="53" spans="2:40" x14ac:dyDescent="0.25">
      <c r="G53" s="190"/>
      <c r="H53" s="190"/>
      <c r="M53" s="190"/>
    </row>
    <row r="54" spans="2:40" x14ac:dyDescent="0.25">
      <c r="G54" s="190"/>
      <c r="H54" s="190"/>
      <c r="M54" s="190"/>
    </row>
    <row r="55" spans="2:40" x14ac:dyDescent="0.25">
      <c r="G55" s="190"/>
      <c r="H55" s="190"/>
      <c r="M55" s="190"/>
    </row>
    <row r="56" spans="2:40" x14ac:dyDescent="0.25">
      <c r="G56" s="190"/>
      <c r="H56" s="190"/>
      <c r="M56" s="190"/>
    </row>
    <row r="57" spans="2:40" x14ac:dyDescent="0.25">
      <c r="G57" s="190"/>
      <c r="H57" s="190"/>
      <c r="M57" s="190"/>
      <c r="AE57" s="7"/>
      <c r="AF57" s="7"/>
      <c r="AG57" s="7"/>
      <c r="AH57" s="7"/>
      <c r="AI57" s="7"/>
      <c r="AJ57" s="7"/>
      <c r="AK57" s="7"/>
      <c r="AL57" s="7"/>
      <c r="AM57" s="7"/>
      <c r="AN57" s="7"/>
    </row>
    <row r="58" spans="2:40" x14ac:dyDescent="0.25">
      <c r="G58" s="190"/>
      <c r="H58" s="190"/>
      <c r="AE58" s="7"/>
      <c r="AF58" s="7"/>
      <c r="AG58" s="7"/>
      <c r="AH58" s="7"/>
      <c r="AI58" s="7"/>
      <c r="AJ58" s="7"/>
      <c r="AK58" s="7"/>
      <c r="AL58" s="7"/>
      <c r="AM58" s="7"/>
      <c r="AN58" s="7"/>
    </row>
    <row r="59" spans="2:40" x14ac:dyDescent="0.25">
      <c r="G59" s="190"/>
      <c r="H59" s="190"/>
      <c r="AE59" s="7"/>
      <c r="AF59" s="7"/>
      <c r="AG59" s="7"/>
      <c r="AH59" s="7"/>
      <c r="AI59" s="7"/>
      <c r="AJ59" s="7"/>
      <c r="AK59" s="7"/>
      <c r="AL59" s="7"/>
      <c r="AM59" s="7"/>
      <c r="AN59" s="7"/>
    </row>
    <row r="60" spans="2:40" x14ac:dyDescent="0.25">
      <c r="G60" s="190"/>
      <c r="H60" s="190"/>
      <c r="AE60" s="7"/>
      <c r="AF60" s="7"/>
      <c r="AG60" s="7"/>
      <c r="AH60" s="7"/>
      <c r="AI60" s="7"/>
      <c r="AJ60" s="7"/>
      <c r="AK60" s="7"/>
      <c r="AL60" s="7"/>
      <c r="AM60" s="7"/>
      <c r="AN60" s="7"/>
    </row>
    <row r="61" spans="2:40" x14ac:dyDescent="0.25">
      <c r="G61" s="190"/>
      <c r="H61" s="190"/>
      <c r="AE61" s="7"/>
      <c r="AF61" s="7"/>
      <c r="AG61" s="191"/>
      <c r="AH61" s="191"/>
      <c r="AI61" s="191"/>
      <c r="AJ61" s="191"/>
      <c r="AK61" s="191"/>
      <c r="AL61" s="191"/>
      <c r="AM61" s="191"/>
      <c r="AN61" s="191"/>
    </row>
    <row r="62" spans="2:40" s="33" customFormat="1" x14ac:dyDescent="0.25">
      <c r="B62"/>
      <c r="C62"/>
      <c r="D62"/>
      <c r="G62" s="190"/>
      <c r="H62" s="190"/>
      <c r="S62"/>
      <c r="T62"/>
      <c r="U62"/>
      <c r="V62"/>
      <c r="W62"/>
      <c r="X62"/>
      <c r="Y62"/>
      <c r="Z62"/>
      <c r="AA62"/>
      <c r="AB62"/>
      <c r="AC62"/>
      <c r="AD62"/>
      <c r="AE62" s="7"/>
      <c r="AF62" s="21"/>
      <c r="AG62" s="7"/>
      <c r="AH62" s="7"/>
      <c r="AI62" s="7"/>
      <c r="AJ62" s="7"/>
      <c r="AK62" s="7"/>
      <c r="AL62" s="7"/>
      <c r="AM62" s="7"/>
      <c r="AN62" s="7"/>
    </row>
    <row r="63" spans="2:40" s="33" customFormat="1" x14ac:dyDescent="0.25">
      <c r="B63"/>
      <c r="C63"/>
      <c r="D63"/>
      <c r="G63" s="190"/>
      <c r="H63" s="190"/>
      <c r="S63"/>
      <c r="T63"/>
      <c r="U63"/>
      <c r="V63"/>
      <c r="W63"/>
      <c r="X63"/>
      <c r="Y63"/>
      <c r="Z63"/>
      <c r="AA63"/>
      <c r="AB63"/>
      <c r="AC63"/>
      <c r="AD63"/>
      <c r="AE63" s="7"/>
      <c r="AF63" s="21"/>
      <c r="AG63" s="7"/>
      <c r="AH63" s="7"/>
      <c r="AI63" s="7"/>
      <c r="AJ63" s="7"/>
      <c r="AK63" s="7"/>
      <c r="AL63" s="7"/>
      <c r="AM63" s="7"/>
      <c r="AN63" s="7"/>
    </row>
    <row r="64" spans="2:40" x14ac:dyDescent="0.25">
      <c r="AE64" s="7"/>
      <c r="AF64" s="7"/>
      <c r="AG64" s="7"/>
      <c r="AH64" s="7"/>
      <c r="AI64" s="7"/>
      <c r="AJ64" s="7"/>
      <c r="AK64" s="7"/>
      <c r="AL64" s="7"/>
      <c r="AM64" s="7"/>
      <c r="AN64" s="7"/>
    </row>
    <row r="65" spans="2:40" s="33" customFormat="1" x14ac:dyDescent="0.25">
      <c r="B65"/>
      <c r="C65"/>
      <c r="D65"/>
      <c r="G65" s="190"/>
      <c r="H65" s="190"/>
      <c r="S65"/>
      <c r="T65"/>
      <c r="U65"/>
      <c r="V65"/>
      <c r="W65"/>
      <c r="X65"/>
      <c r="Y65"/>
      <c r="Z65"/>
      <c r="AA65"/>
      <c r="AB65"/>
      <c r="AC65"/>
      <c r="AD65"/>
      <c r="AE65" s="7"/>
      <c r="AF65" s="7"/>
      <c r="AG65" s="7"/>
      <c r="AH65" s="7"/>
      <c r="AI65" s="7"/>
      <c r="AJ65" s="7"/>
      <c r="AK65" s="7"/>
      <c r="AL65" s="7"/>
      <c r="AM65" s="7"/>
      <c r="AN65" s="7"/>
    </row>
    <row r="66" spans="2:40" s="33" customFormat="1" x14ac:dyDescent="0.25">
      <c r="B66"/>
      <c r="C66"/>
      <c r="D66"/>
      <c r="G66" s="190"/>
      <c r="H66" s="190"/>
      <c r="S66"/>
      <c r="T66"/>
      <c r="U66"/>
      <c r="V66"/>
      <c r="W66"/>
      <c r="X66"/>
      <c r="Y66"/>
      <c r="Z66"/>
      <c r="AA66"/>
      <c r="AB66"/>
      <c r="AC66"/>
      <c r="AD66"/>
      <c r="AE66" s="7"/>
      <c r="AF66" s="7"/>
      <c r="AG66" s="7"/>
      <c r="AH66" s="7"/>
      <c r="AI66" s="7"/>
      <c r="AJ66" s="7"/>
      <c r="AK66" s="7"/>
      <c r="AL66" s="7"/>
      <c r="AM66" s="7"/>
      <c r="AN66" s="7"/>
    </row>
    <row r="67" spans="2:40" s="33" customFormat="1" x14ac:dyDescent="0.25">
      <c r="B67"/>
      <c r="C67"/>
      <c r="D67"/>
      <c r="G67" s="190"/>
      <c r="H67" s="190"/>
      <c r="S67"/>
      <c r="T67"/>
      <c r="U67"/>
      <c r="V67"/>
      <c r="W67"/>
      <c r="X67"/>
      <c r="Y67"/>
      <c r="Z67"/>
      <c r="AA67"/>
      <c r="AB67"/>
      <c r="AC67"/>
      <c r="AD67"/>
      <c r="AE67" s="7"/>
      <c r="AF67" s="7"/>
      <c r="AG67" s="7"/>
      <c r="AH67" s="7"/>
      <c r="AI67" s="7"/>
      <c r="AJ67" s="7"/>
      <c r="AK67" s="7"/>
      <c r="AL67" s="7"/>
      <c r="AM67" s="7"/>
      <c r="AN67" s="7"/>
    </row>
    <row r="68" spans="2:40" s="33" customFormat="1" x14ac:dyDescent="0.25">
      <c r="B68"/>
      <c r="C68"/>
      <c r="D68"/>
      <c r="G68" s="190"/>
      <c r="H68" s="190"/>
      <c r="S68"/>
      <c r="T68"/>
      <c r="U68"/>
      <c r="V68"/>
      <c r="W68"/>
      <c r="X68"/>
      <c r="Y68"/>
      <c r="Z68"/>
      <c r="AA68"/>
      <c r="AB68"/>
      <c r="AC68"/>
      <c r="AD68"/>
      <c r="AE68" s="7"/>
      <c r="AF68" s="7"/>
      <c r="AG68" s="7"/>
      <c r="AH68" s="7"/>
      <c r="AI68" s="7"/>
      <c r="AJ68" s="7"/>
      <c r="AK68" s="7"/>
      <c r="AL68" s="7"/>
      <c r="AM68" s="7"/>
      <c r="AN68" s="7"/>
    </row>
    <row r="69" spans="2:40" x14ac:dyDescent="0.25">
      <c r="AE69" s="7"/>
      <c r="AF69" s="7"/>
      <c r="AG69" s="7"/>
      <c r="AH69" s="7"/>
      <c r="AI69" s="7"/>
      <c r="AJ69" s="7"/>
      <c r="AK69" s="7"/>
      <c r="AL69" s="7"/>
      <c r="AM69" s="7"/>
      <c r="AN69" s="7"/>
    </row>
    <row r="70" spans="2:40" x14ac:dyDescent="0.25">
      <c r="AE70" s="7"/>
      <c r="AF70" s="7"/>
      <c r="AG70" s="7"/>
      <c r="AH70" s="7"/>
      <c r="AI70" s="7"/>
      <c r="AJ70" s="7"/>
      <c r="AK70" s="7"/>
      <c r="AL70" s="7"/>
      <c r="AM70" s="7"/>
      <c r="AN70" s="7"/>
    </row>
    <row r="71" spans="2:40" x14ac:dyDescent="0.25">
      <c r="AE71" s="7"/>
      <c r="AF71" s="7"/>
      <c r="AG71" s="7"/>
      <c r="AH71" s="7"/>
      <c r="AI71" s="7"/>
      <c r="AJ71" s="7"/>
      <c r="AK71" s="7"/>
      <c r="AL71" s="7"/>
      <c r="AM71" s="7"/>
      <c r="AN71" s="7"/>
    </row>
    <row r="72" spans="2:40" x14ac:dyDescent="0.25">
      <c r="AE72" s="7"/>
      <c r="AF72" s="7"/>
      <c r="AG72" s="7"/>
      <c r="AH72" s="7"/>
      <c r="AI72" s="7"/>
      <c r="AJ72" s="7"/>
      <c r="AK72" s="7"/>
      <c r="AL72" s="7"/>
      <c r="AM72" s="7"/>
      <c r="AN72" s="7"/>
    </row>
    <row r="73" spans="2:40" x14ac:dyDescent="0.25">
      <c r="AE73" s="7"/>
      <c r="AF73" s="7"/>
      <c r="AG73" s="7"/>
      <c r="AH73" s="7"/>
      <c r="AI73" s="7"/>
      <c r="AJ73" s="7"/>
      <c r="AK73" s="7"/>
      <c r="AL73" s="7"/>
      <c r="AM73" s="7"/>
      <c r="AN73" s="7"/>
    </row>
    <row r="74" spans="2:40" x14ac:dyDescent="0.25">
      <c r="AE74" s="7"/>
      <c r="AF74" s="7"/>
      <c r="AG74" s="7"/>
      <c r="AH74" s="7"/>
      <c r="AI74" s="7"/>
      <c r="AJ74" s="7"/>
      <c r="AK74" s="7"/>
      <c r="AL74" s="7"/>
      <c r="AM74" s="7"/>
      <c r="AN74" s="7"/>
    </row>
  </sheetData>
  <mergeCells count="13">
    <mergeCell ref="AB26:AC26"/>
    <mergeCell ref="M20:N20"/>
    <mergeCell ref="Z20:Z21"/>
    <mergeCell ref="AF21:AN21"/>
    <mergeCell ref="AB22:AC23"/>
    <mergeCell ref="AF23:AI23"/>
    <mergeCell ref="AK23:AN23"/>
    <mergeCell ref="C4:C7"/>
    <mergeCell ref="C9:C11"/>
    <mergeCell ref="C13:C17"/>
    <mergeCell ref="S20:T20"/>
    <mergeCell ref="E9:J9"/>
    <mergeCell ref="E4:J4"/>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249977111117893"/>
  </sheetPr>
  <dimension ref="B1:AI44"/>
  <sheetViews>
    <sheetView workbookViewId="0">
      <selection activeCell="S34" sqref="S34"/>
    </sheetView>
  </sheetViews>
  <sheetFormatPr defaultRowHeight="15" x14ac:dyDescent="0.25"/>
  <cols>
    <col min="1" max="1" width="3.28515625" customWidth="1"/>
    <col min="2" max="2" width="14" customWidth="1"/>
    <col min="10" max="10" width="9.5703125" customWidth="1"/>
    <col min="13" max="18" width="9.140625" customWidth="1"/>
    <col min="26" max="26" width="10" customWidth="1"/>
  </cols>
  <sheetData>
    <row r="1" spans="2:21" ht="8.25" customHeight="1" x14ac:dyDescent="0.25"/>
    <row r="2" spans="2:21" ht="26.25" x14ac:dyDescent="0.4">
      <c r="B2" s="765" t="s">
        <v>616</v>
      </c>
    </row>
    <row r="3" spans="2:21" x14ac:dyDescent="0.25">
      <c r="B3" t="s">
        <v>617</v>
      </c>
    </row>
    <row r="4" spans="2:21" ht="9" customHeight="1" thickBot="1" x14ac:dyDescent="0.3"/>
    <row r="5" spans="2:21" x14ac:dyDescent="0.25">
      <c r="B5" s="1026" t="s">
        <v>550</v>
      </c>
      <c r="C5" s="10"/>
      <c r="D5" s="276" t="s">
        <v>551</v>
      </c>
      <c r="E5" s="276" t="s">
        <v>552</v>
      </c>
      <c r="F5" s="276" t="s">
        <v>553</v>
      </c>
      <c r="G5" s="276" t="s">
        <v>554</v>
      </c>
      <c r="H5" s="276" t="s">
        <v>555</v>
      </c>
      <c r="I5" s="276" t="s">
        <v>556</v>
      </c>
      <c r="J5" s="276" t="s">
        <v>557</v>
      </c>
      <c r="K5" s="1021" t="s">
        <v>558</v>
      </c>
      <c r="M5" s="1027" t="s">
        <v>559</v>
      </c>
      <c r="N5" s="152"/>
      <c r="O5" s="152"/>
      <c r="P5" s="152"/>
      <c r="Q5" s="152"/>
      <c r="R5" s="152"/>
      <c r="S5" s="152"/>
      <c r="T5" s="152"/>
      <c r="U5" s="239"/>
    </row>
    <row r="6" spans="2:21" x14ac:dyDescent="0.25">
      <c r="B6" s="1028" t="s">
        <v>560</v>
      </c>
      <c r="C6" s="1029">
        <f ca="1">SUM(D6:K6)</f>
        <v>2.3887449798404772</v>
      </c>
      <c r="D6" s="1030">
        <f ca="1">RAND()</f>
        <v>5.8923650760080215E-2</v>
      </c>
      <c r="E6" s="1030">
        <f t="shared" ref="E6:K6" ca="1" si="0">RAND()</f>
        <v>0.35268827995792718</v>
      </c>
      <c r="F6" s="1030">
        <f t="shared" ca="1" si="0"/>
        <v>0.2899775756249986</v>
      </c>
      <c r="G6" s="1030">
        <f t="shared" ca="1" si="0"/>
        <v>0.34607547593533472</v>
      </c>
      <c r="H6" s="1030">
        <f t="shared" ca="1" si="0"/>
        <v>0.45960934506476003</v>
      </c>
      <c r="I6" s="1030">
        <f t="shared" ca="1" si="0"/>
        <v>0.2881972477741428</v>
      </c>
      <c r="J6" s="1030">
        <f t="shared" ca="1" si="0"/>
        <v>8.8477226413375076E-2</v>
      </c>
      <c r="K6" s="1031">
        <f t="shared" ca="1" si="0"/>
        <v>0.50479617830985868</v>
      </c>
      <c r="M6" s="5"/>
      <c r="N6" s="7"/>
      <c r="O6" s="7"/>
      <c r="P6" s="5" t="s">
        <v>561</v>
      </c>
      <c r="Q6" s="7"/>
      <c r="R6" s="7"/>
      <c r="S6" s="7"/>
      <c r="T6" s="7"/>
      <c r="U6" s="6"/>
    </row>
    <row r="7" spans="2:21" ht="16.5" thickBot="1" x14ac:dyDescent="0.3">
      <c r="B7" s="1032" t="s">
        <v>562</v>
      </c>
      <c r="C7" s="168"/>
      <c r="D7" s="1033">
        <f ca="1">D6/$C$6</f>
        <v>2.4667200248397882E-2</v>
      </c>
      <c r="E7" s="1033">
        <f t="shared" ref="E7:K7" ca="1" si="1">E6/$C$6</f>
        <v>0.14764584873412484</v>
      </c>
      <c r="F7" s="1033">
        <f t="shared" ca="1" si="1"/>
        <v>0.12139327474143498</v>
      </c>
      <c r="G7" s="1033">
        <f t="shared" ca="1" si="1"/>
        <v>0.1448775314468462</v>
      </c>
      <c r="H7" s="1033">
        <f t="shared" ca="1" si="1"/>
        <v>0.19240620030332967</v>
      </c>
      <c r="I7" s="1033">
        <f t="shared" ca="1" si="1"/>
        <v>0.1206479763249524</v>
      </c>
      <c r="J7" s="1033">
        <f t="shared" ca="1" si="1"/>
        <v>3.7039209777547571E-2</v>
      </c>
      <c r="K7" s="1034">
        <f t="shared" ca="1" si="1"/>
        <v>0.21132275842336651</v>
      </c>
      <c r="L7" s="1035"/>
      <c r="M7" s="1036"/>
      <c r="N7" s="7"/>
      <c r="O7" s="7"/>
      <c r="P7" s="5" t="str">
        <f>"Min: "&amp;M22</f>
        <v>Min: 1000</v>
      </c>
      <c r="Q7" s="7"/>
      <c r="R7" s="5" t="str">
        <f>"Max: "&amp;M19</f>
        <v>Max: 1100</v>
      </c>
      <c r="S7" s="7"/>
      <c r="T7" s="7"/>
      <c r="U7" s="6"/>
    </row>
    <row r="8" spans="2:21" x14ac:dyDescent="0.25">
      <c r="B8" s="116"/>
      <c r="C8" s="7"/>
      <c r="D8" s="1019"/>
      <c r="E8" s="1019"/>
      <c r="F8" s="1019"/>
      <c r="G8" s="1019"/>
      <c r="H8" s="1019"/>
      <c r="I8" s="1019"/>
      <c r="J8" s="1019"/>
      <c r="K8" s="183"/>
      <c r="M8" s="5"/>
      <c r="N8" s="7"/>
      <c r="O8" s="7"/>
      <c r="P8" s="5"/>
      <c r="Q8" s="7"/>
      <c r="R8" s="5"/>
      <c r="S8" s="7"/>
      <c r="T8" s="7"/>
      <c r="U8" s="6"/>
    </row>
    <row r="9" spans="2:21" ht="15.75" x14ac:dyDescent="0.25">
      <c r="B9" s="1037" t="s">
        <v>563</v>
      </c>
      <c r="C9" s="7"/>
      <c r="D9" s="1038">
        <v>1</v>
      </c>
      <c r="E9" s="1019"/>
      <c r="F9" s="1038">
        <v>1</v>
      </c>
      <c r="G9" s="1038">
        <f ca="1">IF(D26=1,H22,H23)</f>
        <v>2.0191079821669535</v>
      </c>
      <c r="H9" s="1019"/>
      <c r="I9" s="1019"/>
      <c r="J9" s="1019"/>
      <c r="K9" s="183"/>
      <c r="M9" s="5"/>
      <c r="N9" s="7"/>
      <c r="O9" s="7"/>
      <c r="P9" s="5"/>
      <c r="Q9" s="7"/>
      <c r="R9" s="5"/>
      <c r="S9" s="7"/>
      <c r="T9" s="7"/>
      <c r="U9" s="6"/>
    </row>
    <row r="10" spans="2:21" x14ac:dyDescent="0.25">
      <c r="B10" s="116"/>
      <c r="C10" s="7"/>
      <c r="D10" s="1019"/>
      <c r="E10" s="1019"/>
      <c r="F10" s="1019"/>
      <c r="G10" s="1019"/>
      <c r="H10" s="1019"/>
      <c r="I10" s="7"/>
      <c r="J10" s="7"/>
      <c r="K10" s="183"/>
      <c r="M10" s="5"/>
      <c r="N10" s="7"/>
      <c r="O10" s="7"/>
      <c r="P10" s="5" t="s">
        <v>564</v>
      </c>
      <c r="Q10" s="7"/>
      <c r="R10" s="5"/>
      <c r="S10" s="7"/>
      <c r="T10" s="7"/>
      <c r="U10" s="6"/>
    </row>
    <row r="11" spans="2:21" x14ac:dyDescent="0.25">
      <c r="B11" s="116"/>
      <c r="C11" s="7"/>
      <c r="D11" s="1019"/>
      <c r="E11" s="1019"/>
      <c r="F11" s="1019"/>
      <c r="G11" s="868"/>
      <c r="J11" s="868"/>
      <c r="K11" s="1039"/>
      <c r="M11" s="5"/>
      <c r="N11" s="7"/>
      <c r="O11" s="7"/>
      <c r="P11" s="5" t="s">
        <v>565</v>
      </c>
      <c r="Q11" s="24" t="s">
        <v>566</v>
      </c>
      <c r="R11" s="5"/>
      <c r="S11" s="7"/>
      <c r="T11" s="7"/>
      <c r="U11" s="6"/>
    </row>
    <row r="12" spans="2:21" x14ac:dyDescent="0.25">
      <c r="B12" s="1028" t="s">
        <v>560</v>
      </c>
      <c r="C12" s="1029">
        <f ca="1">SUM(D12:K12)</f>
        <v>1.909156517051398</v>
      </c>
      <c r="D12" s="1030">
        <v>0</v>
      </c>
      <c r="E12" s="1030">
        <f t="shared" ref="E12:K12" ca="1" si="2">RAND()</f>
        <v>0.97985393999142578</v>
      </c>
      <c r="F12" s="1030">
        <v>0</v>
      </c>
      <c r="G12" s="1030">
        <f t="shared" ca="1" si="2"/>
        <v>0.20390234738093327</v>
      </c>
      <c r="H12" s="1030">
        <v>0</v>
      </c>
      <c r="I12" s="1030">
        <f t="shared" ca="1" si="2"/>
        <v>0.30944848093794008</v>
      </c>
      <c r="J12" s="1030">
        <v>0</v>
      </c>
      <c r="K12" s="1031">
        <f t="shared" ca="1" si="2"/>
        <v>0.41595174874109875</v>
      </c>
      <c r="M12" s="2" t="s">
        <v>567</v>
      </c>
      <c r="N12" s="247"/>
      <c r="O12" s="3" t="s">
        <v>568</v>
      </c>
      <c r="P12" s="1040">
        <f ca="1">D7</f>
        <v>2.4667200248397882E-2</v>
      </c>
      <c r="Q12" s="1040">
        <f ca="1">F7</f>
        <v>0.12139327474143498</v>
      </c>
      <c r="R12" s="1040">
        <f ca="1">H7</f>
        <v>0.19240620030332967</v>
      </c>
      <c r="S12" s="1040">
        <f ca="1">J7</f>
        <v>3.7039209777547571E-2</v>
      </c>
      <c r="T12" s="7"/>
      <c r="U12" s="6" t="s">
        <v>569</v>
      </c>
    </row>
    <row r="13" spans="2:21" x14ac:dyDescent="0.25">
      <c r="B13" s="1028" t="s">
        <v>570</v>
      </c>
      <c r="C13" s="1041"/>
      <c r="D13" s="1010">
        <f t="shared" ref="D13" ca="1" si="3">D12/$C12</f>
        <v>0</v>
      </c>
      <c r="E13" s="1010">
        <f ca="1">E12/$C12</f>
        <v>0.51323918769361243</v>
      </c>
      <c r="F13" s="1010">
        <f t="shared" ref="F13:K13" ca="1" si="4">F12/$C12</f>
        <v>0</v>
      </c>
      <c r="G13" s="1010">
        <f t="shared" ca="1" si="4"/>
        <v>0.1068023211087223</v>
      </c>
      <c r="H13" s="1010">
        <f t="shared" ca="1" si="4"/>
        <v>0</v>
      </c>
      <c r="I13" s="1010">
        <f t="shared" ca="1" si="4"/>
        <v>0.16208649116724522</v>
      </c>
      <c r="J13" s="1010">
        <f t="shared" ca="1" si="4"/>
        <v>0</v>
      </c>
      <c r="K13" s="1042">
        <f t="shared" ca="1" si="4"/>
        <v>0.21787200003042001</v>
      </c>
      <c r="M13" s="5"/>
      <c r="N13" s="247"/>
      <c r="O13" s="3" t="s">
        <v>571</v>
      </c>
      <c r="P13" s="1040">
        <f ca="1">E7</f>
        <v>0.14764584873412484</v>
      </c>
      <c r="Q13" s="1040">
        <f ca="1">G7</f>
        <v>0.1448775314468462</v>
      </c>
      <c r="R13" s="1040">
        <f ca="1">I7</f>
        <v>0.1206479763249524</v>
      </c>
      <c r="S13" s="1040">
        <f ca="1">K7</f>
        <v>0.21132275842336651</v>
      </c>
      <c r="T13" s="7"/>
      <c r="U13" s="1043">
        <f ca="1">SUM(P13:S13)</f>
        <v>0.62449411492928997</v>
      </c>
    </row>
    <row r="14" spans="2:21" x14ac:dyDescent="0.25">
      <c r="B14" s="1028" t="s">
        <v>572</v>
      </c>
      <c r="C14" s="1044">
        <f ca="1">SUM(K13,I13)</f>
        <v>0.37995849119766523</v>
      </c>
      <c r="D14" s="1045">
        <f ca="1">C14-F20</f>
        <v>-9.6226553554749072E-3</v>
      </c>
      <c r="E14" s="1041"/>
      <c r="F14" s="1041"/>
      <c r="G14" s="1041"/>
      <c r="H14" s="1041"/>
      <c r="I14" s="1041"/>
      <c r="J14" s="1041"/>
      <c r="K14" s="1046"/>
      <c r="M14" s="5"/>
      <c r="N14" s="7"/>
      <c r="O14" s="7"/>
      <c r="P14" s="7"/>
      <c r="Q14" s="7"/>
      <c r="R14" s="7"/>
      <c r="S14" s="7"/>
      <c r="T14" s="7"/>
      <c r="U14" s="6"/>
    </row>
    <row r="15" spans="2:21" ht="15.75" x14ac:dyDescent="0.25">
      <c r="B15" s="1047" t="s">
        <v>573</v>
      </c>
      <c r="C15" s="6"/>
      <c r="D15" s="1048">
        <f t="shared" ref="D15:J15" ca="1" si="5">E16</f>
        <v>0.50913425918585808</v>
      </c>
      <c r="E15" s="1048">
        <f t="shared" si="5"/>
        <v>0</v>
      </c>
      <c r="F15" s="1048">
        <f t="shared" ca="1" si="5"/>
        <v>0.10128459426100174</v>
      </c>
      <c r="G15" s="1048">
        <f t="shared" si="5"/>
        <v>0</v>
      </c>
      <c r="H15" s="1048">
        <f t="shared" ca="1" si="5"/>
        <v>0.16619141967499956</v>
      </c>
      <c r="I15" s="1048">
        <f t="shared" si="5"/>
        <v>0</v>
      </c>
      <c r="J15" s="1048">
        <f t="shared" ca="1" si="5"/>
        <v>0.22338972687814057</v>
      </c>
      <c r="K15" s="1049">
        <v>0</v>
      </c>
      <c r="L15" t="s">
        <v>574</v>
      </c>
      <c r="M15" s="5"/>
      <c r="N15" s="7"/>
      <c r="O15" s="7"/>
      <c r="P15" s="7" t="s">
        <v>575</v>
      </c>
      <c r="Q15" s="189">
        <f ca="1">SUM(Q12:Q13,S12:S13)</f>
        <v>0.51463277438919519</v>
      </c>
      <c r="R15" s="7"/>
      <c r="S15" s="7" t="s">
        <v>576</v>
      </c>
      <c r="T15" s="7"/>
      <c r="U15" s="6"/>
    </row>
    <row r="16" spans="2:21" ht="15.75" x14ac:dyDescent="0.25">
      <c r="B16" s="1047" t="s">
        <v>577</v>
      </c>
      <c r="C16" s="6">
        <f ca="1">SUM(K16,I16)</f>
        <v>0.38958114655314013</v>
      </c>
      <c r="D16" s="1048">
        <v>0</v>
      </c>
      <c r="E16" s="1048">
        <f ca="1">E13+(I13-I16)</f>
        <v>0.50913425918585808</v>
      </c>
      <c r="F16" s="1048">
        <v>0</v>
      </c>
      <c r="G16" s="1048">
        <f ca="1">G13+(K13-K16)</f>
        <v>0.10128459426100174</v>
      </c>
      <c r="H16" s="1048">
        <v>0</v>
      </c>
      <c r="I16" s="1048">
        <f ca="1">I13-(D14)*(I13/(I13+K13))</f>
        <v>0.16619141967499956</v>
      </c>
      <c r="J16" s="1048">
        <v>0</v>
      </c>
      <c r="K16" s="1049">
        <f ca="1">K13-(D14)*(K13/(K13+I13))</f>
        <v>0.22338972687814057</v>
      </c>
      <c r="L16" t="s">
        <v>348</v>
      </c>
      <c r="M16" s="2"/>
      <c r="N16" s="247"/>
      <c r="O16" s="247"/>
      <c r="P16" s="247"/>
      <c r="Q16" s="247"/>
      <c r="R16" s="247"/>
      <c r="S16" s="725">
        <f ca="1">SUM(R12:S13)</f>
        <v>0.56141614482919611</v>
      </c>
      <c r="T16" s="247"/>
      <c r="U16" s="3"/>
    </row>
    <row r="17" spans="2:35" ht="15.75" thickBot="1" x14ac:dyDescent="0.3">
      <c r="B17" s="121"/>
      <c r="C17" s="168"/>
      <c r="D17" s="1020"/>
      <c r="E17" s="1020"/>
      <c r="F17" s="1050"/>
      <c r="G17" s="1020"/>
      <c r="H17" s="763"/>
      <c r="I17" s="1020"/>
      <c r="J17" s="647"/>
      <c r="K17" s="1022"/>
    </row>
    <row r="18" spans="2:35" ht="15.75" thickBot="1" x14ac:dyDescent="0.3">
      <c r="B18" s="1051" t="s">
        <v>578</v>
      </c>
      <c r="C18" s="10"/>
      <c r="D18" s="10"/>
      <c r="E18" s="10"/>
      <c r="F18" s="10"/>
      <c r="G18" s="10"/>
      <c r="H18" s="10"/>
      <c r="I18" s="10"/>
      <c r="J18" s="10"/>
      <c r="K18" s="10"/>
      <c r="L18" s="10"/>
      <c r="M18" s="1052" t="s">
        <v>579</v>
      </c>
      <c r="N18" s="276" t="s">
        <v>580</v>
      </c>
      <c r="O18" s="1053" t="s">
        <v>581</v>
      </c>
      <c r="P18" s="11"/>
    </row>
    <row r="19" spans="2:35" x14ac:dyDescent="0.25">
      <c r="B19" s="116"/>
      <c r="C19" s="145" t="s">
        <v>582</v>
      </c>
      <c r="D19" s="145" t="s">
        <v>583</v>
      </c>
      <c r="E19" s="145" t="s">
        <v>584</v>
      </c>
      <c r="F19" s="1054" t="s">
        <v>585</v>
      </c>
      <c r="G19" s="145" t="s">
        <v>586</v>
      </c>
      <c r="H19" s="7"/>
      <c r="I19" s="1055" t="s">
        <v>587</v>
      </c>
      <c r="J19" s="7" t="s">
        <v>588</v>
      </c>
      <c r="K19" s="7"/>
      <c r="L19" s="145" t="s">
        <v>406</v>
      </c>
      <c r="M19" s="961">
        <v>1100</v>
      </c>
      <c r="N19" s="1056">
        <v>1</v>
      </c>
      <c r="O19" s="1057">
        <f>1-N19</f>
        <v>0</v>
      </c>
      <c r="P19" s="102"/>
      <c r="R19" s="7"/>
      <c r="S19" s="7"/>
      <c r="T19" s="7"/>
      <c r="U19" s="7"/>
      <c r="V19" s="7"/>
      <c r="W19" s="7"/>
      <c r="X19" s="7"/>
      <c r="Y19" s="7"/>
      <c r="Z19" s="7"/>
      <c r="AA19" s="7"/>
    </row>
    <row r="20" spans="2:35" ht="15.75" thickBot="1" x14ac:dyDescent="0.3">
      <c r="B20" s="116"/>
      <c r="C20" s="1019">
        <f ca="1">SUM(H7:K7)</f>
        <v>0.56141614482919611</v>
      </c>
      <c r="D20" s="1019">
        <f ca="1">SUM(F7:G7,J7:K7)</f>
        <v>0.51463277438919519</v>
      </c>
      <c r="E20" s="759">
        <f ca="1">SUM(I7,K7)</f>
        <v>0.3319707347483189</v>
      </c>
      <c r="F20" s="1058">
        <f ca="1">IF(G20&gt;=0.25,G20+0.001,0.25)</f>
        <v>0.38958114655314013</v>
      </c>
      <c r="G20" s="7">
        <f ca="1">SUM(G7,K7)*(C20/D20)</f>
        <v>0.38858114655314013</v>
      </c>
      <c r="H20" s="7"/>
      <c r="I20" s="1059">
        <v>500</v>
      </c>
      <c r="J20" s="7">
        <f ca="1" xml:space="preserve"> ( (M20-M21)/M20 ) / ( (O21/O20)-1)</f>
        <v>4.1526993080897766E-2</v>
      </c>
      <c r="K20" s="7"/>
      <c r="L20" s="1019" t="s">
        <v>589</v>
      </c>
      <c r="M20" s="679">
        <f ca="1">N20*M$23+M$22</f>
        <v>1056.1416144829195</v>
      </c>
      <c r="N20" s="255">
        <f ca="1">C20</f>
        <v>0.56141614482919611</v>
      </c>
      <c r="O20" s="1060">
        <f ca="1">1-N20</f>
        <v>0.43858385517080389</v>
      </c>
      <c r="P20" s="102"/>
      <c r="R20" s="7"/>
      <c r="S20" s="7"/>
      <c r="T20" s="7"/>
      <c r="U20" s="7"/>
      <c r="V20" s="7"/>
      <c r="W20" s="7"/>
      <c r="X20" s="7"/>
      <c r="Y20" s="7"/>
      <c r="Z20" s="7"/>
      <c r="AA20" s="7"/>
    </row>
    <row r="21" spans="2:35" x14ac:dyDescent="0.25">
      <c r="B21" s="116"/>
      <c r="C21" s="7"/>
      <c r="D21" s="7"/>
      <c r="E21" s="7"/>
      <c r="F21" s="7"/>
      <c r="G21" s="7"/>
      <c r="H21" s="7"/>
      <c r="I21" s="7"/>
      <c r="J21" s="7"/>
      <c r="K21" s="7"/>
      <c r="L21" s="1019" t="s">
        <v>590</v>
      </c>
      <c r="M21" s="679">
        <f ca="1">N21*M$23+M$22</f>
        <v>1038.9581146553139</v>
      </c>
      <c r="N21" s="255">
        <f ca="1">SUM(H16:K16)</f>
        <v>0.38958114655314013</v>
      </c>
      <c r="O21" s="1060">
        <f ca="1">1-N21</f>
        <v>0.61041885344685987</v>
      </c>
      <c r="P21" s="102"/>
      <c r="R21" s="1036"/>
      <c r="S21" s="7"/>
      <c r="T21" s="7"/>
    </row>
    <row r="22" spans="2:35" x14ac:dyDescent="0.25">
      <c r="B22" s="116" t="s">
        <v>591</v>
      </c>
      <c r="C22" s="7" t="s">
        <v>592</v>
      </c>
      <c r="D22" s="7" t="s">
        <v>593</v>
      </c>
      <c r="E22" s="8" t="s">
        <v>594</v>
      </c>
      <c r="F22" s="1019"/>
      <c r="G22" s="1061" t="s">
        <v>595</v>
      </c>
      <c r="H22" s="7">
        <f ca="1">SUM(D7,F7)*(C20/D20)*(1/F20) / (( 1 - (SUM(G7,K7)*(C20/D20)*(1/F20) ) ))</f>
        <v>159.33829491920679</v>
      </c>
      <c r="I22" s="7"/>
      <c r="J22" s="7"/>
      <c r="K22" s="7"/>
      <c r="L22" s="1018" t="s">
        <v>405</v>
      </c>
      <c r="M22" s="1062">
        <v>1000</v>
      </c>
      <c r="N22" s="271">
        <v>0</v>
      </c>
      <c r="O22" s="1063">
        <f>1-N22</f>
        <v>1</v>
      </c>
      <c r="P22" s="102"/>
      <c r="R22" s="7"/>
      <c r="S22" s="7"/>
      <c r="T22" s="7"/>
    </row>
    <row r="23" spans="2:35" x14ac:dyDescent="0.25">
      <c r="B23" s="116">
        <f ca="1">SUMPRODUCT(D7:K7,$D$9:$K$9)</f>
        <v>0.43858385517080389</v>
      </c>
      <c r="C23" s="7">
        <f ca="1">SUM(H7:K7)</f>
        <v>0.56141614482919611</v>
      </c>
      <c r="D23" s="7">
        <f ca="1">C23*$M$23 +$M$22</f>
        <v>1056.1416144829195</v>
      </c>
      <c r="E23" s="7">
        <f ca="1">D23*B23</f>
        <v>463.2066608862358</v>
      </c>
      <c r="F23" s="7"/>
      <c r="G23" s="7" t="s">
        <v>596</v>
      </c>
      <c r="H23" s="7">
        <f ca="1" xml:space="preserve"> ( (1-C20) - SUMPRODUCT(D9:F9,D7:F7) )/G7</f>
        <v>2.0191079821669535</v>
      </c>
      <c r="I23" s="7"/>
      <c r="J23" s="7"/>
      <c r="K23" s="7"/>
      <c r="L23" s="145" t="s">
        <v>597</v>
      </c>
      <c r="M23" s="1064">
        <f>M19-M22</f>
        <v>100</v>
      </c>
      <c r="N23" s="1019"/>
      <c r="O23" s="7"/>
      <c r="P23" s="102"/>
      <c r="R23" s="7"/>
      <c r="S23" s="7"/>
      <c r="T23" s="7"/>
      <c r="W23" s="7"/>
      <c r="X23" s="7"/>
      <c r="Y23" s="7"/>
      <c r="Z23" s="7"/>
      <c r="AA23" s="7"/>
    </row>
    <row r="24" spans="2:35" ht="15.75" thickBot="1" x14ac:dyDescent="0.3">
      <c r="B24" s="116"/>
      <c r="C24" s="7"/>
      <c r="D24" s="7"/>
      <c r="E24" s="7"/>
      <c r="F24" s="7"/>
      <c r="G24" s="7"/>
      <c r="H24" s="168"/>
      <c r="I24" s="1065"/>
      <c r="J24" s="168"/>
      <c r="K24" s="168"/>
      <c r="L24" s="168"/>
      <c r="M24" s="168"/>
      <c r="N24" s="168"/>
      <c r="O24" s="168"/>
      <c r="P24" s="102"/>
      <c r="R24" s="7"/>
      <c r="S24" s="7"/>
      <c r="T24" s="7"/>
      <c r="U24" s="7"/>
      <c r="V24" s="7"/>
      <c r="W24" s="7"/>
      <c r="X24" s="7"/>
      <c r="Y24" s="7"/>
      <c r="Z24" s="7"/>
      <c r="AA24" s="7"/>
    </row>
    <row r="25" spans="2:35" x14ac:dyDescent="0.25">
      <c r="B25" s="116"/>
      <c r="C25" s="7"/>
      <c r="D25" s="7"/>
      <c r="E25" s="102"/>
      <c r="F25" s="1026" t="s">
        <v>598</v>
      </c>
      <c r="G25" s="10"/>
      <c r="H25" s="10"/>
      <c r="I25" s="10"/>
      <c r="J25" s="10"/>
      <c r="K25" s="10"/>
      <c r="L25" s="10"/>
      <c r="M25" s="10"/>
      <c r="N25" s="10"/>
      <c r="O25" s="10"/>
      <c r="P25" s="11"/>
      <c r="R25" s="7"/>
      <c r="S25" s="7"/>
      <c r="T25" s="7"/>
      <c r="U25" s="7"/>
      <c r="V25" s="7"/>
      <c r="W25" s="7"/>
      <c r="X25" s="7"/>
      <c r="Y25" s="7"/>
      <c r="Z25" s="7"/>
      <c r="AA25" s="7"/>
    </row>
    <row r="26" spans="2:35" x14ac:dyDescent="0.25">
      <c r="B26" s="116"/>
      <c r="C26" s="1016" t="s">
        <v>599</v>
      </c>
      <c r="D26" s="343">
        <v>0</v>
      </c>
      <c r="E26" s="102"/>
      <c r="F26" s="116"/>
      <c r="G26" s="1216" t="s">
        <v>600</v>
      </c>
      <c r="H26" s="1216"/>
      <c r="I26" s="1216"/>
      <c r="J26" s="1216"/>
      <c r="K26" s="1216" t="s">
        <v>601</v>
      </c>
      <c r="L26" s="1216"/>
      <c r="M26" s="1216"/>
      <c r="N26" s="1216"/>
      <c r="O26" s="7"/>
      <c r="P26" s="102"/>
      <c r="T26" s="7"/>
      <c r="U26" s="19"/>
      <c r="V26" s="19"/>
      <c r="W26" s="19"/>
      <c r="X26" s="19"/>
      <c r="Y26" s="7"/>
      <c r="Z26" s="7"/>
      <c r="AA26" s="7"/>
    </row>
    <row r="27" spans="2:35" x14ac:dyDescent="0.25">
      <c r="B27" s="116"/>
      <c r="C27" s="7"/>
      <c r="D27" s="7"/>
      <c r="E27" s="102"/>
      <c r="F27" s="116"/>
      <c r="G27" s="1019" t="s">
        <v>399</v>
      </c>
      <c r="H27" s="1019" t="s">
        <v>602</v>
      </c>
      <c r="I27" s="1019" t="s">
        <v>603</v>
      </c>
      <c r="J27" s="1019" t="s">
        <v>12</v>
      </c>
      <c r="K27" s="1019" t="s">
        <v>12</v>
      </c>
      <c r="L27" s="1019" t="s">
        <v>603</v>
      </c>
      <c r="M27" s="1019" t="s">
        <v>604</v>
      </c>
      <c r="N27" s="1019" t="s">
        <v>399</v>
      </c>
      <c r="O27" s="1019" t="s">
        <v>236</v>
      </c>
      <c r="P27" s="183"/>
      <c r="R27" s="145" t="s">
        <v>605</v>
      </c>
      <c r="S27" s="855">
        <f ca="1">SUM(F16:G16,J16:K16) / SUM(F7:G7,J7:K7)</f>
        <v>0.63088543384064522</v>
      </c>
    </row>
    <row r="28" spans="2:35" ht="15" customHeight="1" x14ac:dyDescent="0.25">
      <c r="B28" s="1066">
        <f ca="1">SUMPRODUCT(D15:K15,$D$9:$K$9)</f>
        <v>0.61041885344685987</v>
      </c>
      <c r="C28" s="7">
        <f ca="1">SUM(H15:K15)</f>
        <v>0.38958114655314013</v>
      </c>
      <c r="D28" s="7">
        <f ca="1">C28*$M$23 +$M$22</f>
        <v>1038.9581146553139</v>
      </c>
      <c r="E28" s="102">
        <f ca="1">D28*B28</f>
        <v>634.19962112720793</v>
      </c>
      <c r="F28" s="116" t="s">
        <v>574</v>
      </c>
      <c r="G28" s="1067">
        <f ca="1">$I$20*(1-$J$20)</f>
        <v>479.2365034595511</v>
      </c>
      <c r="H28" s="1067">
        <f ca="1">$I$20*$J$20</f>
        <v>20.763496540448884</v>
      </c>
      <c r="I28" s="255">
        <f ca="1">H28/D$23</f>
        <v>1.9659765561472139E-2</v>
      </c>
      <c r="J28" s="1019">
        <f ca="1">I28/B$23</f>
        <v>4.4825556913889952E-2</v>
      </c>
      <c r="K28" s="1019">
        <f ca="1">J28</f>
        <v>4.4825556913889952E-2</v>
      </c>
      <c r="L28" s="1019">
        <f ca="1">K28*B28</f>
        <v>2.7362365056493667E-2</v>
      </c>
      <c r="M28" s="1068">
        <f ca="1">L28*D28</f>
        <v>28.428351211605101</v>
      </c>
      <c r="N28" s="1068">
        <f ca="1">SUM(G28,M28)</f>
        <v>507.66485467115621</v>
      </c>
      <c r="O28" s="1069">
        <f ca="1">N28/$I$20</f>
        <v>1.0153297093423124</v>
      </c>
      <c r="P28" s="102"/>
      <c r="Q28" s="832"/>
      <c r="R28" s="145" t="s">
        <v>606</v>
      </c>
      <c r="S28" s="855">
        <f ca="1">SUM(H16:K16)/SUM(H7:K7)</f>
        <v>0.69392579843186619</v>
      </c>
      <c r="AI28" s="152"/>
    </row>
    <row r="29" spans="2:35" x14ac:dyDescent="0.25">
      <c r="B29" s="1066">
        <f ca="1">SUMPRODUCT(D16:K16,$D$9:$K$9)</f>
        <v>0.20450453274292982</v>
      </c>
      <c r="C29" s="7">
        <f ca="1">SUM(H16:K16)</f>
        <v>0.38958114655314013</v>
      </c>
      <c r="D29" s="7">
        <f ca="1">C29*$M$23 +$M$22</f>
        <v>1038.9581146553139</v>
      </c>
      <c r="E29" s="102">
        <f ca="1">D29*B29</f>
        <v>212.47164377706028</v>
      </c>
      <c r="F29" s="116" t="s">
        <v>348</v>
      </c>
      <c r="G29" s="1067">
        <f ca="1">$I$20*(1-$J$20)</f>
        <v>479.2365034595511</v>
      </c>
      <c r="H29" s="1067">
        <f ca="1">$I$20*$J$20</f>
        <v>20.763496540448884</v>
      </c>
      <c r="I29" s="255">
        <f ca="1">H29/D$23</f>
        <v>1.9659765561472139E-2</v>
      </c>
      <c r="J29" s="1019">
        <f ca="1">I29/B$23</f>
        <v>4.4825556913889952E-2</v>
      </c>
      <c r="K29" s="1019">
        <f ca="1">J29</f>
        <v>4.4825556913889952E-2</v>
      </c>
      <c r="L29" s="1019">
        <f ca="1">K29*B29</f>
        <v>9.1670295716166725E-3</v>
      </c>
      <c r="M29" s="1068">
        <f ca="1">L29*D29</f>
        <v>9.5241597607163673</v>
      </c>
      <c r="N29" s="1068">
        <f ca="1">SUM(G29,M29)</f>
        <v>488.76066322026747</v>
      </c>
      <c r="O29" s="1069">
        <f ca="1">N29/$I$20</f>
        <v>0.97752132644053491</v>
      </c>
      <c r="P29" s="1070"/>
      <c r="R29" s="152" t="s">
        <v>607</v>
      </c>
      <c r="S29" s="1071">
        <f ca="1">S27/S28</f>
        <v>0.90915402664999689</v>
      </c>
      <c r="T29" s="1072"/>
      <c r="U29" s="1072"/>
      <c r="V29" s="1072"/>
      <c r="W29" s="1072"/>
      <c r="X29" s="7"/>
      <c r="Y29" s="7"/>
      <c r="Z29" s="7"/>
      <c r="AA29" s="7"/>
    </row>
    <row r="30" spans="2:35" ht="15.75" thickBot="1" x14ac:dyDescent="0.3">
      <c r="B30" s="1073"/>
      <c r="C30" s="1074"/>
      <c r="D30" s="168"/>
      <c r="E30" s="104"/>
      <c r="F30" s="121"/>
      <c r="G30" s="168"/>
      <c r="H30" s="168"/>
      <c r="I30" s="168"/>
      <c r="J30" s="168"/>
      <c r="K30" s="168"/>
      <c r="L30" s="168"/>
      <c r="M30" s="168"/>
      <c r="N30" s="168"/>
      <c r="O30" s="168"/>
      <c r="P30" s="104"/>
      <c r="S30" s="7"/>
      <c r="T30" s="1072"/>
      <c r="U30" s="1072"/>
      <c r="V30" s="1072"/>
      <c r="W30" s="1072"/>
      <c r="X30" s="189"/>
      <c r="Y30" s="7"/>
      <c r="Z30" s="7"/>
      <c r="AA30" s="7"/>
    </row>
    <row r="31" spans="2:35" x14ac:dyDescent="0.25">
      <c r="B31" s="7"/>
      <c r="C31" s="7"/>
      <c r="D31" s="7"/>
      <c r="F31" s="7"/>
      <c r="H31" s="7"/>
      <c r="S31" s="7"/>
      <c r="T31" s="1072"/>
      <c r="U31" s="1072"/>
      <c r="V31" s="1072"/>
      <c r="W31" s="1072"/>
      <c r="X31" s="7"/>
      <c r="Y31" s="7"/>
      <c r="Z31" s="7"/>
      <c r="AA31" s="7"/>
    </row>
    <row r="32" spans="2:35" x14ac:dyDescent="0.25">
      <c r="B32" s="7" t="s">
        <v>608</v>
      </c>
      <c r="C32" s="7"/>
      <c r="D32" s="7"/>
    </row>
    <row r="33" spans="2:5" x14ac:dyDescent="0.25">
      <c r="B33" s="7"/>
      <c r="C33" s="7"/>
      <c r="D33" s="7"/>
      <c r="E33" s="7"/>
    </row>
    <row r="34" spans="2:5" x14ac:dyDescent="0.25">
      <c r="B34" t="s">
        <v>146</v>
      </c>
      <c r="D34" s="7"/>
    </row>
    <row r="35" spans="2:5" x14ac:dyDescent="0.25">
      <c r="B35" t="s">
        <v>609</v>
      </c>
      <c r="D35" s="7"/>
    </row>
    <row r="36" spans="2:5" x14ac:dyDescent="0.25">
      <c r="C36" s="7" t="str">
        <f ca="1">"Notice "&amp;CELL("address",O28)&amp;" is (almost) always at LEAST 100%."</f>
        <v>Notice $O$28 is (almost) always at LEAST 100%.</v>
      </c>
      <c r="D36" s="7"/>
    </row>
    <row r="37" spans="2:5" x14ac:dyDescent="0.25">
      <c r="C37" s="7" t="str">
        <f ca="1">"Try setting static initial prices, "&amp;CELL("address",O28)&amp;" won't vary at all (it is known for any given set of initial prices)…so if the offered "&amp;CELL("address",O28)&amp;" is undesireable, the trader can pass."</f>
        <v>Try setting static initial prices, $O$28 won't vary at all (it is known for any given set of initial prices)…so if the offered $O$28 is undesireable, the trader can pass.</v>
      </c>
      <c r="D37" s="7"/>
    </row>
    <row r="38" spans="2:5" x14ac:dyDescent="0.25">
      <c r="C38" s="7"/>
      <c r="D38" s="7"/>
      <c r="E38" s="7"/>
    </row>
    <row r="39" spans="2:5" x14ac:dyDescent="0.25">
      <c r="B39" t="s">
        <v>610</v>
      </c>
    </row>
    <row r="40" spans="2:5" x14ac:dyDescent="0.25">
      <c r="C40" s="7" t="str">
        <f ca="1">"Even "&amp;CELL("address",O29)&amp;" rarely drops below 100%, when it does, it is because state 4 began as reasonably expensive, and yet it fell greatly. In other words, the portfolio only loses money if one's bet on d2 goes awry (which is ideal)."</f>
        <v>Even $O$29 rarely drops below 100%, when it does, it is because state 4 began as reasonably expensive, and yet it fell greatly. In other words, the portfolio only loses money if one's bet on d2 goes awry (which is ideal).</v>
      </c>
    </row>
    <row r="41" spans="2:5" x14ac:dyDescent="0.25">
      <c r="C41" s="8" t="str">
        <f ca="1">"Check out "&amp;CELL("address",S29)&amp;", glossing over some details, it should co-vary with "&amp;CELL("address",O29)&amp;". This grants the trader exposure to d2 (the goal metric), but 'priced in USD' (1/d3)."</f>
        <v>Check out $S$29, glossing over some details, it should co-vary with $O$29. This grants the trader exposure to d2 (the goal metric), but 'priced in USD' (1/d3).</v>
      </c>
    </row>
    <row r="43" spans="2:5" x14ac:dyDescent="0.25">
      <c r="B43" t="s">
        <v>611</v>
      </c>
    </row>
    <row r="44" spans="2:5" x14ac:dyDescent="0.25">
      <c r="C44" s="8" t="s">
        <v>612</v>
      </c>
    </row>
  </sheetData>
  <mergeCells count="2">
    <mergeCell ref="G26:J26"/>
    <mergeCell ref="K26:N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249977111117893"/>
  </sheetPr>
  <dimension ref="B1:AA44"/>
  <sheetViews>
    <sheetView workbookViewId="0">
      <selection activeCell="F2" sqref="F2"/>
    </sheetView>
  </sheetViews>
  <sheetFormatPr defaultRowHeight="15" x14ac:dyDescent="0.25"/>
  <cols>
    <col min="1" max="1" width="3.28515625" customWidth="1"/>
    <col min="2" max="2" width="14" customWidth="1"/>
    <col min="10" max="10" width="9.5703125" customWidth="1"/>
    <col min="13" max="18" width="9.140625" customWidth="1"/>
    <col min="26" max="26" width="10" customWidth="1"/>
  </cols>
  <sheetData>
    <row r="1" spans="2:21" ht="8.25" customHeight="1" x14ac:dyDescent="0.25"/>
    <row r="2" spans="2:21" ht="21.75" customHeight="1" x14ac:dyDescent="0.4">
      <c r="B2" s="765" t="s">
        <v>618</v>
      </c>
    </row>
    <row r="3" spans="2:21" x14ac:dyDescent="0.25">
      <c r="B3" t="s">
        <v>619</v>
      </c>
    </row>
    <row r="4" spans="2:21" ht="9" customHeight="1" thickBot="1" x14ac:dyDescent="0.3"/>
    <row r="5" spans="2:21" x14ac:dyDescent="0.25">
      <c r="B5" s="1026" t="s">
        <v>550</v>
      </c>
      <c r="C5" s="10"/>
      <c r="D5" s="276" t="s">
        <v>551</v>
      </c>
      <c r="E5" s="276" t="s">
        <v>552</v>
      </c>
      <c r="F5" s="276" t="s">
        <v>553</v>
      </c>
      <c r="G5" s="276" t="s">
        <v>554</v>
      </c>
      <c r="H5" s="276" t="s">
        <v>555</v>
      </c>
      <c r="I5" s="276" t="s">
        <v>556</v>
      </c>
      <c r="J5" s="276" t="s">
        <v>557</v>
      </c>
      <c r="K5" s="1021" t="s">
        <v>558</v>
      </c>
      <c r="M5" s="1027" t="s">
        <v>559</v>
      </c>
      <c r="N5" s="152"/>
      <c r="O5" s="152"/>
      <c r="P5" s="152"/>
      <c r="Q5" s="152"/>
      <c r="R5" s="152"/>
      <c r="S5" s="152"/>
      <c r="T5" s="152"/>
      <c r="U5" s="239"/>
    </row>
    <row r="6" spans="2:21" x14ac:dyDescent="0.25">
      <c r="B6" s="1028" t="s">
        <v>560</v>
      </c>
      <c r="C6" s="1029">
        <f ca="1">SUM(D6:K6)</f>
        <v>3.0924929446113536</v>
      </c>
      <c r="D6" s="1030">
        <f ca="1">RAND()</f>
        <v>0.29441989724206563</v>
      </c>
      <c r="E6" s="1030">
        <f t="shared" ref="E6:K6" ca="1" si="0">RAND()</f>
        <v>0.20332363643183704</v>
      </c>
      <c r="F6" s="1030">
        <f t="shared" ca="1" si="0"/>
        <v>0.20358268864240314</v>
      </c>
      <c r="G6" s="1030">
        <f t="shared" ca="1" si="0"/>
        <v>0.65793539974608273</v>
      </c>
      <c r="H6" s="1030">
        <f t="shared" ca="1" si="0"/>
        <v>0.21000007740494009</v>
      </c>
      <c r="I6" s="1030">
        <f t="shared" ca="1" si="0"/>
        <v>6.617079666786152E-2</v>
      </c>
      <c r="J6" s="1030">
        <f t="shared" ca="1" si="0"/>
        <v>0.76412684896079686</v>
      </c>
      <c r="K6" s="1031">
        <f t="shared" ca="1" si="0"/>
        <v>0.69293359951536682</v>
      </c>
      <c r="M6" s="5"/>
      <c r="N6" s="7"/>
      <c r="O6" s="7"/>
      <c r="P6" s="5" t="s">
        <v>561</v>
      </c>
      <c r="Q6" s="7"/>
      <c r="R6" s="7"/>
      <c r="S6" s="7"/>
      <c r="T6" s="7"/>
      <c r="U6" s="6"/>
    </row>
    <row r="7" spans="2:21" ht="16.5" thickBot="1" x14ac:dyDescent="0.3">
      <c r="B7" s="1032" t="s">
        <v>562</v>
      </c>
      <c r="C7" s="168"/>
      <c r="D7" s="1033">
        <f ca="1">D6/$C$6</f>
        <v>9.5204711058465036E-2</v>
      </c>
      <c r="E7" s="1033">
        <f t="shared" ref="E7:K7" ca="1" si="1">E6/$C$6</f>
        <v>6.5747485951787532E-2</v>
      </c>
      <c r="F7" s="1033">
        <f t="shared" ca="1" si="1"/>
        <v>6.5831254036373632E-2</v>
      </c>
      <c r="G7" s="1033">
        <f t="shared" ca="1" si="1"/>
        <v>0.21275243356416718</v>
      </c>
      <c r="H7" s="1033">
        <f t="shared" ca="1" si="1"/>
        <v>6.7906404692325548E-2</v>
      </c>
      <c r="I7" s="1033">
        <f t="shared" ca="1" si="1"/>
        <v>2.1397234481379708E-2</v>
      </c>
      <c r="J7" s="1033">
        <f t="shared" ca="1" si="1"/>
        <v>0.24709089483689278</v>
      </c>
      <c r="K7" s="1034">
        <f t="shared" ca="1" si="1"/>
        <v>0.22406958137860866</v>
      </c>
      <c r="L7" s="1035"/>
      <c r="M7" s="1036"/>
      <c r="N7" s="7"/>
      <c r="O7" s="7"/>
      <c r="P7" s="5" t="str">
        <f>"Min: "&amp;M22</f>
        <v>Min: 1000</v>
      </c>
      <c r="Q7" s="7"/>
      <c r="R7" s="5" t="str">
        <f>"Max: "&amp;M19</f>
        <v>Max: 1100</v>
      </c>
      <c r="S7" s="7"/>
      <c r="T7" s="7"/>
      <c r="U7" s="6"/>
    </row>
    <row r="8" spans="2:21" x14ac:dyDescent="0.25">
      <c r="B8" s="116"/>
      <c r="C8" s="7"/>
      <c r="D8" s="1019"/>
      <c r="E8" s="1019"/>
      <c r="F8" s="1019"/>
      <c r="G8" s="1019"/>
      <c r="H8" s="1019"/>
      <c r="I8" s="1019"/>
      <c r="J8" s="1019"/>
      <c r="K8" s="183"/>
      <c r="M8" s="5"/>
      <c r="N8" s="7"/>
      <c r="O8" s="7"/>
      <c r="P8" s="5"/>
      <c r="Q8" s="7"/>
      <c r="R8" s="5"/>
      <c r="S8" s="7"/>
      <c r="T8" s="7"/>
      <c r="U8" s="6"/>
    </row>
    <row r="9" spans="2:21" ht="15.75" x14ac:dyDescent="0.25">
      <c r="B9" s="1037" t="s">
        <v>563</v>
      </c>
      <c r="C9" s="7"/>
      <c r="D9" s="1038">
        <v>1</v>
      </c>
      <c r="E9" s="1019"/>
      <c r="F9" s="1038">
        <v>1</v>
      </c>
      <c r="G9" s="1038">
        <f ca="1">IF(D26=1,H22,H23)</f>
        <v>1.309032826794706</v>
      </c>
      <c r="H9" s="1019"/>
      <c r="I9" s="1019"/>
      <c r="J9" s="1019"/>
      <c r="K9" s="183"/>
      <c r="M9" s="5"/>
      <c r="N9" s="7"/>
      <c r="O9" s="7"/>
      <c r="P9" s="5"/>
      <c r="Q9" s="7"/>
      <c r="R9" s="5"/>
      <c r="S9" s="7"/>
      <c r="T9" s="7"/>
      <c r="U9" s="6"/>
    </row>
    <row r="10" spans="2:21" x14ac:dyDescent="0.25">
      <c r="B10" s="116"/>
      <c r="C10" s="7"/>
      <c r="D10" s="1019"/>
      <c r="E10" s="1019"/>
      <c r="F10" s="1019"/>
      <c r="G10" s="1019"/>
      <c r="H10" s="1019"/>
      <c r="I10" s="7"/>
      <c r="J10" s="7"/>
      <c r="K10" s="183"/>
      <c r="M10" s="5"/>
      <c r="N10" s="7"/>
      <c r="O10" s="7"/>
      <c r="P10" s="5" t="s">
        <v>564</v>
      </c>
      <c r="Q10" s="7"/>
      <c r="R10" s="5"/>
      <c r="S10" s="7"/>
      <c r="T10" s="7"/>
      <c r="U10" s="6"/>
    </row>
    <row r="11" spans="2:21" x14ac:dyDescent="0.25">
      <c r="B11" s="116"/>
      <c r="C11" s="7"/>
      <c r="D11" s="1019"/>
      <c r="E11" s="1019"/>
      <c r="F11" s="1019"/>
      <c r="G11" s="868"/>
      <c r="J11" s="868"/>
      <c r="K11" s="1039"/>
      <c r="M11" s="5"/>
      <c r="N11" s="7"/>
      <c r="O11" s="7"/>
      <c r="P11" s="5" t="s">
        <v>565</v>
      </c>
      <c r="Q11" s="24" t="s">
        <v>566</v>
      </c>
      <c r="R11" s="5"/>
      <c r="S11" s="7"/>
      <c r="T11" s="7"/>
      <c r="U11" s="6"/>
    </row>
    <row r="12" spans="2:21" x14ac:dyDescent="0.25">
      <c r="B12" s="1028" t="s">
        <v>560</v>
      </c>
      <c r="C12" s="1029">
        <f ca="1">SUM(D12:K12)</f>
        <v>2.1944829422665104</v>
      </c>
      <c r="D12" s="1030">
        <v>0</v>
      </c>
      <c r="E12" s="1030">
        <f t="shared" ref="E12:K12" ca="1" si="2">RAND()</f>
        <v>0.74950610409519924</v>
      </c>
      <c r="F12" s="1030">
        <v>0</v>
      </c>
      <c r="G12" s="1030">
        <f t="shared" ca="1" si="2"/>
        <v>0.25579556401627979</v>
      </c>
      <c r="H12" s="1030">
        <v>0</v>
      </c>
      <c r="I12" s="1030">
        <f t="shared" ca="1" si="2"/>
        <v>0.32765244630674539</v>
      </c>
      <c r="J12" s="1030">
        <v>0</v>
      </c>
      <c r="K12" s="1031">
        <f t="shared" ca="1" si="2"/>
        <v>0.86152882784828599</v>
      </c>
      <c r="M12" s="2" t="s">
        <v>567</v>
      </c>
      <c r="N12" s="247"/>
      <c r="O12" s="3" t="s">
        <v>568</v>
      </c>
      <c r="P12" s="1040">
        <f ca="1">D7</f>
        <v>9.5204711058465036E-2</v>
      </c>
      <c r="Q12" s="1040">
        <f ca="1">F7</f>
        <v>6.5831254036373632E-2</v>
      </c>
      <c r="R12" s="1040">
        <f ca="1">H7</f>
        <v>6.7906404692325548E-2</v>
      </c>
      <c r="S12" s="1040">
        <f ca="1">J7</f>
        <v>0.24709089483689278</v>
      </c>
      <c r="T12" s="7"/>
      <c r="U12" s="6" t="s">
        <v>569</v>
      </c>
    </row>
    <row r="13" spans="2:21" x14ac:dyDescent="0.25">
      <c r="B13" s="1028" t="s">
        <v>570</v>
      </c>
      <c r="C13" s="1041">
        <f ca="1">SUM(G13,K13)</f>
        <v>0.50915155016450864</v>
      </c>
      <c r="D13" s="1010">
        <f t="shared" ref="D13" ca="1" si="3">D12/$C12</f>
        <v>0</v>
      </c>
      <c r="E13" s="1010">
        <f ca="1">E12/$C12</f>
        <v>0.34154109364873569</v>
      </c>
      <c r="F13" s="1010">
        <f t="shared" ref="F13:K13" ca="1" si="4">F12/$C12</f>
        <v>0</v>
      </c>
      <c r="G13" s="1010">
        <f t="shared" ca="1" si="4"/>
        <v>0.11656302224527135</v>
      </c>
      <c r="H13" s="1010">
        <f t="shared" ca="1" si="4"/>
        <v>0</v>
      </c>
      <c r="I13" s="1010">
        <f t="shared" ca="1" si="4"/>
        <v>0.14930735618675564</v>
      </c>
      <c r="J13" s="1010">
        <f t="shared" ca="1" si="4"/>
        <v>0</v>
      </c>
      <c r="K13" s="1042">
        <f t="shared" ca="1" si="4"/>
        <v>0.39258852791923732</v>
      </c>
      <c r="M13" s="5"/>
      <c r="N13" s="247"/>
      <c r="O13" s="3" t="s">
        <v>571</v>
      </c>
      <c r="P13" s="1040">
        <f ca="1">E7</f>
        <v>6.5747485951787532E-2</v>
      </c>
      <c r="Q13" s="1040">
        <f ca="1">G7</f>
        <v>0.21275243356416718</v>
      </c>
      <c r="R13" s="1040">
        <f ca="1">I7</f>
        <v>2.1397234481379708E-2</v>
      </c>
      <c r="S13" s="1040">
        <f ca="1">K7</f>
        <v>0.22406958137860866</v>
      </c>
      <c r="T13" s="7"/>
      <c r="U13" s="1043">
        <f ca="1">SUM(P13:S13)</f>
        <v>0.52396673537594307</v>
      </c>
    </row>
    <row r="14" spans="2:21" x14ac:dyDescent="0.25">
      <c r="B14" s="1028" t="s">
        <v>572</v>
      </c>
      <c r="C14" s="1044">
        <f ca="1">SUM(K13,I13)</f>
        <v>0.54189588410599299</v>
      </c>
      <c r="D14" s="1075">
        <f ca="1">C14-W27</f>
        <v>0.14884531533383727</v>
      </c>
      <c r="E14" s="1041"/>
      <c r="F14" s="1041"/>
      <c r="G14" s="1041"/>
      <c r="H14" s="1041"/>
      <c r="I14" s="1041"/>
      <c r="J14" s="1041"/>
      <c r="K14" s="1046"/>
      <c r="M14" s="5"/>
      <c r="N14" s="7"/>
      <c r="O14" s="7"/>
      <c r="P14" s="7"/>
      <c r="Q14" s="7"/>
      <c r="R14" s="7"/>
      <c r="S14" s="7"/>
      <c r="T14" s="7"/>
      <c r="U14" s="6"/>
    </row>
    <row r="15" spans="2:21" ht="15.75" x14ac:dyDescent="0.25">
      <c r="B15" s="1047" t="s">
        <v>573</v>
      </c>
      <c r="C15" s="6">
        <f ca="1">SUM(K15,I15)</f>
        <v>0.39305056877215566</v>
      </c>
      <c r="D15" s="1048">
        <v>0</v>
      </c>
      <c r="E15" s="1048">
        <f ca="1">E13+(I13-I15)</f>
        <v>0.38255210916870652</v>
      </c>
      <c r="F15" s="1048">
        <v>0</v>
      </c>
      <c r="G15" s="1048">
        <f ca="1">G13+(K13-K15)</f>
        <v>0.22439732205913779</v>
      </c>
      <c r="H15" s="1048">
        <v>0</v>
      </c>
      <c r="I15" s="1048">
        <f ca="1">I13-(D14)*(I13/(I13+K13))</f>
        <v>0.10829634066678478</v>
      </c>
      <c r="J15" s="1048">
        <v>0</v>
      </c>
      <c r="K15" s="1049">
        <f ca="1">K13-(D14)*(K13/(K13+I13))</f>
        <v>0.28475422810537088</v>
      </c>
      <c r="L15" t="s">
        <v>574</v>
      </c>
      <c r="M15" s="5"/>
      <c r="N15" s="7"/>
      <c r="O15" s="7"/>
      <c r="P15" s="7" t="s">
        <v>575</v>
      </c>
      <c r="Q15" s="189">
        <f ca="1">SUM(Q12:Q13,S12:S13)</f>
        <v>0.74974416381604225</v>
      </c>
      <c r="R15" s="7"/>
      <c r="S15" s="7" t="s">
        <v>576</v>
      </c>
      <c r="T15" s="7"/>
      <c r="U15" s="6"/>
    </row>
    <row r="16" spans="2:21" ht="15.75" x14ac:dyDescent="0.25">
      <c r="B16" s="1047" t="s">
        <v>577</v>
      </c>
      <c r="C16" s="6"/>
      <c r="D16" s="1048">
        <f ca="1">E15</f>
        <v>0.38255210916870652</v>
      </c>
      <c r="E16" s="1048">
        <f t="shared" ref="E16:J16" si="5">F15</f>
        <v>0</v>
      </c>
      <c r="F16" s="1048">
        <f t="shared" ca="1" si="5"/>
        <v>0.22439732205913779</v>
      </c>
      <c r="G16" s="1048">
        <f t="shared" si="5"/>
        <v>0</v>
      </c>
      <c r="H16" s="1048">
        <f t="shared" ca="1" si="5"/>
        <v>0.10829634066678478</v>
      </c>
      <c r="I16" s="1048">
        <f t="shared" si="5"/>
        <v>0</v>
      </c>
      <c r="J16" s="1048">
        <f t="shared" ca="1" si="5"/>
        <v>0.28475422810537088</v>
      </c>
      <c r="K16" s="1049">
        <v>0</v>
      </c>
      <c r="L16" t="s">
        <v>348</v>
      </c>
      <c r="M16" s="2"/>
      <c r="N16" s="247"/>
      <c r="O16" s="247"/>
      <c r="P16" s="247"/>
      <c r="Q16" s="247"/>
      <c r="R16" s="247"/>
      <c r="S16" s="725">
        <f ca="1">SUM(R12:S13)</f>
        <v>0.56046411538920671</v>
      </c>
      <c r="T16" s="247"/>
      <c r="U16" s="3"/>
    </row>
    <row r="17" spans="2:27" ht="15.75" thickBot="1" x14ac:dyDescent="0.3">
      <c r="B17" s="121"/>
      <c r="C17" s="168"/>
      <c r="D17" s="1020"/>
      <c r="E17" s="1020"/>
      <c r="F17" s="1050"/>
      <c r="G17" s="1020"/>
      <c r="H17" s="763"/>
      <c r="I17" s="1020"/>
      <c r="J17" s="647"/>
      <c r="K17" s="1022"/>
    </row>
    <row r="18" spans="2:27" ht="15.75" thickBot="1" x14ac:dyDescent="0.3">
      <c r="B18" s="1051" t="s">
        <v>578</v>
      </c>
      <c r="C18" s="10"/>
      <c r="D18" s="10"/>
      <c r="E18" s="10"/>
      <c r="F18" s="10"/>
      <c r="G18" s="10"/>
      <c r="H18" s="10"/>
      <c r="I18" s="10"/>
      <c r="J18" s="10"/>
      <c r="K18" s="10"/>
      <c r="L18" s="10"/>
      <c r="M18" s="1052" t="s">
        <v>579</v>
      </c>
      <c r="N18" s="276" t="s">
        <v>580</v>
      </c>
      <c r="O18" s="1053" t="s">
        <v>581</v>
      </c>
      <c r="P18" s="11"/>
    </row>
    <row r="19" spans="2:27" x14ac:dyDescent="0.25">
      <c r="B19" s="116"/>
      <c r="C19" s="145" t="s">
        <v>582</v>
      </c>
      <c r="D19" s="145" t="s">
        <v>583</v>
      </c>
      <c r="E19" s="145" t="s">
        <v>584</v>
      </c>
      <c r="F19" s="1054" t="s">
        <v>585</v>
      </c>
      <c r="G19" s="145" t="s">
        <v>586</v>
      </c>
      <c r="H19" s="7"/>
      <c r="I19" s="1055" t="s">
        <v>587</v>
      </c>
      <c r="J19" s="7" t="s">
        <v>588</v>
      </c>
      <c r="K19" s="7"/>
      <c r="L19" s="145" t="s">
        <v>406</v>
      </c>
      <c r="M19" s="961">
        <v>1100</v>
      </c>
      <c r="N19" s="1056">
        <v>1</v>
      </c>
      <c r="O19" s="1057">
        <f>1-N19</f>
        <v>0</v>
      </c>
      <c r="P19" s="102"/>
      <c r="R19" s="7"/>
      <c r="S19" s="7"/>
      <c r="T19" s="7"/>
      <c r="U19" s="7"/>
      <c r="V19" s="7"/>
      <c r="W19" s="7"/>
      <c r="X19" s="7"/>
      <c r="Y19" s="7"/>
      <c r="Z19" s="7"/>
      <c r="AA19" s="7"/>
    </row>
    <row r="20" spans="2:27" ht="15.75" thickBot="1" x14ac:dyDescent="0.3">
      <c r="B20" s="116"/>
      <c r="C20" s="1019">
        <f ca="1">SUM(H7:K7)</f>
        <v>0.56046411538920671</v>
      </c>
      <c r="D20" s="1019">
        <f ca="1">SUM(F7:G7,J7:K7)</f>
        <v>0.74974416381604225</v>
      </c>
      <c r="E20" s="759">
        <f ca="1">SUM(I7,K7)</f>
        <v>0.24546681585998836</v>
      </c>
      <c r="F20" s="1058">
        <f ca="1">IF(G20&gt;=0.25,G20+0.001,0.25)</f>
        <v>0.3275421406434631</v>
      </c>
      <c r="G20" s="7">
        <f ca="1">SUM(G7,K7)*(C20/D20)</f>
        <v>0.3265421406434631</v>
      </c>
      <c r="H20" s="7"/>
      <c r="I20" s="1059">
        <v>500</v>
      </c>
      <c r="J20" s="7">
        <f ca="1" xml:space="preserve"> ( (M20-M21)/M20 ) / ( (O21/O20)-1)</f>
        <v>4.1620887094373261E-2</v>
      </c>
      <c r="K20" s="7"/>
      <c r="L20" s="1019" t="s">
        <v>589</v>
      </c>
      <c r="M20" s="679">
        <f ca="1">N20*M$23+M$22</f>
        <v>1056.0464115389207</v>
      </c>
      <c r="N20" s="255">
        <f ca="1">C20</f>
        <v>0.56046411538920671</v>
      </c>
      <c r="O20" s="1060">
        <f ca="1">1-N20</f>
        <v>0.43953588461079329</v>
      </c>
      <c r="P20" s="102"/>
      <c r="R20" s="7"/>
      <c r="S20" s="7"/>
      <c r="T20" s="7"/>
      <c r="U20" s="7"/>
      <c r="V20" s="7"/>
      <c r="W20" s="7"/>
      <c r="X20" s="7"/>
      <c r="Y20" s="7"/>
      <c r="Z20" s="7"/>
      <c r="AA20" s="7"/>
    </row>
    <row r="21" spans="2:27" x14ac:dyDescent="0.25">
      <c r="B21" s="116"/>
      <c r="C21" s="7"/>
      <c r="D21" s="7"/>
      <c r="E21" s="7"/>
      <c r="F21" s="7"/>
      <c r="G21" s="7"/>
      <c r="H21" s="7"/>
      <c r="I21" s="7"/>
      <c r="J21" s="7"/>
      <c r="K21" s="7"/>
      <c r="L21" s="1019" t="s">
        <v>590</v>
      </c>
      <c r="M21" s="679">
        <f ca="1">N21*M$23+M$22</f>
        <v>1039.3050568772155</v>
      </c>
      <c r="N21" s="255">
        <f ca="1">SUM(H15:K15)</f>
        <v>0.39305056877215566</v>
      </c>
      <c r="O21" s="1060">
        <f ca="1">1-N21</f>
        <v>0.60694943122784428</v>
      </c>
      <c r="P21" s="102"/>
      <c r="R21" s="1036"/>
      <c r="S21" s="7"/>
      <c r="T21" s="7"/>
      <c r="U21" s="7"/>
      <c r="V21" s="7"/>
      <c r="W21" s="7"/>
      <c r="X21" s="7"/>
      <c r="Y21" s="7"/>
      <c r="Z21" s="7"/>
      <c r="AA21" s="7"/>
    </row>
    <row r="22" spans="2:27" x14ac:dyDescent="0.25">
      <c r="B22" s="116" t="s">
        <v>603</v>
      </c>
      <c r="C22" s="7" t="s">
        <v>592</v>
      </c>
      <c r="D22" s="7" t="s">
        <v>593</v>
      </c>
      <c r="E22" s="8" t="s">
        <v>594</v>
      </c>
      <c r="F22" s="1019"/>
      <c r="G22" s="1061" t="s">
        <v>595</v>
      </c>
      <c r="H22" s="7">
        <f ca="1">SUM(D7,F7)*(C20/D20)*(1/F20) / (( 1 - (SUM(G7,K7)*(C20/D20)*(1/F20) ) ))</f>
        <v>120.38090335155093</v>
      </c>
      <c r="I22" s="7"/>
      <c r="J22" s="7"/>
      <c r="K22" s="7"/>
      <c r="L22" s="1018" t="s">
        <v>405</v>
      </c>
      <c r="M22" s="1062">
        <v>1000</v>
      </c>
      <c r="N22" s="271">
        <v>0</v>
      </c>
      <c r="O22" s="1063">
        <f>1-N22</f>
        <v>1</v>
      </c>
      <c r="P22" s="102"/>
      <c r="R22" s="7"/>
      <c r="S22" s="7"/>
      <c r="T22" s="7"/>
      <c r="U22" s="7"/>
      <c r="V22" s="7"/>
      <c r="W22" s="7" t="s">
        <v>613</v>
      </c>
      <c r="X22" s="7"/>
      <c r="Y22" s="7"/>
      <c r="Z22" s="7"/>
      <c r="AA22" s="7"/>
    </row>
    <row r="23" spans="2:27" x14ac:dyDescent="0.25">
      <c r="B23" s="116">
        <f ca="1">SUMPRODUCT(D7:K7,$D$9:$K$9)</f>
        <v>0.43953588461079329</v>
      </c>
      <c r="C23" s="7">
        <f ca="1">SUM(H7:K7)</f>
        <v>0.56046411538920671</v>
      </c>
      <c r="D23" s="7">
        <f ca="1">C23*$M$23 +$M$22</f>
        <v>1056.0464115389207</v>
      </c>
      <c r="E23" s="7">
        <f ca="1">D23*B23</f>
        <v>464.17029368581336</v>
      </c>
      <c r="F23" s="7"/>
      <c r="G23" s="7" t="s">
        <v>596</v>
      </c>
      <c r="H23" s="7">
        <f ca="1" xml:space="preserve"> ( (1-C20) - SUMPRODUCT(D9:F9,D7:F7) )/G7</f>
        <v>1.309032826794706</v>
      </c>
      <c r="I23" s="7"/>
      <c r="J23" s="7"/>
      <c r="K23" s="7"/>
      <c r="L23" s="145" t="s">
        <v>597</v>
      </c>
      <c r="M23" s="1064">
        <f>M19-M22</f>
        <v>100</v>
      </c>
      <c r="N23" s="1019"/>
      <c r="O23" s="7"/>
      <c r="P23" s="102"/>
      <c r="R23" s="7"/>
      <c r="S23" s="7"/>
      <c r="T23" s="7"/>
      <c r="U23" s="7"/>
      <c r="V23" s="7"/>
      <c r="W23" s="7"/>
      <c r="X23" s="7"/>
      <c r="Z23" s="7"/>
      <c r="AA23" s="7"/>
    </row>
    <row r="24" spans="2:27" ht="15.75" thickBot="1" x14ac:dyDescent="0.3">
      <c r="B24" s="116"/>
      <c r="C24" s="7"/>
      <c r="D24" s="7"/>
      <c r="E24" s="7"/>
      <c r="F24" s="7"/>
      <c r="G24" s="7"/>
      <c r="H24" s="168"/>
      <c r="I24" s="1065"/>
      <c r="J24" s="168"/>
      <c r="K24" s="168"/>
      <c r="L24" s="168"/>
      <c r="M24" s="168"/>
      <c r="N24" s="168"/>
      <c r="O24" s="168"/>
      <c r="P24" s="102"/>
      <c r="R24" s="7"/>
      <c r="S24" s="7"/>
      <c r="T24" s="7"/>
      <c r="U24" s="7"/>
      <c r="V24" s="7"/>
      <c r="W24" s="19" t="s">
        <v>614</v>
      </c>
      <c r="X24" s="7"/>
      <c r="Y24" s="7"/>
      <c r="Z24" s="7"/>
      <c r="AA24" s="7"/>
    </row>
    <row r="25" spans="2:27" x14ac:dyDescent="0.25">
      <c r="B25" s="116"/>
      <c r="C25" s="7"/>
      <c r="D25" s="7"/>
      <c r="E25" s="102"/>
      <c r="F25" s="1026" t="s">
        <v>598</v>
      </c>
      <c r="G25" s="10"/>
      <c r="H25" s="10"/>
      <c r="I25" s="10"/>
      <c r="J25" s="10"/>
      <c r="K25" s="10"/>
      <c r="L25" s="10"/>
      <c r="M25" s="10"/>
      <c r="N25" s="10"/>
      <c r="O25" s="10"/>
      <c r="P25" s="11"/>
      <c r="R25" s="7"/>
      <c r="S25" s="7"/>
      <c r="T25" s="7"/>
      <c r="U25" s="7"/>
      <c r="V25" s="7"/>
      <c r="W25" s="19">
        <v>1.2</v>
      </c>
      <c r="X25" s="7"/>
      <c r="Y25" s="7" t="s">
        <v>615</v>
      </c>
      <c r="Z25" s="7"/>
      <c r="AA25" s="7"/>
    </row>
    <row r="26" spans="2:27" x14ac:dyDescent="0.25">
      <c r="B26" s="116"/>
      <c r="C26" s="1016" t="s">
        <v>599</v>
      </c>
      <c r="D26" s="343">
        <v>0</v>
      </c>
      <c r="E26" s="102"/>
      <c r="F26" s="116"/>
      <c r="G26" s="1216" t="s">
        <v>600</v>
      </c>
      <c r="H26" s="1216"/>
      <c r="I26" s="1216"/>
      <c r="J26" s="1216"/>
      <c r="K26" s="1216" t="s">
        <v>601</v>
      </c>
      <c r="L26" s="1216"/>
      <c r="M26" s="1216"/>
      <c r="N26" s="1216"/>
      <c r="O26" s="7"/>
      <c r="P26" s="102"/>
      <c r="R26" s="145" t="s">
        <v>605</v>
      </c>
      <c r="S26" s="855">
        <f ca="1">SUM(F15:G15,J15:K15) / SUM(F7:G7,J7:K7)</f>
        <v>0.67910038482064716</v>
      </c>
      <c r="T26" s="7"/>
      <c r="W26" s="19" t="s">
        <v>620</v>
      </c>
      <c r="X26" s="19"/>
      <c r="Y26" s="7"/>
      <c r="Z26" s="7"/>
      <c r="AA26" s="7"/>
    </row>
    <row r="27" spans="2:27" x14ac:dyDescent="0.25">
      <c r="B27" s="116"/>
      <c r="C27" s="7"/>
      <c r="D27" s="7"/>
      <c r="E27" s="102"/>
      <c r="F27" s="116"/>
      <c r="G27" s="1019" t="s">
        <v>399</v>
      </c>
      <c r="H27" s="1019" t="s">
        <v>602</v>
      </c>
      <c r="I27" s="1019" t="s">
        <v>603</v>
      </c>
      <c r="J27" s="1019" t="s">
        <v>12</v>
      </c>
      <c r="K27" s="1019" t="s">
        <v>12</v>
      </c>
      <c r="L27" s="1019" t="s">
        <v>603</v>
      </c>
      <c r="M27" s="1019" t="s">
        <v>604</v>
      </c>
      <c r="N27" s="1019" t="s">
        <v>399</v>
      </c>
      <c r="O27" s="1019" t="s">
        <v>236</v>
      </c>
      <c r="P27" s="183"/>
      <c r="R27" s="145" t="s">
        <v>606</v>
      </c>
      <c r="S27" s="855">
        <f ca="1">SUM(H15:K15)/SUM(H7:K7)</f>
        <v>0.70129479832835873</v>
      </c>
      <c r="T27" s="7"/>
      <c r="V27" s="19"/>
      <c r="W27" s="19">
        <f ca="1">F20*W25</f>
        <v>0.39305056877215572</v>
      </c>
      <c r="X27" s="19"/>
      <c r="Y27" s="7"/>
      <c r="Z27" s="189"/>
      <c r="AA27" s="7"/>
    </row>
    <row r="28" spans="2:27" ht="15" customHeight="1" x14ac:dyDescent="0.25">
      <c r="B28" s="116">
        <f ca="1">SUMPRODUCT(D15:K15,$D$9:$K$9)</f>
        <v>0.29374346082023517</v>
      </c>
      <c r="C28" s="7">
        <f ca="1">SUM(H15:K15)</f>
        <v>0.39305056877215566</v>
      </c>
      <c r="D28" s="7">
        <f ca="1">C28*$M$23 +$M$22</f>
        <v>1039.3050568772155</v>
      </c>
      <c r="E28" s="102">
        <f t="shared" ref="E28:E29" ca="1" si="6">D28*B28</f>
        <v>305.28906425508467</v>
      </c>
      <c r="F28" s="116" t="s">
        <v>574</v>
      </c>
      <c r="G28" s="1067">
        <f ca="1">$I$20*(1-$J$20)</f>
        <v>479.18955645281335</v>
      </c>
      <c r="H28" s="1067">
        <f ca="1">$I$20*$J$20</f>
        <v>20.81044354718663</v>
      </c>
      <c r="I28" s="255">
        <f ca="1">H28/D$23</f>
        <v>1.9705993334952647E-2</v>
      </c>
      <c r="J28" s="1019">
        <f ca="1">I28/B$23</f>
        <v>4.483363935666413E-2</v>
      </c>
      <c r="K28" s="1019">
        <f ca="1">J28</f>
        <v>4.483363935666413E-2</v>
      </c>
      <c r="L28" s="1019">
        <f ca="1">K28*B28</f>
        <v>1.3169588385792824E-2</v>
      </c>
      <c r="M28" s="1068">
        <f ca="1">L28*D28</f>
        <v>13.687219806345928</v>
      </c>
      <c r="N28" s="1068">
        <f ca="1">SUM(G28,M28)</f>
        <v>492.87677625915927</v>
      </c>
      <c r="O28" s="1069">
        <f ca="1">N28/$I$20</f>
        <v>0.98575355251831853</v>
      </c>
      <c r="P28" s="1070"/>
      <c r="Q28" s="152"/>
      <c r="R28" s="152" t="s">
        <v>607</v>
      </c>
      <c r="S28" s="1071">
        <f ca="1">S26/S27</f>
        <v>0.968352234237848</v>
      </c>
      <c r="T28" s="1072"/>
      <c r="U28" s="1072"/>
      <c r="V28" s="1072"/>
      <c r="W28" s="1072"/>
      <c r="X28" s="7"/>
      <c r="Y28" s="7"/>
      <c r="Z28" s="7"/>
      <c r="AA28" s="7"/>
    </row>
    <row r="29" spans="2:27" x14ac:dyDescent="0.25">
      <c r="B29" s="116">
        <f ca="1">SUMPRODUCT(D16:K16,$D$9:$K$9)</f>
        <v>0.60694943122784428</v>
      </c>
      <c r="C29" s="7">
        <f ca="1">SUM(H16:K16)</f>
        <v>0.39305056877215566</v>
      </c>
      <c r="D29" s="7">
        <f ca="1">C29*$M$23 +$M$22</f>
        <v>1039.3050568772155</v>
      </c>
      <c r="E29" s="102">
        <f t="shared" ca="1" si="6"/>
        <v>630.80561314384829</v>
      </c>
      <c r="F29" s="116" t="s">
        <v>348</v>
      </c>
      <c r="G29" s="1067">
        <f ca="1">$I$20*(1-$J$20)</f>
        <v>479.18955645281335</v>
      </c>
      <c r="H29" s="1067">
        <f ca="1">$I$20*$J$20</f>
        <v>20.81044354718663</v>
      </c>
      <c r="I29" s="255">
        <f ca="1">H29/D$23</f>
        <v>1.9705993334952647E-2</v>
      </c>
      <c r="J29" s="1019">
        <f ca="1">I29/B$23</f>
        <v>4.483363935666413E-2</v>
      </c>
      <c r="K29" s="1019">
        <f ca="1">J29</f>
        <v>4.483363935666413E-2</v>
      </c>
      <c r="L29" s="1019">
        <f ca="1">K29*B29</f>
        <v>2.7211751907401587E-2</v>
      </c>
      <c r="M29" s="1068">
        <f ca="1">L29*D29</f>
        <v>28.281311363850683</v>
      </c>
      <c r="N29" s="1068">
        <f ca="1">SUM(G29,M29)</f>
        <v>507.47086781666405</v>
      </c>
      <c r="O29" s="1069">
        <f ca="1">N29/$I$20</f>
        <v>1.0149417356333281</v>
      </c>
      <c r="P29" s="102"/>
      <c r="S29" s="7"/>
      <c r="T29" s="1072"/>
      <c r="U29" s="1072"/>
      <c r="V29" s="1072"/>
      <c r="W29" s="1072"/>
      <c r="X29" s="7"/>
      <c r="Y29" s="7"/>
      <c r="Z29" s="7"/>
      <c r="AA29" s="7"/>
    </row>
    <row r="30" spans="2:27" ht="15.75" thickBot="1" x14ac:dyDescent="0.3">
      <c r="B30" s="1073"/>
      <c r="C30" s="1074"/>
      <c r="D30" s="168"/>
      <c r="E30" s="104"/>
      <c r="F30" s="121"/>
      <c r="G30" s="168"/>
      <c r="H30" s="168"/>
      <c r="I30" s="168"/>
      <c r="J30" s="168"/>
      <c r="K30" s="168"/>
      <c r="L30" s="168"/>
      <c r="M30" s="168"/>
      <c r="N30" s="168"/>
      <c r="O30" s="168"/>
      <c r="P30" s="104"/>
      <c r="R30" s="7"/>
      <c r="S30" s="7"/>
      <c r="T30" s="1072"/>
      <c r="U30" s="1072"/>
      <c r="V30" s="1072"/>
      <c r="W30" s="1072"/>
      <c r="X30" s="189"/>
      <c r="Y30" s="7"/>
      <c r="Z30" s="7"/>
      <c r="AA30" s="7"/>
    </row>
    <row r="31" spans="2:27" x14ac:dyDescent="0.25">
      <c r="B31" s="7"/>
      <c r="C31" s="7"/>
      <c r="D31" s="7"/>
      <c r="F31" s="7"/>
      <c r="H31" s="7"/>
      <c r="R31" s="7"/>
      <c r="S31" s="7"/>
      <c r="T31" s="1072"/>
      <c r="U31" s="1072"/>
      <c r="V31" s="1072"/>
      <c r="W31" s="1072"/>
      <c r="X31" s="7"/>
      <c r="Y31" s="7"/>
      <c r="Z31" s="7"/>
      <c r="AA31" s="7"/>
    </row>
    <row r="32" spans="2:27" x14ac:dyDescent="0.25">
      <c r="B32" s="7" t="s">
        <v>608</v>
      </c>
      <c r="C32" s="7"/>
      <c r="D32" s="7"/>
    </row>
    <row r="33" spans="2:5" x14ac:dyDescent="0.25">
      <c r="B33" s="7"/>
      <c r="C33" s="7"/>
      <c r="D33" s="7"/>
      <c r="E33" s="7"/>
    </row>
    <row r="34" spans="2:5" x14ac:dyDescent="0.25">
      <c r="B34" t="s">
        <v>146</v>
      </c>
      <c r="D34" s="7"/>
    </row>
    <row r="35" spans="2:5" x14ac:dyDescent="0.25">
      <c r="B35" t="s">
        <v>609</v>
      </c>
      <c r="D35" s="7"/>
    </row>
    <row r="36" spans="2:5" x14ac:dyDescent="0.25">
      <c r="C36" s="7" t="str">
        <f ca="1">"Notice "&amp;CELL("address",O29)&amp;" is (almost) always at LEAST 100%."</f>
        <v>Notice $O$29 is (almost) always at LEAST 100%.</v>
      </c>
      <c r="D36" s="7"/>
    </row>
    <row r="37" spans="2:5" x14ac:dyDescent="0.25">
      <c r="C37" s="7" t="str">
        <f ca="1">"Try setting static initial prices, "&amp;CELL("address",O29)&amp;" won't vary at all (it is known for any given set of initial prices)…so if the offered "&amp;CELL("address",O29)&amp;" is undesireable, the trader can pass."</f>
        <v>Try setting static initial prices, $O$29 won't vary at all (it is known for any given set of initial prices)…so if the offered $O$29 is undesireable, the trader can pass.</v>
      </c>
      <c r="D37" s="7"/>
    </row>
    <row r="38" spans="2:5" x14ac:dyDescent="0.25">
      <c r="C38" s="7"/>
      <c r="D38" s="7"/>
      <c r="E38" s="7"/>
    </row>
    <row r="39" spans="2:5" x14ac:dyDescent="0.25">
      <c r="B39" t="s">
        <v>610</v>
      </c>
    </row>
    <row r="40" spans="2:5" x14ac:dyDescent="0.25">
      <c r="C40" s="7" t="str">
        <f ca="1">"Even "&amp;CELL("address",O28)&amp;" rarely drops below 100%, when it does, it is because state 4 began as reasonably expensive, and yet it fell greatly. In other words, the portfolio only loses money if one's bet on d2 goes awry (which is ideal)."</f>
        <v>Even $O$28 rarely drops below 100%, when it does, it is because state 4 began as reasonably expensive, and yet it fell greatly. In other words, the portfolio only loses money if one's bet on d2 goes awry (which is ideal).</v>
      </c>
    </row>
    <row r="41" spans="2:5" x14ac:dyDescent="0.25">
      <c r="C41" s="8" t="str">
        <f ca="1">"Check out "&amp;CELL("address",S28)&amp;", glossing over some details, it should co-vary with "&amp;CELL("address",O28)&amp;". This grants the trader exposure to d2 (the goal metric), but 'priced in USD' (1/d3)."</f>
        <v>Check out $S$28, glossing over some details, it should co-vary with $O$28. This grants the trader exposure to d2 (the goal metric), but 'priced in USD' (1/d3).</v>
      </c>
    </row>
    <row r="43" spans="2:5" x14ac:dyDescent="0.25">
      <c r="B43" t="s">
        <v>611</v>
      </c>
    </row>
    <row r="44" spans="2:5" x14ac:dyDescent="0.25">
      <c r="C44" s="8" t="s">
        <v>612</v>
      </c>
    </row>
  </sheetData>
  <mergeCells count="2">
    <mergeCell ref="G26:J26"/>
    <mergeCell ref="K26:N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2:BF106"/>
  <sheetViews>
    <sheetView topLeftCell="A46" zoomScale="85" zoomScaleNormal="85" workbookViewId="0">
      <selection activeCell="N6" sqref="N6"/>
    </sheetView>
  </sheetViews>
  <sheetFormatPr defaultRowHeight="15" x14ac:dyDescent="0.25"/>
  <cols>
    <col min="1" max="2" width="7.140625" customWidth="1"/>
    <col min="3" max="4" width="8.7109375" customWidth="1"/>
    <col min="5" max="7" width="7.140625" customWidth="1"/>
    <col min="8" max="8" width="9.140625" customWidth="1"/>
    <col min="9" max="9" width="8.85546875" customWidth="1"/>
    <col min="10" max="11" width="9" customWidth="1"/>
    <col min="12" max="12" width="9.42578125" customWidth="1"/>
    <col min="13" max="29" width="11.42578125" style="33" customWidth="1"/>
    <col min="30" max="31" width="12" style="33" customWidth="1"/>
    <col min="32" max="32" width="14.140625" customWidth="1"/>
    <col min="33" max="33" width="12.85546875" customWidth="1"/>
    <col min="34" max="34" width="12.7109375" customWidth="1"/>
    <col min="35" max="36" width="11.42578125" customWidth="1"/>
    <col min="37" max="37" width="11.7109375" customWidth="1"/>
    <col min="38" max="38" width="13.140625" customWidth="1"/>
    <col min="39" max="39" width="12.85546875" customWidth="1"/>
    <col min="40" max="40" width="12.140625" customWidth="1"/>
    <col min="41" max="41" width="10.5703125" customWidth="1"/>
    <col min="42" max="43" width="9.140625" customWidth="1"/>
    <col min="44" max="44" width="11.140625" customWidth="1"/>
    <col min="45" max="52" width="8.85546875" customWidth="1"/>
    <col min="53" max="54" width="10.42578125" customWidth="1"/>
  </cols>
  <sheetData>
    <row r="2" spans="2:31" ht="31.5" x14ac:dyDescent="0.5">
      <c r="B2" s="188" t="s">
        <v>334</v>
      </c>
    </row>
    <row r="3" spans="2:31" ht="21" x14ac:dyDescent="0.35">
      <c r="L3" s="141"/>
    </row>
    <row r="4" spans="2:31" ht="21" x14ac:dyDescent="0.35">
      <c r="L4" s="141"/>
    </row>
    <row r="5" spans="2:31" ht="15.75" thickBot="1" x14ac:dyDescent="0.3">
      <c r="L5" s="1172" t="s">
        <v>163</v>
      </c>
      <c r="M5" s="1" t="s">
        <v>101</v>
      </c>
      <c r="N5" s="152" t="s">
        <v>739</v>
      </c>
      <c r="O5" s="152"/>
      <c r="P5" s="266"/>
      <c r="Q5" s="266"/>
      <c r="R5" s="266"/>
      <c r="S5" s="261"/>
      <c r="T5" s="17"/>
      <c r="U5" s="17"/>
    </row>
    <row r="6" spans="2:31" x14ac:dyDescent="0.25">
      <c r="L6" s="1173"/>
      <c r="M6" s="292" t="s">
        <v>149</v>
      </c>
      <c r="N6" s="666">
        <v>60</v>
      </c>
      <c r="O6" s="7" t="s">
        <v>150</v>
      </c>
      <c r="P6" s="17"/>
      <c r="Q6" s="17"/>
      <c r="R6" s="17"/>
      <c r="S6" s="241"/>
      <c r="T6" s="17"/>
      <c r="U6" s="17"/>
    </row>
    <row r="7" spans="2:31" ht="15.75" thickBot="1" x14ac:dyDescent="0.3">
      <c r="L7" s="1173"/>
      <c r="M7" s="292" t="s">
        <v>152</v>
      </c>
      <c r="N7" s="667">
        <v>150</v>
      </c>
      <c r="O7" s="7" t="s">
        <v>151</v>
      </c>
      <c r="P7" s="17"/>
      <c r="Q7" s="17"/>
      <c r="R7" s="17"/>
      <c r="S7" s="241"/>
      <c r="T7" s="17"/>
      <c r="U7" s="17"/>
    </row>
    <row r="8" spans="2:31" x14ac:dyDescent="0.25">
      <c r="L8" s="1173"/>
      <c r="M8" s="668" t="s">
        <v>153</v>
      </c>
      <c r="N8" s="18">
        <f>N7-N6</f>
        <v>90</v>
      </c>
      <c r="O8" s="7" t="s">
        <v>154</v>
      </c>
      <c r="P8" s="17"/>
      <c r="Q8" s="17"/>
      <c r="R8" s="17"/>
      <c r="S8" s="241"/>
      <c r="T8" s="17"/>
      <c r="U8" s="17"/>
    </row>
    <row r="9" spans="2:31" x14ac:dyDescent="0.25">
      <c r="L9" s="1173"/>
      <c r="M9" s="668" t="s">
        <v>157</v>
      </c>
      <c r="N9" s="192"/>
      <c r="O9" s="8" t="s">
        <v>160</v>
      </c>
      <c r="P9" s="17"/>
      <c r="Q9" s="17"/>
      <c r="R9" s="17"/>
      <c r="S9" s="241"/>
      <c r="T9" s="17"/>
      <c r="U9" s="17"/>
      <c r="V9"/>
      <c r="W9"/>
      <c r="X9"/>
    </row>
    <row r="10" spans="2:31" x14ac:dyDescent="0.25">
      <c r="L10" s="1173"/>
      <c r="M10" s="668" t="s">
        <v>158</v>
      </c>
      <c r="N10" s="192"/>
      <c r="O10" s="8" t="s">
        <v>161</v>
      </c>
      <c r="P10" s="17"/>
      <c r="Q10" s="17"/>
      <c r="R10" s="17"/>
      <c r="S10" s="241"/>
      <c r="T10" s="17"/>
      <c r="U10" s="17"/>
      <c r="V10"/>
      <c r="W10"/>
      <c r="X10"/>
      <c r="Y10"/>
      <c r="Z10"/>
      <c r="AA10"/>
      <c r="AB10"/>
      <c r="AC10"/>
      <c r="AD10"/>
      <c r="AE10"/>
    </row>
    <row r="11" spans="2:31" x14ac:dyDescent="0.25">
      <c r="L11" s="1174"/>
      <c r="M11" s="669" t="s">
        <v>159</v>
      </c>
      <c r="N11" s="268"/>
      <c r="O11" s="269" t="s">
        <v>162</v>
      </c>
      <c r="P11" s="259"/>
      <c r="Q11" s="259"/>
      <c r="R11" s="259"/>
      <c r="S11" s="262"/>
      <c r="T11" s="17"/>
      <c r="U11" s="17"/>
      <c r="V11"/>
      <c r="W11"/>
      <c r="X11"/>
      <c r="Y11"/>
      <c r="Z11"/>
      <c r="AA11"/>
      <c r="AB11"/>
      <c r="AC11"/>
    </row>
    <row r="12" spans="2:31" x14ac:dyDescent="0.25">
      <c r="L12" s="258"/>
      <c r="M12" s="142"/>
      <c r="N12" s="192"/>
      <c r="O12" s="8"/>
      <c r="P12" s="17"/>
      <c r="Q12" s="17"/>
      <c r="R12" s="17"/>
      <c r="S12" s="17"/>
      <c r="T12" s="17"/>
      <c r="U12" s="17"/>
      <c r="V12"/>
      <c r="AA12"/>
      <c r="AB12"/>
      <c r="AC12"/>
    </row>
    <row r="13" spans="2:31" ht="15.75" thickBot="1" x14ac:dyDescent="0.3">
      <c r="L13" s="1172" t="s">
        <v>285</v>
      </c>
      <c r="M13" s="1" t="s">
        <v>101</v>
      </c>
      <c r="N13" s="152" t="s">
        <v>286</v>
      </c>
      <c r="O13" s="152"/>
      <c r="P13" s="266"/>
      <c r="Q13" s="266"/>
      <c r="R13" s="266"/>
      <c r="S13" s="261"/>
      <c r="T13" s="17"/>
      <c r="U13" s="17"/>
      <c r="V13"/>
      <c r="AA13"/>
      <c r="AB13"/>
      <c r="AC13"/>
    </row>
    <row r="14" spans="2:31" x14ac:dyDescent="0.25">
      <c r="L14" s="1173"/>
      <c r="M14" s="292" t="s">
        <v>149</v>
      </c>
      <c r="N14" s="666">
        <f>N6^2</f>
        <v>3600</v>
      </c>
      <c r="O14" s="7" t="s">
        <v>150</v>
      </c>
      <c r="P14" s="17"/>
      <c r="Q14" s="17"/>
      <c r="R14" s="17"/>
      <c r="S14" s="241"/>
      <c r="T14" s="17"/>
      <c r="U14" s="17"/>
      <c r="V14"/>
      <c r="AA14"/>
      <c r="AB14"/>
      <c r="AC14"/>
    </row>
    <row r="15" spans="2:31" s="33" customFormat="1" ht="15.75" thickBot="1" x14ac:dyDescent="0.3">
      <c r="L15" s="1173"/>
      <c r="M15" s="292" t="s">
        <v>152</v>
      </c>
      <c r="N15" s="667">
        <f>N7^2</f>
        <v>22500</v>
      </c>
      <c r="O15" s="7" t="s">
        <v>151</v>
      </c>
      <c r="P15" s="17"/>
      <c r="Q15" s="17"/>
      <c r="R15" s="17"/>
      <c r="S15" s="241"/>
      <c r="T15" s="17"/>
      <c r="U15" s="17"/>
      <c r="V15"/>
      <c r="AA15"/>
      <c r="AB15"/>
      <c r="AC15"/>
    </row>
    <row r="16" spans="2:31" s="33" customFormat="1" x14ac:dyDescent="0.25">
      <c r="L16" s="1173"/>
      <c r="M16" s="668" t="s">
        <v>153</v>
      </c>
      <c r="N16" s="18">
        <f>N15-N14</f>
        <v>18900</v>
      </c>
      <c r="O16" s="7" t="s">
        <v>154</v>
      </c>
      <c r="P16" s="17"/>
      <c r="Q16" s="17"/>
      <c r="R16" s="17"/>
      <c r="S16" s="241"/>
      <c r="T16" s="17"/>
      <c r="U16" s="17"/>
      <c r="V16"/>
      <c r="AA16"/>
      <c r="AB16"/>
      <c r="AC16"/>
    </row>
    <row r="17" spans="1:56" s="33" customFormat="1" x14ac:dyDescent="0.25">
      <c r="L17" s="1173"/>
      <c r="M17" s="668" t="s">
        <v>157</v>
      </c>
      <c r="N17" s="192"/>
      <c r="O17" s="8" t="s">
        <v>160</v>
      </c>
      <c r="P17" s="17"/>
      <c r="Q17" s="17"/>
      <c r="R17" s="17"/>
      <c r="S17" s="241"/>
      <c r="T17" s="17"/>
      <c r="U17" s="17"/>
      <c r="V17"/>
      <c r="AA17"/>
      <c r="AB17"/>
      <c r="AC17"/>
    </row>
    <row r="18" spans="1:56" s="33" customFormat="1" x14ac:dyDescent="0.25">
      <c r="L18" s="1173"/>
      <c r="M18" s="668" t="s">
        <v>158</v>
      </c>
      <c r="N18" s="192"/>
      <c r="O18" s="8" t="s">
        <v>161</v>
      </c>
      <c r="P18" s="17"/>
      <c r="Q18" s="17"/>
      <c r="R18" s="17"/>
      <c r="S18" s="241"/>
      <c r="T18" s="17"/>
      <c r="U18" s="17"/>
      <c r="V18"/>
      <c r="AA18"/>
      <c r="AB18"/>
      <c r="AC18"/>
    </row>
    <row r="19" spans="1:56" s="33" customFormat="1" x14ac:dyDescent="0.25">
      <c r="L19" s="1174"/>
      <c r="M19" s="669" t="s">
        <v>159</v>
      </c>
      <c r="N19" s="268"/>
      <c r="O19" s="269" t="s">
        <v>162</v>
      </c>
      <c r="P19" s="259"/>
      <c r="Q19" s="259"/>
      <c r="R19" s="259"/>
      <c r="S19" s="262"/>
      <c r="T19" s="17"/>
      <c r="U19" s="17"/>
      <c r="V19"/>
      <c r="AA19"/>
      <c r="AB19"/>
      <c r="AC19"/>
    </row>
    <row r="20" spans="1:56" s="33" customFormat="1" ht="15.75" thickBot="1" x14ac:dyDescent="0.3">
      <c r="L20" s="258"/>
      <c r="M20" s="142"/>
      <c r="N20" s="192"/>
      <c r="O20" s="8"/>
      <c r="P20" s="17"/>
      <c r="Q20" s="17"/>
      <c r="R20" s="17"/>
      <c r="S20" s="17"/>
      <c r="T20" s="17"/>
      <c r="V20"/>
      <c r="AA20"/>
      <c r="AB20"/>
      <c r="AC20"/>
    </row>
    <row r="21" spans="1:56" s="33" customFormat="1" x14ac:dyDescent="0.25">
      <c r="L21" s="1175" t="s">
        <v>152</v>
      </c>
      <c r="M21" s="275" t="s">
        <v>164</v>
      </c>
      <c r="N21" s="276" t="s">
        <v>168</v>
      </c>
      <c r="O21" s="253" t="s">
        <v>166</v>
      </c>
      <c r="P21" s="253"/>
      <c r="Q21" s="253"/>
      <c r="R21" s="251"/>
      <c r="V21"/>
      <c r="AA21"/>
      <c r="AB21"/>
      <c r="AC21"/>
    </row>
    <row r="22" spans="1:56" ht="15.75" thickBot="1" x14ac:dyDescent="0.3">
      <c r="L22" s="1176"/>
      <c r="M22" s="17" t="s">
        <v>139</v>
      </c>
      <c r="N22" s="256">
        <v>4</v>
      </c>
      <c r="O22" s="17" t="s">
        <v>140</v>
      </c>
      <c r="P22" s="17"/>
      <c r="Q22" s="17"/>
      <c r="R22" s="197"/>
      <c r="V22"/>
      <c r="AA22"/>
      <c r="AB22"/>
      <c r="AC22"/>
    </row>
    <row r="23" spans="1:56" ht="15.75" customHeight="1" thickBot="1" x14ac:dyDescent="0.3">
      <c r="L23" s="1176"/>
      <c r="M23" s="17" t="s">
        <v>5</v>
      </c>
      <c r="N23" s="670">
        <v>1</v>
      </c>
      <c r="O23" s="17" t="s">
        <v>143</v>
      </c>
      <c r="P23" s="17"/>
      <c r="Q23" s="17"/>
      <c r="R23" s="197"/>
      <c r="V23"/>
      <c r="AA23"/>
      <c r="AB23"/>
      <c r="AC23"/>
    </row>
    <row r="24" spans="1:56" ht="15.75" thickBot="1" x14ac:dyDescent="0.3">
      <c r="L24" s="1177"/>
      <c r="M24" s="168" t="s">
        <v>141</v>
      </c>
      <c r="N24" s="277">
        <f>N23*LN(N22)</f>
        <v>1.3862943611198906</v>
      </c>
      <c r="O24" s="168" t="s">
        <v>142</v>
      </c>
      <c r="P24" s="254"/>
      <c r="Q24" s="254"/>
      <c r="R24" s="252"/>
      <c r="T24" s="630"/>
      <c r="U24" s="630"/>
      <c r="V24" s="630"/>
      <c r="W24" s="630"/>
      <c r="X24"/>
      <c r="Y24"/>
      <c r="Z24"/>
      <c r="AA24"/>
      <c r="AB24"/>
      <c r="AC24"/>
    </row>
    <row r="25" spans="1:56" x14ac:dyDescent="0.25">
      <c r="L25" s="7"/>
      <c r="M25" s="255"/>
      <c r="N25" s="7"/>
      <c r="O25" s="17"/>
      <c r="P25" s="17"/>
      <c r="Q25" s="17"/>
      <c r="V25"/>
      <c r="W25"/>
      <c r="X25"/>
      <c r="Y25"/>
      <c r="Z25"/>
      <c r="AA25"/>
      <c r="AB25"/>
      <c r="AC25"/>
    </row>
    <row r="26" spans="1:56" ht="15.75" thickBot="1" x14ac:dyDescent="0.3">
      <c r="E26" s="7"/>
      <c r="F26" s="7"/>
      <c r="G26" s="7"/>
      <c r="AE26" s="142"/>
      <c r="AF26" s="8"/>
      <c r="AG26" s="8"/>
      <c r="AH26" s="8"/>
      <c r="AI26" s="8"/>
      <c r="AJ26" s="8"/>
      <c r="AK26" s="8"/>
      <c r="AL26" s="8"/>
      <c r="AN26" s="8"/>
      <c r="AO26" s="8"/>
      <c r="AP26" s="8"/>
      <c r="AQ26" s="8"/>
      <c r="AR26" s="8"/>
      <c r="AS26" s="8"/>
      <c r="AT26" s="8"/>
    </row>
    <row r="27" spans="1:56" ht="19.5" thickBot="1" x14ac:dyDescent="0.35">
      <c r="B27" s="1216" t="s">
        <v>73</v>
      </c>
      <c r="C27" s="1216"/>
      <c r="D27" s="1216"/>
      <c r="E27" s="1216"/>
      <c r="G27" s="1250" t="s">
        <v>176</v>
      </c>
      <c r="H27" s="1250"/>
      <c r="I27" s="1250"/>
      <c r="J27" s="1250"/>
      <c r="M27" s="201" t="s">
        <v>12</v>
      </c>
      <c r="N27" s="202"/>
      <c r="O27" s="202"/>
      <c r="P27" s="203"/>
      <c r="Q27" s="201" t="s">
        <v>229</v>
      </c>
      <c r="R27" s="202"/>
      <c r="S27" s="202"/>
      <c r="T27" s="203"/>
      <c r="U27" s="201" t="s">
        <v>228</v>
      </c>
      <c r="V27" s="202"/>
      <c r="W27" s="202"/>
      <c r="X27" s="203"/>
      <c r="Y27" s="201" t="s">
        <v>227</v>
      </c>
      <c r="Z27" s="202"/>
      <c r="AA27" s="202"/>
      <c r="AB27" s="203"/>
      <c r="AC27" s="201" t="s">
        <v>231</v>
      </c>
      <c r="AD27" s="202"/>
      <c r="AE27" s="202"/>
      <c r="AF27" s="203"/>
      <c r="AG27" s="201" t="s">
        <v>230</v>
      </c>
      <c r="AH27" s="202"/>
      <c r="AI27" s="202"/>
      <c r="AJ27" s="203"/>
      <c r="AK27" s="201" t="s">
        <v>36</v>
      </c>
      <c r="AL27" s="203" t="s">
        <v>35</v>
      </c>
      <c r="AM27" s="195"/>
      <c r="AN27" s="931"/>
      <c r="AO27" s="931"/>
      <c r="AP27" s="481"/>
      <c r="AQ27" s="8"/>
      <c r="AR27" s="8"/>
      <c r="AS27" s="143"/>
      <c r="AT27" s="245"/>
      <c r="AU27" s="20"/>
      <c r="AV27" s="20"/>
      <c r="AW27" s="20"/>
      <c r="AX27" s="7"/>
      <c r="AY27" s="7"/>
      <c r="AZ27" s="7"/>
      <c r="BA27" s="7"/>
      <c r="BB27" s="7"/>
      <c r="BC27" s="7"/>
      <c r="BD27" s="7"/>
    </row>
    <row r="28" spans="1:56" ht="15.75" thickBot="1" x14ac:dyDescent="0.3">
      <c r="B28" s="672" t="s">
        <v>287</v>
      </c>
      <c r="C28" s="673" t="s">
        <v>288</v>
      </c>
      <c r="D28" s="673" t="str">
        <f>I28</f>
        <v>SD</v>
      </c>
      <c r="E28" s="674" t="s">
        <v>289</v>
      </c>
      <c r="G28" s="675" t="s">
        <v>287</v>
      </c>
      <c r="H28" s="676" t="s">
        <v>288</v>
      </c>
      <c r="I28" s="677" t="s">
        <v>290</v>
      </c>
      <c r="J28" s="675" t="s">
        <v>289</v>
      </c>
      <c r="K28" s="678" t="s">
        <v>291</v>
      </c>
      <c r="L28" s="117" t="s">
        <v>45</v>
      </c>
      <c r="M28" s="249" t="str">
        <f>"S("&amp;$N$6&amp;", "&amp;$N$14&amp;")"</f>
        <v>S(60, 3600)</v>
      </c>
      <c r="N28" s="178" t="str">
        <f>"S("&amp;$N$6&amp;", "&amp;$N$15&amp;")"</f>
        <v>S(60, 22500)</v>
      </c>
      <c r="O28" s="175" t="str">
        <f>"S("&amp;$N$7&amp;", "&amp;$N$14&amp;")"</f>
        <v>S(150, 3600)</v>
      </c>
      <c r="P28" s="317" t="str">
        <f>"S("&amp;$N$7&amp;", "&amp;$N$15&amp;")"</f>
        <v>S(150, 22500)</v>
      </c>
      <c r="Q28" s="249" t="str">
        <f>"P"&amp;(RIGHT(M28,LEN(M28)-1))</f>
        <v>P(60, 3600)</v>
      </c>
      <c r="R28" s="178" t="str">
        <f t="shared" ref="R28:S28" si="0">"P"&amp;(RIGHT(N28,LEN(N28)-1))</f>
        <v>P(60, 22500)</v>
      </c>
      <c r="S28" s="175" t="str">
        <f t="shared" si="0"/>
        <v>P(150, 3600)</v>
      </c>
      <c r="T28" s="317" t="str">
        <f>"P"&amp;(RIGHT(P28,LEN(P28)-1))</f>
        <v>P(150, 22500)</v>
      </c>
      <c r="U28" s="489" t="str">
        <f>"P("&amp;$N$6&amp;",:)"</f>
        <v>P(60,:)</v>
      </c>
      <c r="V28" s="484" t="str">
        <f>"P("&amp;$N$7&amp;",:)"</f>
        <v>P(150,:)</v>
      </c>
      <c r="W28" s="494" t="str">
        <f>"P(:,"&amp;$N$14&amp;")"</f>
        <v>P(:,3600)</v>
      </c>
      <c r="X28" s="403" t="str">
        <f>"P(:,"&amp;$N$15&amp;")"</f>
        <v>P(:,22500)</v>
      </c>
      <c r="Y28" s="489" t="str">
        <f>"V"&amp;RIGHT(U28,LEN(U28)-1)</f>
        <v>V(60,:)</v>
      </c>
      <c r="Z28" s="484" t="str">
        <f>"V"&amp;RIGHT(V28,LEN(V28)-1)</f>
        <v>V(150,:)</v>
      </c>
      <c r="AA28" s="494" t="str">
        <f t="shared" ref="AA28:AB28" si="1">"V"&amp;RIGHT(W28,LEN(W28)-1)</f>
        <v>V(:,3600)</v>
      </c>
      <c r="AB28" s="403" t="str">
        <f t="shared" si="1"/>
        <v>V(:,22500)</v>
      </c>
      <c r="AC28" s="489" t="str">
        <f>Y28</f>
        <v>V(60,:)</v>
      </c>
      <c r="AD28" s="484" t="str">
        <f t="shared" ref="AD28:AF28" si="2">Z28</f>
        <v>V(150,:)</v>
      </c>
      <c r="AE28" s="494" t="str">
        <f t="shared" si="2"/>
        <v>V(:,3600)</v>
      </c>
      <c r="AF28" s="403" t="str">
        <f t="shared" si="2"/>
        <v>V(:,22500)</v>
      </c>
      <c r="AG28" s="249" t="str">
        <f>Q28</f>
        <v>P(60, 3600)</v>
      </c>
      <c r="AH28" s="178" t="str">
        <f>R28</f>
        <v>P(60, 22500)</v>
      </c>
      <c r="AI28" s="175" t="str">
        <f>S28</f>
        <v>P(150, 3600)</v>
      </c>
      <c r="AJ28" s="317" t="str">
        <f>T28</f>
        <v>P(150, 22500)</v>
      </c>
      <c r="AK28" s="508">
        <v>0</v>
      </c>
      <c r="AL28" s="205"/>
      <c r="AM28" s="142"/>
      <c r="AN28" s="7" t="s">
        <v>180</v>
      </c>
      <c r="AO28" s="7"/>
      <c r="AP28" s="7"/>
      <c r="AQ28" s="7"/>
      <c r="AR28" s="7"/>
      <c r="AS28" s="8"/>
      <c r="AT28" s="8"/>
      <c r="AZ28" s="7"/>
      <c r="BA28" s="7"/>
      <c r="BB28" s="7"/>
      <c r="BC28" s="7"/>
      <c r="BD28" s="7"/>
    </row>
    <row r="29" spans="1:56" ht="15.75" thickTop="1" x14ac:dyDescent="0.25">
      <c r="B29" s="679">
        <f t="shared" ref="B29:D33" si="3">G29</f>
        <v>125.79527207670043</v>
      </c>
      <c r="C29" s="680">
        <f t="shared" si="3"/>
        <v>4422.6142969308912</v>
      </c>
      <c r="D29" s="680">
        <f t="shared" si="3"/>
        <v>66.502739018260684</v>
      </c>
      <c r="E29" s="681">
        <f>J29</f>
        <v>35.157237819194954</v>
      </c>
      <c r="G29" s="682">
        <f>AD29</f>
        <v>125.79527207670043</v>
      </c>
      <c r="H29" s="682">
        <f>AF29-(G29^2)</f>
        <v>4422.6142969308912</v>
      </c>
      <c r="I29" s="682">
        <f>SQRT(H29)</f>
        <v>66.502739018260684</v>
      </c>
      <c r="J29" s="682">
        <f>H29/G29</f>
        <v>35.157237819194954</v>
      </c>
      <c r="K29" s="683">
        <f>SUMXMY2(B29,G29)+SUMXMY2(D29,I29)</f>
        <v>0</v>
      </c>
      <c r="L29" s="25">
        <v>1</v>
      </c>
      <c r="M29" s="318">
        <v>1</v>
      </c>
      <c r="N29" s="216">
        <v>3</v>
      </c>
      <c r="O29" s="215">
        <v>2</v>
      </c>
      <c r="P29" s="319">
        <v>4</v>
      </c>
      <c r="Q29" s="328">
        <f t="shared" ref="Q29:T36" si="4">EXP(M29/$N$23)/(EXP($M29/$N$23)+EXP($N29/$N$23)+EXP($O29/$N$23)+EXP($P29/$N$23))</f>
        <v>3.2058603280084988E-2</v>
      </c>
      <c r="R29" s="212">
        <f t="shared" si="4"/>
        <v>0.23688281808991013</v>
      </c>
      <c r="S29" s="211">
        <f t="shared" si="4"/>
        <v>8.7144318742032573E-2</v>
      </c>
      <c r="T29" s="329">
        <f t="shared" si="4"/>
        <v>0.64391425988797224</v>
      </c>
      <c r="U29" s="490">
        <f>SUM(Q29:R29)</f>
        <v>0.2689414213699951</v>
      </c>
      <c r="V29" s="485">
        <f>SUM(S29,T29)</f>
        <v>0.73105857863000479</v>
      </c>
      <c r="W29" s="495">
        <f>SUM(S29,Q29)</f>
        <v>0.11920292202211756</v>
      </c>
      <c r="X29" s="476">
        <f>SUM(R29,T29)</f>
        <v>0.88079707797788243</v>
      </c>
      <c r="Y29" s="490">
        <f t="shared" ref="Y29:Z36" si="5">U29*$N$8</f>
        <v>24.204727923299558</v>
      </c>
      <c r="Z29" s="485">
        <f t="shared" si="5"/>
        <v>65.795272076700428</v>
      </c>
      <c r="AA29" s="495">
        <f t="shared" ref="AA29:AB36" si="6">W29*$N$16</f>
        <v>2252.9352262180219</v>
      </c>
      <c r="AB29" s="476">
        <f t="shared" si="6"/>
        <v>16647.064773781978</v>
      </c>
      <c r="AC29" s="490">
        <f t="shared" ref="AC29:AD36" si="7">Y29+$N$6</f>
        <v>84.204727923299558</v>
      </c>
      <c r="AD29" s="485">
        <f t="shared" si="7"/>
        <v>125.79527207670043</v>
      </c>
      <c r="AE29" s="495">
        <f t="shared" ref="AE29:AF36" si="8">AA29+$N$14</f>
        <v>5852.9352262180219</v>
      </c>
      <c r="AF29" s="476">
        <f t="shared" si="8"/>
        <v>20247.064773781978</v>
      </c>
      <c r="AG29" s="318">
        <f t="shared" ref="AG29:AG45" si="9">SUM(Y29,AA29)</f>
        <v>2277.1399541413216</v>
      </c>
      <c r="AH29" s="216">
        <f t="shared" ref="AH29:AH45" si="10">SUM(Y29,AB29)</f>
        <v>16671.269501705279</v>
      </c>
      <c r="AI29" s="215">
        <f t="shared" ref="AI29:AI45" si="11">SUM(Z29,AA29)</f>
        <v>2318.7304982947221</v>
      </c>
      <c r="AJ29" s="319">
        <f t="shared" ref="AJ29:AJ45" si="12">SUM(Z29,AB29)</f>
        <v>16712.860045858677</v>
      </c>
      <c r="AK29" s="81">
        <f>$N$23*LN(EXP($M29/$N$23) + EXP($N29/$N$23) + EXP($O29/$N$23) +EXP($P29/$N$23) )</f>
        <v>4.4401896985611957</v>
      </c>
      <c r="AL29" s="206">
        <f>(AK29-AK28)</f>
        <v>4.4401896985611957</v>
      </c>
      <c r="AM29" s="196"/>
      <c r="AN29" s="315" t="s">
        <v>212</v>
      </c>
      <c r="AO29" s="7"/>
      <c r="AP29" s="7"/>
      <c r="AQ29" s="7"/>
      <c r="AR29" s="7"/>
      <c r="AS29" s="8"/>
      <c r="AT29" s="8"/>
      <c r="AZ29" s="7"/>
      <c r="BA29" s="7"/>
      <c r="BB29" s="189"/>
      <c r="BC29" s="7"/>
      <c r="BD29" s="7"/>
    </row>
    <row r="30" spans="1:56" ht="19.5" thickBot="1" x14ac:dyDescent="0.35">
      <c r="B30" s="679">
        <f>G30</f>
        <v>125.79527207670043</v>
      </c>
      <c r="C30" s="680">
        <f t="shared" si="3"/>
        <v>4422.6142969308912</v>
      </c>
      <c r="D30" s="680">
        <f>I30</f>
        <v>66.502739018260684</v>
      </c>
      <c r="E30" s="681">
        <f t="shared" ref="E30:E36" si="13">J30</f>
        <v>35.157237819194954</v>
      </c>
      <c r="G30" s="682">
        <f>AD30</f>
        <v>125.79527207670043</v>
      </c>
      <c r="H30" s="684">
        <f t="shared" ref="H30:H38" si="14">AF30-(G30^2)</f>
        <v>4422.6142969308912</v>
      </c>
      <c r="I30" s="684">
        <f t="shared" ref="I30:I32" si="15">SQRT(H30)</f>
        <v>66.502739018260684</v>
      </c>
      <c r="J30" s="684">
        <f t="shared" ref="J30:J38" si="16">H30/G30</f>
        <v>35.157237819194954</v>
      </c>
      <c r="K30" s="683">
        <f>SUMXMY2(B30,G30)+SUMXMY2(D30,I30)</f>
        <v>0</v>
      </c>
      <c r="L30" s="25">
        <v>2</v>
      </c>
      <c r="M30" s="320">
        <v>1</v>
      </c>
      <c r="N30" s="234">
        <v>3</v>
      </c>
      <c r="O30" s="233">
        <v>2</v>
      </c>
      <c r="P30" s="321">
        <v>4</v>
      </c>
      <c r="Q30" s="330">
        <f>EXP(M30/$N$23)/(EXP($M30/$N$23)+EXP($N30/$N$23)+EXP($O30/$N$23)+EXP($P30/$N$23))</f>
        <v>3.2058603280084988E-2</v>
      </c>
      <c r="R30" s="230">
        <f t="shared" si="4"/>
        <v>0.23688281808991013</v>
      </c>
      <c r="S30" s="229">
        <f t="shared" si="4"/>
        <v>8.7144318742032573E-2</v>
      </c>
      <c r="T30" s="331">
        <f t="shared" si="4"/>
        <v>0.64391425988797224</v>
      </c>
      <c r="U30" s="491">
        <f t="shared" ref="U30:U44" si="17">SUM(Q30:R30)</f>
        <v>0.2689414213699951</v>
      </c>
      <c r="V30" s="486">
        <f t="shared" ref="V30:V45" si="18">SUM(S30,T30)</f>
        <v>0.73105857863000479</v>
      </c>
      <c r="W30" s="496">
        <f t="shared" ref="W30:W45" si="19">SUM(S30,Q30)</f>
        <v>0.11920292202211756</v>
      </c>
      <c r="X30" s="477">
        <f t="shared" ref="X30:X45" si="20">SUM(R30,T30)</f>
        <v>0.88079707797788243</v>
      </c>
      <c r="Y30" s="491">
        <f t="shared" si="5"/>
        <v>24.204727923299558</v>
      </c>
      <c r="Z30" s="486">
        <f t="shared" si="5"/>
        <v>65.795272076700428</v>
      </c>
      <c r="AA30" s="496">
        <f t="shared" si="6"/>
        <v>2252.9352262180219</v>
      </c>
      <c r="AB30" s="477">
        <f t="shared" si="6"/>
        <v>16647.064773781978</v>
      </c>
      <c r="AC30" s="491">
        <f t="shared" si="7"/>
        <v>84.204727923299558</v>
      </c>
      <c r="AD30" s="486">
        <f t="shared" si="7"/>
        <v>125.79527207670043</v>
      </c>
      <c r="AE30" s="496">
        <f t="shared" si="8"/>
        <v>5852.9352262180219</v>
      </c>
      <c r="AF30" s="477">
        <f t="shared" si="8"/>
        <v>20247.064773781978</v>
      </c>
      <c r="AG30" s="320">
        <f t="shared" si="9"/>
        <v>2277.1399541413216</v>
      </c>
      <c r="AH30" s="234">
        <f t="shared" si="10"/>
        <v>16671.269501705279</v>
      </c>
      <c r="AI30" s="233">
        <f t="shared" si="11"/>
        <v>2318.7304982947221</v>
      </c>
      <c r="AJ30" s="321">
        <f t="shared" si="12"/>
        <v>16712.860045858677</v>
      </c>
      <c r="AK30" s="82">
        <f t="shared" ref="AK30:AK45" si="21">$N$23*LN(EXP($M30/$N$23) + EXP($N30/$N$23) + EXP($O30/$N$23) +EXP($P30/$N$23) )</f>
        <v>4.4401896985611957</v>
      </c>
      <c r="AL30" s="208">
        <f>(AK30-AK29)</f>
        <v>0</v>
      </c>
      <c r="AM30" s="196"/>
      <c r="AN30" s="7" t="s">
        <v>233</v>
      </c>
      <c r="AO30" s="499">
        <f>Z45/Z29</f>
        <v>7.5993302287302361E-2</v>
      </c>
      <c r="AP30" s="7"/>
      <c r="AQ30" s="7"/>
      <c r="AR30" s="7"/>
      <c r="AS30" s="8"/>
      <c r="AT30" s="245"/>
      <c r="AZ30" s="7"/>
      <c r="BA30" s="7"/>
      <c r="BB30" s="7"/>
      <c r="BC30" s="7"/>
      <c r="BD30" s="7"/>
    </row>
    <row r="31" spans="1:56" ht="19.5" thickBot="1" x14ac:dyDescent="0.35">
      <c r="A31" t="s">
        <v>4</v>
      </c>
      <c r="B31" s="685">
        <f>B30</f>
        <v>125.79527207670043</v>
      </c>
      <c r="C31" s="680">
        <f t="shared" si="3"/>
        <v>6399.9999993382789</v>
      </c>
      <c r="D31" s="686">
        <v>80</v>
      </c>
      <c r="E31" s="681">
        <f t="shared" si="13"/>
        <v>50.876280874210437</v>
      </c>
      <c r="G31" s="687">
        <f>AD31</f>
        <v>125.79535864978068</v>
      </c>
      <c r="H31" s="687">
        <f t="shared" si="14"/>
        <v>6399.9999993382789</v>
      </c>
      <c r="I31" s="687">
        <f t="shared" si="15"/>
        <v>79.999999995864243</v>
      </c>
      <c r="J31" s="682">
        <f t="shared" si="16"/>
        <v>50.876280874210437</v>
      </c>
      <c r="K31" s="683">
        <f>SUMXMY2(B31,G31)+SUMXMY2(D31,I31)</f>
        <v>7.4948982416073627E-9</v>
      </c>
      <c r="L31" s="25">
        <v>3</v>
      </c>
      <c r="M31" s="320">
        <v>1</v>
      </c>
      <c r="N31" s="234">
        <v>5.2135397545717401</v>
      </c>
      <c r="O31" s="233">
        <v>2</v>
      </c>
      <c r="P31" s="321">
        <v>6.2135447194523996</v>
      </c>
      <c r="Q31" s="330">
        <f t="shared" si="4"/>
        <v>3.9206784542248499E-3</v>
      </c>
      <c r="R31" s="230">
        <f t="shared" si="4"/>
        <v>0.26501978099265644</v>
      </c>
      <c r="S31" s="229">
        <f t="shared" si="4"/>
        <v>1.0657508997350308E-2</v>
      </c>
      <c r="T31" s="331">
        <f t="shared" si="4"/>
        <v>0.72040203155576843</v>
      </c>
      <c r="U31" s="491">
        <f t="shared" si="17"/>
        <v>0.26894045944688127</v>
      </c>
      <c r="V31" s="486">
        <f t="shared" si="18"/>
        <v>0.73105954055311873</v>
      </c>
      <c r="W31" s="496">
        <f t="shared" si="19"/>
        <v>1.4578187451575159E-2</v>
      </c>
      <c r="X31" s="477">
        <f t="shared" si="20"/>
        <v>0.98542181254842487</v>
      </c>
      <c r="Y31" s="491">
        <f t="shared" si="5"/>
        <v>24.204641350219315</v>
      </c>
      <c r="Z31" s="486">
        <f t="shared" si="5"/>
        <v>65.795358649780681</v>
      </c>
      <c r="AA31" s="496">
        <f t="shared" si="6"/>
        <v>275.52774283477049</v>
      </c>
      <c r="AB31" s="477">
        <f t="shared" si="6"/>
        <v>18624.472257165231</v>
      </c>
      <c r="AC31" s="491">
        <f t="shared" si="7"/>
        <v>84.204641350219319</v>
      </c>
      <c r="AD31" s="486">
        <f t="shared" si="7"/>
        <v>125.79535864978068</v>
      </c>
      <c r="AE31" s="496">
        <f t="shared" si="8"/>
        <v>3875.5277428347704</v>
      </c>
      <c r="AF31" s="477">
        <f t="shared" si="8"/>
        <v>22224.472257165231</v>
      </c>
      <c r="AG31" s="320">
        <f t="shared" si="9"/>
        <v>299.73238418498983</v>
      </c>
      <c r="AH31" s="234">
        <f t="shared" si="10"/>
        <v>18648.676898515449</v>
      </c>
      <c r="AI31" s="233">
        <f t="shared" si="11"/>
        <v>341.32310148455116</v>
      </c>
      <c r="AJ31" s="321">
        <f t="shared" si="12"/>
        <v>18690.267615815013</v>
      </c>
      <c r="AK31" s="82">
        <f t="shared" si="21"/>
        <v>6.5414905650981661</v>
      </c>
      <c r="AL31" s="208">
        <f t="shared" ref="AL31" si="22">(AK31-AK30)</f>
        <v>2.1013008665369703</v>
      </c>
      <c r="AM31" s="196"/>
      <c r="AO31" s="7" t="s">
        <v>177</v>
      </c>
      <c r="AP31" s="7" t="s">
        <v>178</v>
      </c>
      <c r="AQ31" t="s">
        <v>236</v>
      </c>
      <c r="AS31" s="8"/>
      <c r="AT31" s="245"/>
      <c r="BC31" s="7"/>
      <c r="BD31" s="7"/>
    </row>
    <row r="32" spans="1:56" ht="19.5" thickBot="1" x14ac:dyDescent="0.35">
      <c r="B32" s="679">
        <f>G32</f>
        <v>125.79535864978068</v>
      </c>
      <c r="C32" s="680">
        <f t="shared" si="3"/>
        <v>6399.9999993382789</v>
      </c>
      <c r="D32" s="680">
        <f>I32</f>
        <v>79.999999995864243</v>
      </c>
      <c r="E32" s="688">
        <f t="shared" si="13"/>
        <v>50.876280874210437</v>
      </c>
      <c r="G32" s="689">
        <f>AD32</f>
        <v>125.79535864978068</v>
      </c>
      <c r="H32" s="687">
        <f t="shared" si="14"/>
        <v>6399.9999993382789</v>
      </c>
      <c r="I32" s="687">
        <f t="shared" si="15"/>
        <v>79.999999995864243</v>
      </c>
      <c r="J32" s="684">
        <f t="shared" si="16"/>
        <v>50.876280874210437</v>
      </c>
      <c r="K32" s="683">
        <f>SUMXMY2(B32,G32)+SUMXMY2(D32,I32)</f>
        <v>0</v>
      </c>
      <c r="L32" s="25">
        <v>4</v>
      </c>
      <c r="M32" s="320">
        <v>1</v>
      </c>
      <c r="N32" s="234">
        <v>5.2135397545717401</v>
      </c>
      <c r="O32" s="233">
        <v>2</v>
      </c>
      <c r="P32" s="321">
        <v>6.2135447194523996</v>
      </c>
      <c r="Q32" s="330">
        <f t="shared" si="4"/>
        <v>3.9206784542248499E-3</v>
      </c>
      <c r="R32" s="230">
        <f t="shared" si="4"/>
        <v>0.26501978099265644</v>
      </c>
      <c r="S32" s="229">
        <f t="shared" si="4"/>
        <v>1.0657508997350308E-2</v>
      </c>
      <c r="T32" s="331">
        <f t="shared" si="4"/>
        <v>0.72040203155576843</v>
      </c>
      <c r="U32" s="491">
        <f t="shared" si="17"/>
        <v>0.26894045944688127</v>
      </c>
      <c r="V32" s="486">
        <f t="shared" si="18"/>
        <v>0.73105954055311873</v>
      </c>
      <c r="W32" s="496">
        <f t="shared" si="19"/>
        <v>1.4578187451575159E-2</v>
      </c>
      <c r="X32" s="477">
        <f t="shared" si="20"/>
        <v>0.98542181254842487</v>
      </c>
      <c r="Y32" s="491">
        <f t="shared" si="5"/>
        <v>24.204641350219315</v>
      </c>
      <c r="Z32" s="486">
        <f t="shared" si="5"/>
        <v>65.795358649780681</v>
      </c>
      <c r="AA32" s="496">
        <f t="shared" si="6"/>
        <v>275.52774283477049</v>
      </c>
      <c r="AB32" s="477">
        <f t="shared" si="6"/>
        <v>18624.472257165231</v>
      </c>
      <c r="AC32" s="491">
        <f t="shared" si="7"/>
        <v>84.204641350219319</v>
      </c>
      <c r="AD32" s="486">
        <f t="shared" si="7"/>
        <v>125.79535864978068</v>
      </c>
      <c r="AE32" s="496">
        <f t="shared" si="8"/>
        <v>3875.5277428347704</v>
      </c>
      <c r="AF32" s="477">
        <f t="shared" si="8"/>
        <v>22224.472257165231</v>
      </c>
      <c r="AG32" s="320">
        <f t="shared" si="9"/>
        <v>299.73238418498983</v>
      </c>
      <c r="AH32" s="234">
        <f t="shared" si="10"/>
        <v>18648.676898515449</v>
      </c>
      <c r="AI32" s="233">
        <f t="shared" si="11"/>
        <v>341.32310148455116</v>
      </c>
      <c r="AJ32" s="321">
        <f t="shared" si="12"/>
        <v>18690.267615815013</v>
      </c>
      <c r="AK32" s="82">
        <f t="shared" si="21"/>
        <v>6.5414905650981661</v>
      </c>
      <c r="AL32" s="208">
        <f>(AK32-AK31)</f>
        <v>0</v>
      </c>
      <c r="AM32" s="196"/>
      <c r="AN32" s="7" t="s">
        <v>176</v>
      </c>
      <c r="AO32" s="935">
        <f>AL30</f>
        <v>0</v>
      </c>
      <c r="AP32" s="936">
        <f>SUM(S45:T45)</f>
        <v>5.5555555555555552E-2</v>
      </c>
      <c r="AQ32" s="937" t="e">
        <f>AP32/AO32</f>
        <v>#DIV/0!</v>
      </c>
      <c r="AR32" s="7" t="s">
        <v>237</v>
      </c>
      <c r="AS32" s="8"/>
      <c r="AT32" s="245"/>
      <c r="BC32" s="7"/>
      <c r="BD32" s="7"/>
    </row>
    <row r="33" spans="1:56" ht="19.5" thickBot="1" x14ac:dyDescent="0.35">
      <c r="A33" t="s">
        <v>5</v>
      </c>
      <c r="B33" s="686">
        <v>95</v>
      </c>
      <c r="C33" s="680">
        <f t="shared" si="3"/>
        <v>6400.0000689367062</v>
      </c>
      <c r="D33" s="690">
        <f>D32</f>
        <v>79.999999995864243</v>
      </c>
      <c r="E33" s="688">
        <f>J33</f>
        <v>67.368417673462559</v>
      </c>
      <c r="G33" s="687">
        <f>AD33</f>
        <v>95.000005788435828</v>
      </c>
      <c r="H33" s="687">
        <f t="shared" si="14"/>
        <v>6400.0000689367062</v>
      </c>
      <c r="I33" s="687">
        <f>SQRT(H33)</f>
        <v>80.000000430854413</v>
      </c>
      <c r="J33" s="682">
        <f t="shared" si="16"/>
        <v>67.368417673462559</v>
      </c>
      <c r="K33" s="683">
        <f>SUMXMY2(B33,G33)+SUMXMY2(D33,I33)</f>
        <v>3.3695205788004397E-11</v>
      </c>
      <c r="L33" s="25">
        <v>5</v>
      </c>
      <c r="M33" s="320">
        <v>1.602466119546041</v>
      </c>
      <c r="N33" s="234">
        <v>10.074612914379193</v>
      </c>
      <c r="O33" s="233">
        <v>9.5843625217032447</v>
      </c>
      <c r="P33" s="321">
        <v>6.3459080268348087</v>
      </c>
      <c r="Q33" s="330">
        <f t="shared" si="4"/>
        <v>1.2782702456293928E-4</v>
      </c>
      <c r="R33" s="230">
        <f t="shared" si="4"/>
        <v>0.61098321977059433</v>
      </c>
      <c r="S33" s="229">
        <f t="shared" si="4"/>
        <v>0.37421073547599004</v>
      </c>
      <c r="T33" s="331">
        <f t="shared" si="4"/>
        <v>1.4678217728852586E-2</v>
      </c>
      <c r="U33" s="491">
        <f t="shared" si="17"/>
        <v>0.61111104679515726</v>
      </c>
      <c r="V33" s="486">
        <f t="shared" si="18"/>
        <v>0.38888895320484262</v>
      </c>
      <c r="W33" s="496">
        <f t="shared" si="19"/>
        <v>0.37433856250055297</v>
      </c>
      <c r="X33" s="477">
        <f t="shared" si="20"/>
        <v>0.62566143749944692</v>
      </c>
      <c r="Y33" s="491">
        <f t="shared" si="5"/>
        <v>54.999994211564157</v>
      </c>
      <c r="Z33" s="486">
        <f t="shared" si="5"/>
        <v>35.000005788435836</v>
      </c>
      <c r="AA33" s="496">
        <f t="shared" si="6"/>
        <v>7074.998831260451</v>
      </c>
      <c r="AB33" s="477">
        <f t="shared" si="6"/>
        <v>11825.001168739547</v>
      </c>
      <c r="AC33" s="491">
        <f t="shared" si="7"/>
        <v>114.99999421156416</v>
      </c>
      <c r="AD33" s="486">
        <f t="shared" si="7"/>
        <v>95.000005788435828</v>
      </c>
      <c r="AE33" s="496">
        <f t="shared" si="8"/>
        <v>10674.998831260451</v>
      </c>
      <c r="AF33" s="477">
        <f t="shared" si="8"/>
        <v>15425.001168739547</v>
      </c>
      <c r="AG33" s="320">
        <f t="shared" si="9"/>
        <v>7129.9988254720147</v>
      </c>
      <c r="AH33" s="234">
        <f t="shared" si="10"/>
        <v>11880.001162951112</v>
      </c>
      <c r="AI33" s="233">
        <f t="shared" si="11"/>
        <v>7109.9988370488873</v>
      </c>
      <c r="AJ33" s="321">
        <f t="shared" si="12"/>
        <v>11860.001174527983</v>
      </c>
      <c r="AK33" s="82">
        <f t="shared" si="21"/>
        <v>10.567298698117447</v>
      </c>
      <c r="AL33" s="208">
        <f t="shared" ref="AL33:AL36" si="23">(AK33-AK32)</f>
        <v>4.0258081330192814</v>
      </c>
      <c r="AM33" s="196"/>
      <c r="AN33" s="8" t="s">
        <v>179</v>
      </c>
      <c r="AO33" s="938">
        <f>SUM(S29:T29)</f>
        <v>0.73105857863000479</v>
      </c>
      <c r="AP33" s="939">
        <f>SUM(S45:T45)</f>
        <v>5.5555555555555552E-2</v>
      </c>
      <c r="AQ33" s="940">
        <f>AP33/AO33</f>
        <v>7.5993302287302361E-2</v>
      </c>
      <c r="AR33" s="7" t="s">
        <v>235</v>
      </c>
      <c r="AS33" s="8"/>
      <c r="AT33" s="245"/>
      <c r="BC33" s="7"/>
      <c r="BD33" s="7"/>
    </row>
    <row r="34" spans="1:56" ht="18.75" x14ac:dyDescent="0.3">
      <c r="B34" s="679">
        <f>G34</f>
        <v>95.000005788435828</v>
      </c>
      <c r="C34" s="691">
        <f>H34</f>
        <v>6400.0000689367062</v>
      </c>
      <c r="D34" s="691">
        <f>I34</f>
        <v>80.000000430854413</v>
      </c>
      <c r="E34" s="692">
        <f t="shared" si="13"/>
        <v>67.368417673462559</v>
      </c>
      <c r="F34" s="247"/>
      <c r="G34" s="684">
        <f t="shared" ref="G34:G38" si="24">AD34</f>
        <v>95.000005788435828</v>
      </c>
      <c r="H34" s="684">
        <f t="shared" si="14"/>
        <v>6400.0000689367062</v>
      </c>
      <c r="I34" s="684">
        <f t="shared" ref="I34:I38" si="25">SQRT(H34)</f>
        <v>80.000000430854413</v>
      </c>
      <c r="J34" s="684">
        <f t="shared" si="16"/>
        <v>67.368417673462559</v>
      </c>
      <c r="K34" s="693">
        <f t="shared" ref="K34" si="26">SUMXMY2(B34,G34)+SUMXMY2(D34,I34)</f>
        <v>0</v>
      </c>
      <c r="L34" s="694">
        <v>6</v>
      </c>
      <c r="M34" s="318">
        <v>1.602466119546041</v>
      </c>
      <c r="N34" s="216">
        <v>10.074612914379193</v>
      </c>
      <c r="O34" s="215">
        <v>9.5843625217032447</v>
      </c>
      <c r="P34" s="319">
        <v>6.3459080268348087</v>
      </c>
      <c r="Q34" s="330">
        <f t="shared" si="4"/>
        <v>1.2782702456293928E-4</v>
      </c>
      <c r="R34" s="230">
        <f t="shared" si="4"/>
        <v>0.61098321977059433</v>
      </c>
      <c r="S34" s="229">
        <f t="shared" si="4"/>
        <v>0.37421073547599004</v>
      </c>
      <c r="T34" s="331">
        <f t="shared" si="4"/>
        <v>1.4678217728852586E-2</v>
      </c>
      <c r="U34" s="491">
        <f t="shared" si="17"/>
        <v>0.61111104679515726</v>
      </c>
      <c r="V34" s="486">
        <f t="shared" si="18"/>
        <v>0.38888895320484262</v>
      </c>
      <c r="W34" s="496">
        <f t="shared" si="19"/>
        <v>0.37433856250055297</v>
      </c>
      <c r="X34" s="477">
        <f t="shared" si="20"/>
        <v>0.62566143749944692</v>
      </c>
      <c r="Y34" s="491">
        <f t="shared" si="5"/>
        <v>54.999994211564157</v>
      </c>
      <c r="Z34" s="486">
        <f t="shared" si="5"/>
        <v>35.000005788435836</v>
      </c>
      <c r="AA34" s="496">
        <f t="shared" si="6"/>
        <v>7074.998831260451</v>
      </c>
      <c r="AB34" s="477">
        <f t="shared" si="6"/>
        <v>11825.001168739547</v>
      </c>
      <c r="AC34" s="491">
        <f t="shared" si="7"/>
        <v>114.99999421156416</v>
      </c>
      <c r="AD34" s="486">
        <f t="shared" si="7"/>
        <v>95.000005788435828</v>
      </c>
      <c r="AE34" s="496">
        <f t="shared" si="8"/>
        <v>10674.998831260451</v>
      </c>
      <c r="AF34" s="477">
        <f t="shared" si="8"/>
        <v>15425.001168739547</v>
      </c>
      <c r="AG34" s="320">
        <f t="shared" si="9"/>
        <v>7129.9988254720147</v>
      </c>
      <c r="AH34" s="234">
        <f t="shared" si="10"/>
        <v>11880.001162951112</v>
      </c>
      <c r="AI34" s="233">
        <f t="shared" si="11"/>
        <v>7109.9988370488873</v>
      </c>
      <c r="AJ34" s="321">
        <f t="shared" si="12"/>
        <v>11860.001174527983</v>
      </c>
      <c r="AK34" s="82">
        <f t="shared" si="21"/>
        <v>10.567298698117447</v>
      </c>
      <c r="AL34" s="208">
        <f>(AK34-AK33)</f>
        <v>0</v>
      </c>
      <c r="AM34" s="196"/>
      <c r="AN34" s="8"/>
      <c r="AO34" s="8"/>
      <c r="AP34" s="482"/>
      <c r="AQ34" s="8"/>
      <c r="AR34" s="8"/>
      <c r="AS34" s="8"/>
      <c r="AT34" s="245"/>
      <c r="AU34" s="8"/>
      <c r="AV34" s="162"/>
      <c r="AW34" s="162"/>
      <c r="AX34" s="933"/>
      <c r="AY34" s="7"/>
      <c r="BC34" s="7"/>
      <c r="BD34" s="7"/>
    </row>
    <row r="35" spans="1:56" ht="19.5" thickBot="1" x14ac:dyDescent="0.35">
      <c r="A35" s="1"/>
      <c r="B35" s="695">
        <v>95.000005788435828</v>
      </c>
      <c r="C35" s="696">
        <v>6400.0000689367062</v>
      </c>
      <c r="D35" s="696">
        <v>80.000000430854413</v>
      </c>
      <c r="E35" s="697">
        <v>67.368417673462559</v>
      </c>
      <c r="F35" s="7"/>
      <c r="G35" s="682">
        <f t="shared" si="24"/>
        <v>95.000005788435828</v>
      </c>
      <c r="H35" s="684">
        <f t="shared" si="14"/>
        <v>6400.0000689367062</v>
      </c>
      <c r="I35" s="684">
        <f t="shared" si="25"/>
        <v>80.000000430854413</v>
      </c>
      <c r="J35" s="684">
        <f t="shared" si="16"/>
        <v>67.368417673462559</v>
      </c>
      <c r="K35" s="698">
        <f>SUMXMY2(B35,G35)+SUMXMY2(D35,I35)</f>
        <v>0</v>
      </c>
      <c r="L35" s="21">
        <v>7</v>
      </c>
      <c r="M35" s="320">
        <v>1.602466119546041</v>
      </c>
      <c r="N35" s="234">
        <v>10.074612914379193</v>
      </c>
      <c r="O35" s="233">
        <v>9.5843625217032447</v>
      </c>
      <c r="P35" s="321">
        <v>6.3459080268348087</v>
      </c>
      <c r="Q35" s="330">
        <f t="shared" si="4"/>
        <v>1.2782702456293928E-4</v>
      </c>
      <c r="R35" s="230">
        <f t="shared" si="4"/>
        <v>0.61098321977059433</v>
      </c>
      <c r="S35" s="229">
        <f t="shared" si="4"/>
        <v>0.37421073547599004</v>
      </c>
      <c r="T35" s="331">
        <f t="shared" si="4"/>
        <v>1.4678217728852586E-2</v>
      </c>
      <c r="U35" s="491">
        <f t="shared" si="17"/>
        <v>0.61111104679515726</v>
      </c>
      <c r="V35" s="486">
        <f>SUM(S35,T35)</f>
        <v>0.38888895320484262</v>
      </c>
      <c r="W35" s="496">
        <f>SUM(S35,Q35)</f>
        <v>0.37433856250055297</v>
      </c>
      <c r="X35" s="477">
        <f>SUM(R35,T35)</f>
        <v>0.62566143749944692</v>
      </c>
      <c r="Y35" s="491">
        <f t="shared" si="5"/>
        <v>54.999994211564157</v>
      </c>
      <c r="Z35" s="486">
        <f t="shared" si="5"/>
        <v>35.000005788435836</v>
      </c>
      <c r="AA35" s="496">
        <f t="shared" si="6"/>
        <v>7074.998831260451</v>
      </c>
      <c r="AB35" s="477">
        <f t="shared" si="6"/>
        <v>11825.001168739547</v>
      </c>
      <c r="AC35" s="491">
        <f t="shared" si="7"/>
        <v>114.99999421156416</v>
      </c>
      <c r="AD35" s="486">
        <f t="shared" si="7"/>
        <v>95.000005788435828</v>
      </c>
      <c r="AE35" s="496">
        <f t="shared" si="8"/>
        <v>10674.998831260451</v>
      </c>
      <c r="AF35" s="477">
        <f t="shared" si="8"/>
        <v>15425.001168739547</v>
      </c>
      <c r="AG35" s="320">
        <f t="shared" si="9"/>
        <v>7129.9988254720147</v>
      </c>
      <c r="AH35" s="234">
        <f t="shared" si="10"/>
        <v>11880.001162951112</v>
      </c>
      <c r="AI35" s="233">
        <f t="shared" si="11"/>
        <v>7109.9988370488873</v>
      </c>
      <c r="AJ35" s="321">
        <f t="shared" si="12"/>
        <v>11860.001174527983</v>
      </c>
      <c r="AK35" s="82">
        <f t="shared" si="21"/>
        <v>10.567298698117447</v>
      </c>
      <c r="AL35" s="208">
        <f>(AK35-AK34)</f>
        <v>0</v>
      </c>
      <c r="AM35" s="196"/>
      <c r="AN35" s="28"/>
      <c r="AO35" s="8"/>
      <c r="AP35" s="482"/>
      <c r="AQ35" s="8"/>
      <c r="AR35" s="8"/>
      <c r="AS35" s="8"/>
      <c r="AT35" s="245"/>
      <c r="AU35" s="8"/>
      <c r="AV35" s="162"/>
      <c r="AW35" s="162"/>
      <c r="AX35" s="934"/>
      <c r="AY35" s="7"/>
      <c r="BC35" s="7"/>
      <c r="BD35" s="7"/>
    </row>
    <row r="36" spans="1:56" ht="19.5" thickBot="1" x14ac:dyDescent="0.35">
      <c r="A36" s="2" t="s">
        <v>46</v>
      </c>
      <c r="B36" s="699">
        <f>B35</f>
        <v>95.000005788435828</v>
      </c>
      <c r="C36" s="691">
        <f>H36</f>
        <v>2025.0000115695439</v>
      </c>
      <c r="D36" s="686">
        <v>45</v>
      </c>
      <c r="E36" s="692">
        <f t="shared" si="13"/>
        <v>21.315788321212061</v>
      </c>
      <c r="F36" s="247"/>
      <c r="G36" s="684">
        <f t="shared" si="24"/>
        <v>95.000005679095523</v>
      </c>
      <c r="H36" s="700">
        <f t="shared" si="14"/>
        <v>2025.0000115695439</v>
      </c>
      <c r="I36" s="700">
        <f t="shared" si="25"/>
        <v>45.000000128550489</v>
      </c>
      <c r="J36" s="700">
        <f t="shared" si="16"/>
        <v>21.315788321212061</v>
      </c>
      <c r="K36" s="693">
        <f>SUMXMY2(B36,G36)+SUMXMY2(D36,I36)</f>
        <v>2.8480530766062637E-14</v>
      </c>
      <c r="L36" s="694">
        <v>8</v>
      </c>
      <c r="M36" s="318">
        <v>9.5428705978737263</v>
      </c>
      <c r="N36" s="216">
        <v>10.074612914379193</v>
      </c>
      <c r="O36" s="215">
        <v>10.060772301858709</v>
      </c>
      <c r="P36" s="319">
        <v>6.3459080268348078</v>
      </c>
      <c r="Q36" s="330">
        <f t="shared" si="4"/>
        <v>0.22617868405722424</v>
      </c>
      <c r="R36" s="230">
        <f t="shared" si="4"/>
        <v>0.38493236395282543</v>
      </c>
      <c r="S36" s="229">
        <f t="shared" si="4"/>
        <v>0.37964136405929827</v>
      </c>
      <c r="T36" s="331">
        <f t="shared" si="4"/>
        <v>9.2475879306520761E-3</v>
      </c>
      <c r="U36" s="491">
        <f t="shared" si="17"/>
        <v>0.61111104801004967</v>
      </c>
      <c r="V36" s="486">
        <f t="shared" si="18"/>
        <v>0.38888895198995033</v>
      </c>
      <c r="W36" s="496">
        <f t="shared" si="19"/>
        <v>0.60582004811652257</v>
      </c>
      <c r="X36" s="477">
        <f t="shared" si="20"/>
        <v>0.39417995188347749</v>
      </c>
      <c r="Y36" s="491">
        <f t="shared" si="5"/>
        <v>54.99999432090447</v>
      </c>
      <c r="Z36" s="486">
        <f t="shared" si="5"/>
        <v>35.00000567909553</v>
      </c>
      <c r="AA36" s="496">
        <f t="shared" si="6"/>
        <v>11449.998909402277</v>
      </c>
      <c r="AB36" s="477">
        <f t="shared" si="6"/>
        <v>7450.0010905977242</v>
      </c>
      <c r="AC36" s="491">
        <f t="shared" si="7"/>
        <v>114.99999432090448</v>
      </c>
      <c r="AD36" s="486">
        <f t="shared" si="7"/>
        <v>95.000005679095523</v>
      </c>
      <c r="AE36" s="496">
        <f t="shared" si="8"/>
        <v>15049.998909402277</v>
      </c>
      <c r="AF36" s="477">
        <f t="shared" si="8"/>
        <v>11050.001090597725</v>
      </c>
      <c r="AG36" s="320">
        <f t="shared" si="9"/>
        <v>11504.998903723181</v>
      </c>
      <c r="AH36" s="234">
        <f t="shared" si="10"/>
        <v>7505.0010849186283</v>
      </c>
      <c r="AI36" s="233">
        <f t="shared" si="11"/>
        <v>11484.998915081373</v>
      </c>
      <c r="AJ36" s="321">
        <f t="shared" si="12"/>
        <v>7485.0010962768201</v>
      </c>
      <c r="AK36" s="82">
        <f t="shared" si="21"/>
        <v>11.02930055255135</v>
      </c>
      <c r="AL36" s="208">
        <f t="shared" si="23"/>
        <v>0.46200185443390218</v>
      </c>
      <c r="AM36" s="196"/>
      <c r="AN36" s="8"/>
      <c r="AO36" s="8"/>
      <c r="AP36" s="482"/>
      <c r="AQ36" s="8"/>
      <c r="AR36" s="8"/>
      <c r="AS36" s="8"/>
      <c r="AT36" s="245"/>
      <c r="AU36" s="7"/>
      <c r="AV36" s="7"/>
      <c r="AW36" s="7"/>
      <c r="AX36" s="7"/>
      <c r="AY36" s="7"/>
      <c r="AZ36" s="7"/>
      <c r="BA36" s="7"/>
      <c r="BB36" s="7"/>
      <c r="BC36" s="7"/>
      <c r="BD36" s="7"/>
    </row>
    <row r="37" spans="1:56" ht="19.5" thickBot="1" x14ac:dyDescent="0.35">
      <c r="A37" s="1"/>
      <c r="B37" s="695">
        <v>95.000005788435828</v>
      </c>
      <c r="C37" s="701">
        <v>6400.0000689367062</v>
      </c>
      <c r="D37" s="701">
        <v>80.000000430854399</v>
      </c>
      <c r="E37" s="702">
        <v>67.368417673462559</v>
      </c>
      <c r="F37" s="152"/>
      <c r="G37" s="703">
        <f t="shared" si="24"/>
        <v>95.000109710121762</v>
      </c>
      <c r="H37" s="700">
        <f>AF37-(G37^2)</f>
        <v>6399.9728719631494</v>
      </c>
      <c r="I37" s="700">
        <f>SQRT(H37)</f>
        <v>79.999830449590007</v>
      </c>
      <c r="J37" s="700">
        <f t="shared" si="16"/>
        <v>67.368057694793023</v>
      </c>
      <c r="K37" s="704">
        <f t="shared" ref="K37" si="27">SUMXMY2(B37,G37)+SUMXMY2(D37,I37)</f>
        <v>3.9693347051681264E-8</v>
      </c>
      <c r="L37" s="705">
        <v>9</v>
      </c>
      <c r="M37" s="706">
        <v>1.6024661195256082</v>
      </c>
      <c r="N37" s="707">
        <v>10.074558733786047</v>
      </c>
      <c r="O37" s="708">
        <v>9.5843112776950612</v>
      </c>
      <c r="P37" s="709">
        <v>6.3459080061985285</v>
      </c>
      <c r="Q37" s="330">
        <f t="shared" ref="Q37:T43" si="28">EXP(M37/$N$23)/(EXP($M37/$N$23)+EXP($N37/$N$23)+EXP($O37/$N$23)+EXP($P37/$N$23))</f>
        <v>1.2783370750279655E-4</v>
      </c>
      <c r="R37" s="230">
        <f t="shared" si="28"/>
        <v>0.61098205840225561</v>
      </c>
      <c r="S37" s="229">
        <f t="shared" si="28"/>
        <v>0.37421112307036403</v>
      </c>
      <c r="T37" s="331">
        <f t="shared" si="28"/>
        <v>1.4678984819877752E-2</v>
      </c>
      <c r="U37" s="491">
        <f t="shared" si="17"/>
        <v>0.61110989210975841</v>
      </c>
      <c r="V37" s="486">
        <f t="shared" si="18"/>
        <v>0.38889010789024175</v>
      </c>
      <c r="W37" s="496">
        <f t="shared" si="19"/>
        <v>0.37433895677786683</v>
      </c>
      <c r="X37" s="477">
        <f t="shared" si="20"/>
        <v>0.62566104322213334</v>
      </c>
      <c r="Y37" s="491">
        <f t="shared" ref="Y37:Z43" si="29">U37*$N$8</f>
        <v>54.999890289878259</v>
      </c>
      <c r="Z37" s="486">
        <f t="shared" si="29"/>
        <v>35.000109710121755</v>
      </c>
      <c r="AA37" s="496">
        <f t="shared" ref="AA37:AB43" si="30">W37*$N$16</f>
        <v>7075.006283101683</v>
      </c>
      <c r="AB37" s="477">
        <f t="shared" si="30"/>
        <v>11824.99371689832</v>
      </c>
      <c r="AC37" s="491">
        <f t="shared" ref="AC37:AD43" si="31">Y37+$N$6</f>
        <v>114.99989028987827</v>
      </c>
      <c r="AD37" s="486">
        <f t="shared" si="31"/>
        <v>95.000109710121762</v>
      </c>
      <c r="AE37" s="496">
        <f t="shared" ref="AE37:AF43" si="32">AA37+$N$14</f>
        <v>10675.006283101684</v>
      </c>
      <c r="AF37" s="477">
        <f t="shared" si="32"/>
        <v>15424.99371689832</v>
      </c>
      <c r="AG37" s="320">
        <f t="shared" si="9"/>
        <v>7130.0061733915609</v>
      </c>
      <c r="AH37" s="234">
        <f t="shared" si="10"/>
        <v>11879.993607188198</v>
      </c>
      <c r="AI37" s="233">
        <f t="shared" si="11"/>
        <v>7110.0063928118052</v>
      </c>
      <c r="AJ37" s="321">
        <f t="shared" si="12"/>
        <v>11859.993826608441</v>
      </c>
      <c r="AK37" s="82">
        <f t="shared" si="21"/>
        <v>10.567246418344823</v>
      </c>
      <c r="AL37" s="208">
        <f>(AK37-AK36)</f>
        <v>-0.46205413420652697</v>
      </c>
      <c r="AM37" s="196"/>
      <c r="AN37" s="8"/>
      <c r="AO37" s="8"/>
      <c r="AP37" s="482"/>
      <c r="AQ37" s="8"/>
      <c r="AR37" s="8"/>
      <c r="AS37" s="8"/>
      <c r="AT37" s="245"/>
      <c r="AU37" s="7"/>
      <c r="AV37" s="7"/>
      <c r="AW37" s="7"/>
      <c r="AX37" s="7"/>
      <c r="AY37" s="7"/>
      <c r="AZ37" s="7"/>
      <c r="BA37" s="7"/>
      <c r="BB37" s="7"/>
      <c r="BC37" s="7"/>
      <c r="BD37" s="7"/>
    </row>
    <row r="38" spans="1:56" ht="18.75" x14ac:dyDescent="0.3">
      <c r="A38" s="2" t="s">
        <v>47</v>
      </c>
      <c r="B38" s="699">
        <f>B37</f>
        <v>95.000005788435828</v>
      </c>
      <c r="C38" s="710">
        <f t="shared" ref="C38" si="33">H38</f>
        <v>13474.99305853982</v>
      </c>
      <c r="D38" s="711">
        <v>116.08</v>
      </c>
      <c r="E38" s="692">
        <f t="shared" ref="E38" si="34">J38</f>
        <v>141.84197958124261</v>
      </c>
      <c r="F38" s="247"/>
      <c r="G38" s="684">
        <f t="shared" si="24"/>
        <v>95.000035238663372</v>
      </c>
      <c r="H38" s="700">
        <f t="shared" si="14"/>
        <v>13474.99305853982</v>
      </c>
      <c r="I38" s="700">
        <f t="shared" si="25"/>
        <v>116.08183776344954</v>
      </c>
      <c r="J38" s="700">
        <f t="shared" si="16"/>
        <v>141.84197958124261</v>
      </c>
      <c r="K38" s="693">
        <f>SUMXMY2(B38,G38)+SUMXMY2(D38,I38)</f>
        <v>3.3782418123810362E-6</v>
      </c>
      <c r="L38" s="712">
        <v>10</v>
      </c>
      <c r="M38" s="318">
        <v>2.836189409496785</v>
      </c>
      <c r="N38" s="216">
        <v>27.249643942475785</v>
      </c>
      <c r="O38" s="215">
        <v>9.5843112776950612</v>
      </c>
      <c r="P38" s="319">
        <v>26.797660432833837</v>
      </c>
      <c r="Q38" s="330">
        <f t="shared" si="28"/>
        <v>1.525777878281281E-11</v>
      </c>
      <c r="R38" s="230">
        <f t="shared" si="28"/>
        <v>0.61111071955514928</v>
      </c>
      <c r="S38" s="229">
        <f t="shared" si="28"/>
        <v>1.3006588624467185E-8</v>
      </c>
      <c r="T38" s="331">
        <f t="shared" si="28"/>
        <v>0.38888926742300434</v>
      </c>
      <c r="U38" s="491">
        <f t="shared" si="17"/>
        <v>0.61111071957040708</v>
      </c>
      <c r="V38" s="486">
        <f t="shared" si="18"/>
        <v>0.38888928042959298</v>
      </c>
      <c r="W38" s="496">
        <f t="shared" si="19"/>
        <v>1.3021846403249997E-8</v>
      </c>
      <c r="X38" s="477">
        <f t="shared" si="20"/>
        <v>0.99999998697815362</v>
      </c>
      <c r="Y38" s="491">
        <f t="shared" si="29"/>
        <v>54.999964761336635</v>
      </c>
      <c r="Z38" s="486">
        <f t="shared" si="29"/>
        <v>35.000035238663365</v>
      </c>
      <c r="AA38" s="496">
        <f t="shared" si="30"/>
        <v>2.4611289702142496E-4</v>
      </c>
      <c r="AB38" s="477">
        <f t="shared" si="30"/>
        <v>18899.999753887103</v>
      </c>
      <c r="AC38" s="491">
        <f t="shared" si="31"/>
        <v>114.99996476133663</v>
      </c>
      <c r="AD38" s="486">
        <f t="shared" si="31"/>
        <v>95.000035238663372</v>
      </c>
      <c r="AE38" s="496">
        <f t="shared" si="32"/>
        <v>3600.000246112897</v>
      </c>
      <c r="AF38" s="477">
        <f t="shared" si="32"/>
        <v>22499.999753887103</v>
      </c>
      <c r="AG38" s="320">
        <f t="shared" si="9"/>
        <v>55.000210874233659</v>
      </c>
      <c r="AH38" s="234">
        <f t="shared" si="10"/>
        <v>18954.99971864844</v>
      </c>
      <c r="AI38" s="233">
        <f t="shared" si="11"/>
        <v>35.000281351560389</v>
      </c>
      <c r="AJ38" s="321">
        <f t="shared" si="12"/>
        <v>18934.999789125766</v>
      </c>
      <c r="AK38" s="82">
        <f t="shared" si="21"/>
        <v>27.742121068301721</v>
      </c>
      <c r="AL38" s="208">
        <f>(AK38-AK37)</f>
        <v>17.174874649956898</v>
      </c>
      <c r="AM38" s="196"/>
      <c r="AN38" s="8"/>
      <c r="AO38" s="8"/>
      <c r="AP38" s="482"/>
      <c r="AQ38" s="8"/>
      <c r="AR38" s="8"/>
      <c r="AS38" s="8"/>
      <c r="AT38" s="245"/>
      <c r="AU38" s="7"/>
      <c r="AV38" s="7"/>
      <c r="AW38" s="7"/>
      <c r="AX38" s="7"/>
      <c r="AY38" s="7"/>
      <c r="AZ38" s="7"/>
      <c r="BA38" s="7"/>
      <c r="BB38" s="7"/>
      <c r="BC38" s="7"/>
      <c r="BD38" s="7"/>
    </row>
    <row r="39" spans="1:56" ht="18.75" x14ac:dyDescent="0.3">
      <c r="A39" s="5"/>
      <c r="B39" s="381"/>
      <c r="C39" s="381"/>
      <c r="D39" s="381"/>
      <c r="E39" s="381"/>
      <c r="F39" s="8"/>
      <c r="G39" s="381"/>
      <c r="H39" s="381"/>
      <c r="I39" s="381"/>
      <c r="J39" s="381"/>
      <c r="K39" s="698"/>
      <c r="L39" s="21">
        <v>11</v>
      </c>
      <c r="M39" s="320">
        <v>5</v>
      </c>
      <c r="N39" s="234">
        <v>5</v>
      </c>
      <c r="O39" s="233">
        <v>5</v>
      </c>
      <c r="P39" s="321">
        <v>5</v>
      </c>
      <c r="Q39" s="330">
        <f t="shared" si="28"/>
        <v>0.25</v>
      </c>
      <c r="R39" s="230">
        <f t="shared" si="28"/>
        <v>0.25</v>
      </c>
      <c r="S39" s="229">
        <f t="shared" si="28"/>
        <v>0.25</v>
      </c>
      <c r="T39" s="331">
        <f t="shared" si="28"/>
        <v>0.25</v>
      </c>
      <c r="U39" s="491">
        <f t="shared" si="17"/>
        <v>0.5</v>
      </c>
      <c r="V39" s="486">
        <f t="shared" si="18"/>
        <v>0.5</v>
      </c>
      <c r="W39" s="496">
        <f t="shared" si="19"/>
        <v>0.5</v>
      </c>
      <c r="X39" s="477">
        <f t="shared" si="20"/>
        <v>0.5</v>
      </c>
      <c r="Y39" s="491">
        <f t="shared" si="29"/>
        <v>45</v>
      </c>
      <c r="Z39" s="486">
        <f t="shared" si="29"/>
        <v>45</v>
      </c>
      <c r="AA39" s="496">
        <f t="shared" si="30"/>
        <v>9450</v>
      </c>
      <c r="AB39" s="477">
        <f t="shared" si="30"/>
        <v>9450</v>
      </c>
      <c r="AC39" s="491">
        <f t="shared" si="31"/>
        <v>105</v>
      </c>
      <c r="AD39" s="486">
        <f t="shared" si="31"/>
        <v>105</v>
      </c>
      <c r="AE39" s="496">
        <f t="shared" si="32"/>
        <v>13050</v>
      </c>
      <c r="AF39" s="477">
        <f t="shared" si="32"/>
        <v>13050</v>
      </c>
      <c r="AG39" s="320">
        <f t="shared" si="9"/>
        <v>9495</v>
      </c>
      <c r="AH39" s="234">
        <f t="shared" si="10"/>
        <v>9495</v>
      </c>
      <c r="AI39" s="233">
        <f t="shared" si="11"/>
        <v>9495</v>
      </c>
      <c r="AJ39" s="321">
        <f t="shared" si="12"/>
        <v>9495</v>
      </c>
      <c r="AK39" s="82">
        <f t="shared" si="21"/>
        <v>6.3862943611198908</v>
      </c>
      <c r="AL39" s="208">
        <f>(AK39-AK38)</f>
        <v>-21.35582670718183</v>
      </c>
      <c r="AM39" s="196"/>
      <c r="AN39" s="8"/>
      <c r="AO39" s="8"/>
      <c r="AP39" s="482"/>
      <c r="AQ39" s="8"/>
      <c r="AR39" s="8"/>
      <c r="AS39" s="8"/>
      <c r="AT39" s="245"/>
      <c r="AU39" s="7"/>
      <c r="AV39" s="7"/>
      <c r="AW39" s="7"/>
      <c r="AX39" s="7"/>
      <c r="AY39" s="7"/>
      <c r="AZ39" s="7"/>
      <c r="BA39" s="7"/>
      <c r="BB39" s="7"/>
      <c r="BC39" s="7"/>
      <c r="BD39" s="7"/>
    </row>
    <row r="40" spans="1:56" ht="18.75" x14ac:dyDescent="0.3">
      <c r="A40" s="2" t="s">
        <v>48</v>
      </c>
      <c r="B40" s="713"/>
      <c r="C40" s="713"/>
      <c r="D40" s="713"/>
      <c r="E40" s="713"/>
      <c r="F40" s="269"/>
      <c r="G40" s="713"/>
      <c r="H40" s="713"/>
      <c r="I40" s="713"/>
      <c r="J40" s="713"/>
      <c r="K40" s="693"/>
      <c r="L40" s="712">
        <v>12</v>
      </c>
      <c r="M40" s="318">
        <v>8</v>
      </c>
      <c r="N40" s="216">
        <v>5</v>
      </c>
      <c r="O40" s="215">
        <v>8</v>
      </c>
      <c r="P40" s="319">
        <v>5</v>
      </c>
      <c r="Q40" s="330">
        <f t="shared" si="28"/>
        <v>0.47628706341121668</v>
      </c>
      <c r="R40" s="230">
        <f t="shared" si="28"/>
        <v>2.3712936588783394E-2</v>
      </c>
      <c r="S40" s="229">
        <f t="shared" si="28"/>
        <v>0.47628706341121668</v>
      </c>
      <c r="T40" s="331">
        <f t="shared" si="28"/>
        <v>2.3712936588783394E-2</v>
      </c>
      <c r="U40" s="491">
        <f t="shared" si="17"/>
        <v>0.50000000000000011</v>
      </c>
      <c r="V40" s="486">
        <f t="shared" si="18"/>
        <v>0.50000000000000011</v>
      </c>
      <c r="W40" s="496">
        <f t="shared" si="19"/>
        <v>0.95257412682243336</v>
      </c>
      <c r="X40" s="477">
        <f t="shared" si="20"/>
        <v>4.7425873177566788E-2</v>
      </c>
      <c r="Y40" s="491">
        <f t="shared" si="29"/>
        <v>45.000000000000007</v>
      </c>
      <c r="Z40" s="486">
        <f t="shared" si="29"/>
        <v>45.000000000000007</v>
      </c>
      <c r="AA40" s="496">
        <f t="shared" si="30"/>
        <v>18003.65099694399</v>
      </c>
      <c r="AB40" s="477">
        <f t="shared" si="30"/>
        <v>896.34900305601229</v>
      </c>
      <c r="AC40" s="491">
        <f t="shared" si="31"/>
        <v>105</v>
      </c>
      <c r="AD40" s="486">
        <f t="shared" si="31"/>
        <v>105</v>
      </c>
      <c r="AE40" s="496">
        <f t="shared" si="32"/>
        <v>21603.65099694399</v>
      </c>
      <c r="AF40" s="477">
        <f t="shared" si="32"/>
        <v>4496.3490030560124</v>
      </c>
      <c r="AG40" s="320">
        <f t="shared" si="9"/>
        <v>18048.65099694399</v>
      </c>
      <c r="AH40" s="234">
        <f t="shared" si="10"/>
        <v>941.34900305601229</v>
      </c>
      <c r="AI40" s="233">
        <f t="shared" si="11"/>
        <v>18048.65099694399</v>
      </c>
      <c r="AJ40" s="321">
        <f t="shared" si="12"/>
        <v>941.34900305601229</v>
      </c>
      <c r="AK40" s="82">
        <f t="shared" si="21"/>
        <v>8.7417345321336875</v>
      </c>
      <c r="AL40" s="208">
        <f t="shared" ref="AL40:AL42" si="35">(AK40-AK39)</f>
        <v>2.3554401710137967</v>
      </c>
      <c r="AM40" s="196"/>
      <c r="AN40" s="8"/>
      <c r="AO40" s="8"/>
      <c r="AP40" s="482"/>
      <c r="AQ40" s="8"/>
      <c r="AR40" s="8"/>
      <c r="AS40" s="8"/>
      <c r="AT40" s="245"/>
      <c r="AU40" s="7"/>
      <c r="AV40" s="7"/>
      <c r="AW40" s="7"/>
      <c r="AX40" s="7"/>
      <c r="AY40" s="7"/>
      <c r="AZ40" s="7"/>
      <c r="BA40" s="7"/>
      <c r="BB40" s="7"/>
      <c r="BC40" s="7"/>
      <c r="BD40" s="7"/>
    </row>
    <row r="41" spans="1:56" ht="18.75" x14ac:dyDescent="0.3">
      <c r="A41" s="5"/>
      <c r="B41" s="381"/>
      <c r="C41" s="381"/>
      <c r="D41" s="381"/>
      <c r="E41" s="381"/>
      <c r="F41" s="8"/>
      <c r="G41" s="381"/>
      <c r="H41" s="381"/>
      <c r="I41" s="381"/>
      <c r="J41" s="381"/>
      <c r="K41" s="698"/>
      <c r="L41" s="21">
        <v>13</v>
      </c>
      <c r="M41" s="706">
        <v>5</v>
      </c>
      <c r="N41" s="707">
        <v>5</v>
      </c>
      <c r="O41" s="708">
        <v>5</v>
      </c>
      <c r="P41" s="709">
        <v>5</v>
      </c>
      <c r="Q41" s="330">
        <f t="shared" si="28"/>
        <v>0.25</v>
      </c>
      <c r="R41" s="230">
        <f t="shared" si="28"/>
        <v>0.25</v>
      </c>
      <c r="S41" s="229">
        <f t="shared" si="28"/>
        <v>0.25</v>
      </c>
      <c r="T41" s="331">
        <f t="shared" si="28"/>
        <v>0.25</v>
      </c>
      <c r="U41" s="491">
        <f t="shared" si="17"/>
        <v>0.5</v>
      </c>
      <c r="V41" s="486">
        <f t="shared" si="18"/>
        <v>0.5</v>
      </c>
      <c r="W41" s="496">
        <f t="shared" si="19"/>
        <v>0.5</v>
      </c>
      <c r="X41" s="477">
        <f t="shared" si="20"/>
        <v>0.5</v>
      </c>
      <c r="Y41" s="491">
        <f t="shared" si="29"/>
        <v>45</v>
      </c>
      <c r="Z41" s="486">
        <f t="shared" si="29"/>
        <v>45</v>
      </c>
      <c r="AA41" s="496">
        <f t="shared" si="30"/>
        <v>9450</v>
      </c>
      <c r="AB41" s="477">
        <f t="shared" si="30"/>
        <v>9450</v>
      </c>
      <c r="AC41" s="491">
        <f t="shared" si="31"/>
        <v>105</v>
      </c>
      <c r="AD41" s="486">
        <f t="shared" si="31"/>
        <v>105</v>
      </c>
      <c r="AE41" s="496">
        <f t="shared" si="32"/>
        <v>13050</v>
      </c>
      <c r="AF41" s="477">
        <f t="shared" si="32"/>
        <v>13050</v>
      </c>
      <c r="AG41" s="320">
        <f t="shared" si="9"/>
        <v>9495</v>
      </c>
      <c r="AH41" s="234">
        <f t="shared" si="10"/>
        <v>9495</v>
      </c>
      <c r="AI41" s="233">
        <f t="shared" si="11"/>
        <v>9495</v>
      </c>
      <c r="AJ41" s="321">
        <f t="shared" si="12"/>
        <v>9495</v>
      </c>
      <c r="AK41" s="82">
        <f t="shared" si="21"/>
        <v>6.3862943611198908</v>
      </c>
      <c r="AL41" s="208">
        <f>(AK41-AK40)</f>
        <v>-2.3554401710137967</v>
      </c>
      <c r="AM41" s="196"/>
      <c r="AN41" s="8"/>
      <c r="AO41" s="8"/>
      <c r="AP41" s="482"/>
      <c r="AQ41" s="8"/>
      <c r="AR41" s="8"/>
      <c r="AS41" s="8"/>
      <c r="AT41" s="245"/>
      <c r="AU41" s="7"/>
      <c r="AV41" s="7"/>
      <c r="AW41" s="7"/>
      <c r="AX41" s="7"/>
      <c r="AY41" s="7"/>
      <c r="AZ41" s="7"/>
      <c r="BA41" s="7"/>
      <c r="BB41" s="7"/>
      <c r="BC41" s="7"/>
      <c r="BD41" s="7"/>
    </row>
    <row r="42" spans="1:56" ht="18.75" x14ac:dyDescent="0.3">
      <c r="A42" s="2" t="s">
        <v>49</v>
      </c>
      <c r="B42" s="713"/>
      <c r="C42" s="713"/>
      <c r="D42" s="713"/>
      <c r="E42" s="713"/>
      <c r="F42" s="269"/>
      <c r="G42" s="713"/>
      <c r="H42" s="713"/>
      <c r="I42" s="713"/>
      <c r="J42" s="713"/>
      <c r="K42" s="693"/>
      <c r="L42" s="712">
        <v>14</v>
      </c>
      <c r="M42" s="318">
        <v>5</v>
      </c>
      <c r="N42" s="216">
        <v>8</v>
      </c>
      <c r="O42" s="215">
        <v>5</v>
      </c>
      <c r="P42" s="319">
        <v>8</v>
      </c>
      <c r="Q42" s="330">
        <f t="shared" si="28"/>
        <v>2.3712936588783391E-2</v>
      </c>
      <c r="R42" s="230">
        <f t="shared" si="28"/>
        <v>0.47628706341121663</v>
      </c>
      <c r="S42" s="229">
        <f t="shared" si="28"/>
        <v>2.3712936588783391E-2</v>
      </c>
      <c r="T42" s="331">
        <f t="shared" si="28"/>
        <v>0.47628706341121663</v>
      </c>
      <c r="U42" s="491">
        <f t="shared" si="17"/>
        <v>0.5</v>
      </c>
      <c r="V42" s="486">
        <f t="shared" si="18"/>
        <v>0.5</v>
      </c>
      <c r="W42" s="496">
        <f t="shared" si="19"/>
        <v>4.7425873177566781E-2</v>
      </c>
      <c r="X42" s="477">
        <f t="shared" si="20"/>
        <v>0.95257412682243325</v>
      </c>
      <c r="Y42" s="491">
        <f t="shared" si="29"/>
        <v>45</v>
      </c>
      <c r="Z42" s="486">
        <f t="shared" si="29"/>
        <v>45</v>
      </c>
      <c r="AA42" s="496">
        <f t="shared" si="30"/>
        <v>896.34900305601218</v>
      </c>
      <c r="AB42" s="477">
        <f t="shared" si="30"/>
        <v>18003.650996943987</v>
      </c>
      <c r="AC42" s="491">
        <f t="shared" si="31"/>
        <v>105</v>
      </c>
      <c r="AD42" s="486">
        <f t="shared" si="31"/>
        <v>105</v>
      </c>
      <c r="AE42" s="496">
        <f t="shared" si="32"/>
        <v>4496.3490030560124</v>
      </c>
      <c r="AF42" s="477">
        <f t="shared" si="32"/>
        <v>21603.650996943987</v>
      </c>
      <c r="AG42" s="320">
        <f t="shared" si="9"/>
        <v>941.34900305601218</v>
      </c>
      <c r="AH42" s="234">
        <f t="shared" si="10"/>
        <v>18048.650996943987</v>
      </c>
      <c r="AI42" s="233">
        <f t="shared" si="11"/>
        <v>941.34900305601218</v>
      </c>
      <c r="AJ42" s="321">
        <f t="shared" si="12"/>
        <v>18048.650996943987</v>
      </c>
      <c r="AK42" s="82">
        <f t="shared" si="21"/>
        <v>8.7417345321336875</v>
      </c>
      <c r="AL42" s="208">
        <f t="shared" si="35"/>
        <v>2.3554401710137967</v>
      </c>
      <c r="AM42" s="196"/>
      <c r="AN42" s="8"/>
      <c r="AO42" s="8"/>
      <c r="AP42" s="482"/>
      <c r="AQ42" s="8"/>
      <c r="AR42" s="8"/>
      <c r="AS42" s="8"/>
      <c r="AT42" s="245"/>
      <c r="AU42" s="7"/>
      <c r="AV42" s="7"/>
      <c r="AW42" s="7"/>
      <c r="AX42" s="7"/>
      <c r="AY42" s="7"/>
      <c r="AZ42" s="7"/>
      <c r="BA42" s="7"/>
      <c r="BB42" s="7"/>
      <c r="BC42" s="7"/>
      <c r="BD42" s="7"/>
    </row>
    <row r="43" spans="1:56" ht="18.75" x14ac:dyDescent="0.3">
      <c r="A43" s="8"/>
      <c r="B43" s="381"/>
      <c r="C43" s="381"/>
      <c r="D43" s="381"/>
      <c r="E43" s="381"/>
      <c r="F43" s="8"/>
      <c r="G43" s="381"/>
      <c r="H43" s="381"/>
      <c r="I43" s="381"/>
      <c r="J43" s="381"/>
      <c r="K43" s="683"/>
      <c r="L43" s="25">
        <v>15</v>
      </c>
      <c r="M43" s="320">
        <v>0</v>
      </c>
      <c r="N43" s="234">
        <v>0</v>
      </c>
      <c r="O43" s="233">
        <v>0</v>
      </c>
      <c r="P43" s="321">
        <v>52.544076865625016</v>
      </c>
      <c r="Q43" s="330">
        <f t="shared" si="28"/>
        <v>1.5149467248659391E-23</v>
      </c>
      <c r="R43" s="230">
        <f t="shared" si="28"/>
        <v>1.5149467248659391E-23</v>
      </c>
      <c r="S43" s="229">
        <f t="shared" si="28"/>
        <v>1.5149467248659391E-23</v>
      </c>
      <c r="T43" s="331">
        <f t="shared" si="28"/>
        <v>1</v>
      </c>
      <c r="U43" s="491">
        <f t="shared" si="17"/>
        <v>3.0298934497318782E-23</v>
      </c>
      <c r="V43" s="486">
        <f t="shared" si="18"/>
        <v>1</v>
      </c>
      <c r="W43" s="496">
        <f t="shared" si="19"/>
        <v>3.0298934497318782E-23</v>
      </c>
      <c r="X43" s="477">
        <f t="shared" si="20"/>
        <v>1</v>
      </c>
      <c r="Y43" s="491">
        <f t="shared" si="29"/>
        <v>2.7269041047586905E-21</v>
      </c>
      <c r="Z43" s="486">
        <f t="shared" si="29"/>
        <v>90</v>
      </c>
      <c r="AA43" s="496">
        <f t="shared" si="30"/>
        <v>5.7264986199932495E-19</v>
      </c>
      <c r="AB43" s="477">
        <f t="shared" si="30"/>
        <v>18900</v>
      </c>
      <c r="AC43" s="491">
        <f t="shared" si="31"/>
        <v>60</v>
      </c>
      <c r="AD43" s="486">
        <f t="shared" si="31"/>
        <v>150</v>
      </c>
      <c r="AE43" s="496">
        <f t="shared" si="32"/>
        <v>3600</v>
      </c>
      <c r="AF43" s="477">
        <f t="shared" si="32"/>
        <v>22500</v>
      </c>
      <c r="AG43" s="320">
        <f t="shared" si="9"/>
        <v>5.7537676610408368E-19</v>
      </c>
      <c r="AH43" s="234">
        <f t="shared" si="10"/>
        <v>18900</v>
      </c>
      <c r="AI43" s="233">
        <f t="shared" si="11"/>
        <v>90</v>
      </c>
      <c r="AJ43" s="321">
        <f t="shared" si="12"/>
        <v>18990</v>
      </c>
      <c r="AK43" s="82">
        <f t="shared" si="21"/>
        <v>52.544076865625016</v>
      </c>
      <c r="AL43" s="208">
        <f>(AK43-AK42)</f>
        <v>43.802342333491325</v>
      </c>
      <c r="AM43" s="196"/>
      <c r="AN43" s="8"/>
      <c r="AO43" s="8"/>
      <c r="AP43" s="482"/>
      <c r="AQ43" s="8"/>
      <c r="AR43" s="8"/>
      <c r="AS43" s="8"/>
      <c r="AT43" s="245"/>
      <c r="AU43" s="7"/>
      <c r="AV43" s="7"/>
      <c r="AW43" s="7"/>
      <c r="AX43" s="7"/>
      <c r="AY43" s="7"/>
      <c r="AZ43" s="7"/>
      <c r="BA43" s="7"/>
      <c r="BB43" s="7"/>
      <c r="BC43" s="7"/>
      <c r="BD43" s="7"/>
    </row>
    <row r="44" spans="1:56" ht="19.5" thickBot="1" x14ac:dyDescent="0.35">
      <c r="A44" s="8"/>
      <c r="B44" s="381"/>
      <c r="C44" s="381"/>
      <c r="D44" s="381"/>
      <c r="E44" s="381"/>
      <c r="F44" s="8"/>
      <c r="G44" s="381"/>
      <c r="H44" s="381"/>
      <c r="I44" s="381"/>
      <c r="J44" s="381"/>
      <c r="K44" s="683"/>
      <c r="L44" s="25">
        <v>16</v>
      </c>
      <c r="M44" s="322">
        <v>19.954664610531516</v>
      </c>
      <c r="N44" s="226">
        <v>18.950406067462698</v>
      </c>
      <c r="O44" s="225">
        <v>12.994087912163167</v>
      </c>
      <c r="P44" s="323">
        <v>25.501544637028825</v>
      </c>
      <c r="Q44" s="332">
        <f>EXP(M44/$N$23)/(EXP($M44/$N$23)+EXP($N44/$N$23)+EXP($O44/$N$23)+EXP($P44/$N$23))</f>
        <v>3.8789233344704525E-3</v>
      </c>
      <c r="R44" s="222">
        <f>EXP(N44/$N$23)/(EXP($M44/$N$23)+EXP($N44/$N$23)+EXP($O44/$N$23)+EXP($P44/$N$23))</f>
        <v>1.4209122301379578E-3</v>
      </c>
      <c r="S44" s="221">
        <f>EXP(O44/$N$23)/(EXP($M44/$N$23)+EXP($N44/$N$23)+EXP($O44/$N$23)+EXP($P44/$N$23))</f>
        <v>3.679350362343358E-6</v>
      </c>
      <c r="T44" s="333">
        <f>EXP(P44/$N$23)/(EXP($M44/$N$23)+EXP($N44/$N$23)+EXP($O44/$N$23)+EXP($P44/$N$23))</f>
        <v>0.99469648508502917</v>
      </c>
      <c r="U44" s="492">
        <f t="shared" si="17"/>
        <v>5.2998355646084105E-3</v>
      </c>
      <c r="V44" s="487">
        <f t="shared" si="18"/>
        <v>0.99470016443539155</v>
      </c>
      <c r="W44" s="497">
        <f t="shared" si="19"/>
        <v>3.8826026848327957E-3</v>
      </c>
      <c r="X44" s="478">
        <f t="shared" si="20"/>
        <v>0.99611739731516713</v>
      </c>
      <c r="Y44" s="492">
        <f>U44*$N$8</f>
        <v>0.47698520081475693</v>
      </c>
      <c r="Z44" s="487">
        <f>V44*$N$8</f>
        <v>89.523014799185233</v>
      </c>
      <c r="AA44" s="497">
        <f>W44*$N$16</f>
        <v>73.381190743339843</v>
      </c>
      <c r="AB44" s="478">
        <f>X44*$N$16</f>
        <v>18826.618809256659</v>
      </c>
      <c r="AC44" s="492">
        <f>Y44+$N$6</f>
        <v>60.476985200814759</v>
      </c>
      <c r="AD44" s="487">
        <f>Z44+$N$6</f>
        <v>149.52301479918523</v>
      </c>
      <c r="AE44" s="497">
        <f>AA44+$N$14</f>
        <v>3673.3811907433396</v>
      </c>
      <c r="AF44" s="478">
        <f>AB44+$N$14</f>
        <v>22426.618809256659</v>
      </c>
      <c r="AG44" s="322">
        <f t="shared" si="9"/>
        <v>73.858175944154596</v>
      </c>
      <c r="AH44" s="226">
        <f t="shared" si="10"/>
        <v>18827.095794457473</v>
      </c>
      <c r="AI44" s="225">
        <f t="shared" si="11"/>
        <v>162.90420554252506</v>
      </c>
      <c r="AJ44" s="323">
        <f t="shared" si="12"/>
        <v>18916.141824055845</v>
      </c>
      <c r="AK44" s="114">
        <f t="shared" si="21"/>
        <v>25.506862265502118</v>
      </c>
      <c r="AL44" s="208">
        <f>(AK44-AK43)</f>
        <v>-27.037214600122898</v>
      </c>
      <c r="AM44" s="196"/>
      <c r="AN44" s="8"/>
      <c r="AO44" s="8"/>
      <c r="AP44" s="482"/>
      <c r="AQ44" s="8"/>
      <c r="AR44" s="8"/>
      <c r="AS44" s="8"/>
      <c r="AT44" s="245"/>
      <c r="AU44" s="7"/>
      <c r="AV44" s="7"/>
      <c r="AW44" s="7"/>
      <c r="AX44" s="7"/>
      <c r="AY44" s="7"/>
      <c r="AZ44" s="7"/>
      <c r="BA44" s="7"/>
      <c r="BB44" s="7"/>
      <c r="BC44" s="7"/>
      <c r="BD44" s="7"/>
    </row>
    <row r="45" spans="1:56" ht="16.5" thickTop="1" thickBot="1" x14ac:dyDescent="0.3">
      <c r="B45" s="680"/>
      <c r="C45" s="680"/>
      <c r="D45" s="680"/>
      <c r="E45" s="680"/>
      <c r="F45" s="7"/>
      <c r="G45" s="680"/>
      <c r="H45" s="680"/>
      <c r="I45" s="680"/>
      <c r="J45" s="680"/>
      <c r="K45" s="698"/>
      <c r="L45" s="25" t="s">
        <v>97</v>
      </c>
      <c r="M45" s="324">
        <f>M44</f>
        <v>19.954664610531516</v>
      </c>
      <c r="N45" s="325">
        <f t="shared" ref="N45:P45" si="36">N44</f>
        <v>18.950406067462698</v>
      </c>
      <c r="O45" s="326">
        <f t="shared" si="36"/>
        <v>12.994087912163167</v>
      </c>
      <c r="P45" s="327">
        <f t="shared" si="36"/>
        <v>25.501544637028825</v>
      </c>
      <c r="Q45" s="473">
        <f>O48*O49</f>
        <v>0.91321281599059378</v>
      </c>
      <c r="R45" s="474">
        <f>N49*O48</f>
        <v>3.1231628453850673E-2</v>
      </c>
      <c r="S45" s="474">
        <f>N48*O49</f>
        <v>5.3718400940623162E-2</v>
      </c>
      <c r="T45" s="475">
        <f>N48*N49</f>
        <v>1.8371546149323925E-3</v>
      </c>
      <c r="U45" s="493">
        <f>SUM(Q45:R45)</f>
        <v>0.94444444444444442</v>
      </c>
      <c r="V45" s="488">
        <f t="shared" si="18"/>
        <v>5.5555555555555552E-2</v>
      </c>
      <c r="W45" s="498">
        <f t="shared" si="19"/>
        <v>0.96693121693121697</v>
      </c>
      <c r="X45" s="479">
        <f t="shared" si="20"/>
        <v>3.3068783068783067E-2</v>
      </c>
      <c r="Y45" s="493">
        <f>U45*$N$8</f>
        <v>85</v>
      </c>
      <c r="Z45" s="488">
        <f>V45*$N$8</f>
        <v>5</v>
      </c>
      <c r="AA45" s="498">
        <f>W45*$N$16</f>
        <v>18275</v>
      </c>
      <c r="AB45" s="479">
        <f>X45*$N$16</f>
        <v>625</v>
      </c>
      <c r="AC45" s="493">
        <f>Y45+$N$6</f>
        <v>145</v>
      </c>
      <c r="AD45" s="488">
        <f>Z45+$N$6</f>
        <v>65</v>
      </c>
      <c r="AE45" s="498">
        <f>AA45+$N$14</f>
        <v>21875</v>
      </c>
      <c r="AF45" s="479">
        <f>AB45+$N$14</f>
        <v>4225</v>
      </c>
      <c r="AG45" s="324">
        <f t="shared" si="9"/>
        <v>18360</v>
      </c>
      <c r="AH45" s="325">
        <f t="shared" si="10"/>
        <v>710</v>
      </c>
      <c r="AI45" s="326">
        <f t="shared" si="11"/>
        <v>18280</v>
      </c>
      <c r="AJ45" s="327">
        <f t="shared" si="12"/>
        <v>630</v>
      </c>
      <c r="AK45" s="341">
        <f t="shared" si="21"/>
        <v>25.506862265502118</v>
      </c>
      <c r="AL45" s="8" t="s">
        <v>238</v>
      </c>
      <c r="AM45" s="7"/>
      <c r="AN45" s="8"/>
      <c r="AO45" s="8"/>
      <c r="AP45" s="8"/>
      <c r="AQ45" s="8"/>
      <c r="AR45" s="8"/>
      <c r="AS45" s="8"/>
      <c r="AT45" s="8"/>
      <c r="AU45" s="8"/>
      <c r="AV45" s="8"/>
      <c r="AW45" s="8"/>
      <c r="AX45" s="7"/>
      <c r="AY45" s="7"/>
      <c r="AZ45" s="7"/>
      <c r="BA45" s="7"/>
      <c r="BB45" s="7"/>
      <c r="BC45" s="7"/>
      <c r="BD45" s="7"/>
    </row>
    <row r="46" spans="1:56" ht="15.75" thickBot="1" x14ac:dyDescent="0.3">
      <c r="K46" s="683"/>
      <c r="AG46" s="33"/>
      <c r="AH46" s="33"/>
      <c r="AI46" s="142"/>
      <c r="AJ46" s="142"/>
      <c r="AK46" s="246">
        <f>SUMPRODUCT(Q45:T45,M45:P45)</f>
        <v>19.55957940722103</v>
      </c>
      <c r="AL46" t="s">
        <v>110</v>
      </c>
      <c r="AM46" s="7"/>
      <c r="AN46" s="8"/>
      <c r="AO46" s="8"/>
      <c r="AP46" s="8"/>
      <c r="AQ46" s="8"/>
      <c r="AR46" s="8"/>
      <c r="AS46" s="8"/>
      <c r="AT46" s="8"/>
      <c r="AX46" s="7"/>
      <c r="AY46" s="7"/>
      <c r="AZ46" s="7"/>
      <c r="BA46" s="184"/>
      <c r="BB46" s="7"/>
      <c r="BC46" s="7"/>
      <c r="BD46" s="7"/>
    </row>
    <row r="47" spans="1:56" ht="15.75" thickBot="1" x14ac:dyDescent="0.3">
      <c r="K47" s="1"/>
      <c r="L47" s="152"/>
      <c r="M47" s="152" t="s">
        <v>174</v>
      </c>
      <c r="N47" s="289" t="s">
        <v>154</v>
      </c>
      <c r="O47" s="239" t="s">
        <v>171</v>
      </c>
      <c r="P47" s="17"/>
      <c r="Q47" s="17"/>
      <c r="R47" s="280"/>
      <c r="S47" s="17"/>
      <c r="T47" s="280"/>
      <c r="Y47" s="17"/>
      <c r="Z47" s="17"/>
      <c r="AA47" s="17"/>
      <c r="AB47" s="162"/>
      <c r="AG47" s="209"/>
      <c r="AH47" s="7"/>
      <c r="AI47" s="8"/>
      <c r="AJ47" s="142"/>
      <c r="AK47" s="246">
        <f>AK45-AK46</f>
        <v>5.9472828582810884</v>
      </c>
      <c r="AL47" s="7" t="s">
        <v>102</v>
      </c>
      <c r="AM47" s="7"/>
      <c r="AN47" s="8"/>
      <c r="AO47" s="8"/>
      <c r="AP47" s="8"/>
      <c r="AQ47" s="8"/>
      <c r="AR47" s="8"/>
      <c r="AS47" s="8"/>
      <c r="AT47" s="8"/>
      <c r="AU47" s="7"/>
      <c r="AV47" s="7"/>
      <c r="AW47" s="7"/>
      <c r="AX47" s="7"/>
      <c r="AY47" s="7"/>
      <c r="AZ47" s="7"/>
      <c r="BA47" s="7"/>
      <c r="BB47" s="7"/>
      <c r="BC47" s="7"/>
      <c r="BD47" s="7"/>
    </row>
    <row r="48" spans="1:56" ht="15.75" thickBot="1" x14ac:dyDescent="0.3">
      <c r="J48" s="683"/>
      <c r="K48" s="5"/>
      <c r="L48" s="21" t="s">
        <v>172</v>
      </c>
      <c r="M48" s="429">
        <v>65</v>
      </c>
      <c r="N48" s="468">
        <f>(M48-$N$6)/$N$8</f>
        <v>5.5555555555555552E-2</v>
      </c>
      <c r="O48" s="469">
        <f>1-N48</f>
        <v>0.94444444444444442</v>
      </c>
      <c r="P48" s="262"/>
      <c r="Q48" s="470">
        <f>O48*O49</f>
        <v>0.91321281599059378</v>
      </c>
      <c r="R48" s="471">
        <f>N49*O48</f>
        <v>3.1231628453850673E-2</v>
      </c>
      <c r="S48" s="471">
        <f>N48*O49</f>
        <v>5.3718400940623162E-2</v>
      </c>
      <c r="T48" s="472">
        <f>N48*N49</f>
        <v>1.8371546149323925E-3</v>
      </c>
      <c r="X48" s="190">
        <f>SUM(U35:X35)</f>
        <v>1.9999999999999998</v>
      </c>
      <c r="Y48" s="190"/>
      <c r="Z48" s="190"/>
      <c r="AA48" s="190"/>
      <c r="AB48" s="190">
        <f>SUM(Y35:AB35)</f>
        <v>18990</v>
      </c>
      <c r="AC48" s="190"/>
      <c r="AD48" s="190"/>
      <c r="AE48" s="190"/>
      <c r="AF48" s="190">
        <f>SUM(AC35:AF35)</f>
        <v>26310</v>
      </c>
      <c r="AG48" s="190">
        <f>SUM(AG35:AJ35)</f>
        <v>37979.999999999993</v>
      </c>
      <c r="AH48" s="190"/>
      <c r="AI48" s="190"/>
      <c r="AJ48" s="190"/>
      <c r="AK48" s="248">
        <f>AK29-AK47</f>
        <v>-1.5070931597198927</v>
      </c>
      <c r="AL48" s="54" t="s">
        <v>103</v>
      </c>
      <c r="AM48" s="7"/>
      <c r="AN48" s="8"/>
      <c r="AO48" s="8"/>
      <c r="AP48" s="8"/>
      <c r="AQ48" s="8"/>
      <c r="AR48" s="8"/>
      <c r="AS48" s="8"/>
      <c r="AT48" s="28"/>
      <c r="AU48" s="28"/>
      <c r="AV48" s="28"/>
      <c r="AW48" s="28"/>
      <c r="AX48" s="7"/>
      <c r="AY48" s="7"/>
      <c r="AZ48" s="7"/>
      <c r="BA48" s="7"/>
      <c r="BB48" s="7"/>
      <c r="BC48" s="7"/>
      <c r="BD48" s="7"/>
    </row>
    <row r="49" spans="7:58" x14ac:dyDescent="0.25">
      <c r="J49" s="683"/>
      <c r="K49" s="2"/>
      <c r="L49" s="694" t="s">
        <v>292</v>
      </c>
      <c r="M49" s="714">
        <f>M48^2</f>
        <v>4225</v>
      </c>
      <c r="N49" s="433">
        <f>(M49-$N$14)/$N$16</f>
        <v>3.3068783068783067E-2</v>
      </c>
      <c r="O49" s="434">
        <f>1-N49</f>
        <v>0.96693121693121697</v>
      </c>
      <c r="X49" s="190">
        <f>SUM(U36:X36)</f>
        <v>2</v>
      </c>
      <c r="Y49" s="190"/>
      <c r="Z49" s="190"/>
      <c r="AA49" s="190"/>
      <c r="AB49" s="190">
        <f>SUM(Y36:AB36)</f>
        <v>18990</v>
      </c>
      <c r="AF49" s="190">
        <f>SUM(AC36:AF36)</f>
        <v>26310</v>
      </c>
      <c r="AG49" s="190">
        <f>SUM(AG36:AJ36)</f>
        <v>37980</v>
      </c>
      <c r="AH49" s="190"/>
      <c r="AI49" s="190"/>
      <c r="AJ49" s="190"/>
      <c r="AK49" s="142"/>
      <c r="AL49" s="483"/>
      <c r="AM49" s="142"/>
      <c r="AN49" s="8"/>
      <c r="AO49" s="8"/>
      <c r="AP49" s="8"/>
      <c r="BB49" s="314"/>
    </row>
    <row r="50" spans="7:58" x14ac:dyDescent="0.25">
      <c r="K50" s="7"/>
      <c r="L50" s="715"/>
      <c r="X50" s="190">
        <f t="shared" ref="X50:X51" si="37">SUM(U44:X44)</f>
        <v>2</v>
      </c>
      <c r="Y50" s="190"/>
      <c r="Z50" s="190"/>
      <c r="AA50" s="190"/>
      <c r="AB50" s="190">
        <f t="shared" ref="AB50" si="38">SUM(Y44:AB44)</f>
        <v>18990</v>
      </c>
      <c r="AF50" s="190">
        <f>SUM(AC44:AF44)</f>
        <v>26310</v>
      </c>
      <c r="AG50" s="190">
        <f t="shared" ref="AG50:AG51" si="39">SUM(AG44:AJ44)</f>
        <v>37980</v>
      </c>
      <c r="AH50" s="190"/>
      <c r="AI50" s="190"/>
      <c r="AJ50" s="190"/>
      <c r="AK50" s="142"/>
      <c r="AL50" s="142"/>
      <c r="AM50" s="142"/>
      <c r="AN50" s="8"/>
      <c r="AO50" s="8"/>
      <c r="AP50" s="8"/>
    </row>
    <row r="51" spans="7:58" ht="15.75" thickBot="1" x14ac:dyDescent="0.3">
      <c r="K51" s="1"/>
      <c r="L51" s="705"/>
      <c r="M51" s="152" t="s">
        <v>174</v>
      </c>
      <c r="N51" s="289" t="s">
        <v>154</v>
      </c>
      <c r="O51" s="239" t="s">
        <v>171</v>
      </c>
      <c r="P51" s="17"/>
      <c r="Q51" s="17"/>
      <c r="R51" s="280"/>
      <c r="S51" s="17"/>
      <c r="T51" s="280"/>
      <c r="X51" s="190">
        <f t="shared" si="37"/>
        <v>2</v>
      </c>
      <c r="Y51" s="190"/>
      <c r="Z51" s="190"/>
      <c r="AA51" s="190"/>
      <c r="AB51" s="190">
        <f>SUM(Y45:AB45)</f>
        <v>18990</v>
      </c>
      <c r="AF51" s="190">
        <f t="shared" ref="AF51" si="40">SUM(AC45:AF45)</f>
        <v>26310</v>
      </c>
      <c r="AG51" s="190">
        <f t="shared" si="39"/>
        <v>37980</v>
      </c>
      <c r="AH51" s="190"/>
      <c r="AI51" s="190"/>
      <c r="AJ51" s="190"/>
      <c r="AK51" s="142"/>
      <c r="AL51" s="142"/>
      <c r="AM51" s="142"/>
      <c r="AN51" s="8"/>
      <c r="AO51" s="8"/>
      <c r="AP51" s="8"/>
    </row>
    <row r="52" spans="7:58" ht="15.75" thickBot="1" x14ac:dyDescent="0.3">
      <c r="K52" s="5"/>
      <c r="L52" s="21" t="s">
        <v>172</v>
      </c>
      <c r="M52" s="429">
        <v>95</v>
      </c>
      <c r="N52" s="468">
        <f>(M52-$N$6)/$N$8</f>
        <v>0.3888888888888889</v>
      </c>
      <c r="O52" s="469">
        <f>1-N52</f>
        <v>0.61111111111111116</v>
      </c>
      <c r="P52" s="262"/>
      <c r="Q52" s="470">
        <f>O52*O53</f>
        <v>0.43569958847736634</v>
      </c>
      <c r="R52" s="471">
        <f>N53*O52</f>
        <v>0.17541152263374488</v>
      </c>
      <c r="S52" s="471">
        <f>N52*O53</f>
        <v>0.27726337448559674</v>
      </c>
      <c r="T52" s="472">
        <f>N52*N53</f>
        <v>0.11162551440329219</v>
      </c>
      <c r="X52" s="190"/>
      <c r="Y52" s="190"/>
      <c r="Z52" s="190"/>
      <c r="AA52" s="190"/>
      <c r="AB52" s="190"/>
      <c r="AF52" s="190"/>
      <c r="AG52" s="190"/>
      <c r="AH52" s="190"/>
      <c r="AI52" s="190"/>
      <c r="AJ52" s="190"/>
      <c r="AK52" s="142"/>
      <c r="AL52" s="142"/>
      <c r="AM52" s="142"/>
      <c r="AN52" s="8"/>
      <c r="AO52" s="8"/>
      <c r="AP52" s="8"/>
    </row>
    <row r="53" spans="7:58" ht="15.75" thickBot="1" x14ac:dyDescent="0.3">
      <c r="K53" s="2"/>
      <c r="L53" s="694" t="s">
        <v>292</v>
      </c>
      <c r="M53" s="714">
        <f>M52^2</f>
        <v>9025</v>
      </c>
      <c r="N53" s="433">
        <f>(M53-$N$14)/$N$16</f>
        <v>0.28703703703703703</v>
      </c>
      <c r="O53" s="434">
        <f>1-N53</f>
        <v>0.71296296296296302</v>
      </c>
      <c r="X53" s="190"/>
      <c r="Y53" s="190"/>
      <c r="Z53" s="190"/>
      <c r="AA53" s="190"/>
      <c r="AB53" s="190"/>
      <c r="AF53" s="190"/>
      <c r="AG53" s="190"/>
      <c r="AH53" s="190"/>
      <c r="AI53" s="190"/>
      <c r="AJ53" s="190"/>
      <c r="AK53" s="142"/>
      <c r="AL53" s="142"/>
      <c r="AM53" s="142"/>
      <c r="AN53" s="8"/>
      <c r="AO53" s="8"/>
      <c r="AP53" s="8"/>
    </row>
    <row r="54" spans="7:58" x14ac:dyDescent="0.25">
      <c r="K54" s="7"/>
      <c r="L54" s="715"/>
      <c r="X54" s="190"/>
      <c r="Y54" s="190"/>
      <c r="Z54" s="190"/>
      <c r="AA54" s="190"/>
      <c r="AB54" s="190"/>
      <c r="AD54" s="966"/>
      <c r="AE54" s="253"/>
      <c r="AF54" s="946"/>
      <c r="AG54" s="946"/>
      <c r="AH54" s="946"/>
      <c r="AI54" s="946"/>
      <c r="AJ54" s="946"/>
      <c r="AK54" s="275"/>
      <c r="AL54" s="275"/>
      <c r="AM54" s="275"/>
      <c r="AN54" s="613"/>
      <c r="AO54" s="613"/>
      <c r="AP54" s="613"/>
      <c r="AQ54" s="10"/>
      <c r="AR54" s="10"/>
      <c r="AS54" s="10"/>
      <c r="AT54" s="10"/>
      <c r="AU54" s="10"/>
      <c r="AV54" s="10"/>
      <c r="AW54" s="10"/>
      <c r="AX54" s="10"/>
      <c r="AY54" s="10"/>
      <c r="AZ54" s="10"/>
      <c r="BA54" s="10"/>
      <c r="BB54" s="10"/>
      <c r="BC54" s="10"/>
      <c r="BD54" s="10"/>
      <c r="BE54" s="10"/>
      <c r="BF54" s="11"/>
    </row>
    <row r="55" spans="7:58" ht="15.75" thickBot="1" x14ac:dyDescent="0.3">
      <c r="K55" s="1"/>
      <c r="L55" s="705"/>
      <c r="M55" s="152" t="s">
        <v>174</v>
      </c>
      <c r="N55" s="289" t="s">
        <v>154</v>
      </c>
      <c r="O55" s="239" t="s">
        <v>171</v>
      </c>
      <c r="P55" s="17"/>
      <c r="Q55" s="17"/>
      <c r="R55" s="280"/>
      <c r="S55" s="17"/>
      <c r="T55" s="280"/>
      <c r="V55"/>
      <c r="W55" s="1249" t="s">
        <v>293</v>
      </c>
      <c r="X55" s="1249"/>
      <c r="Z55" s="190"/>
      <c r="AA55" s="190"/>
      <c r="AB55" s="190"/>
      <c r="AD55" s="657"/>
      <c r="AE55" s="17"/>
      <c r="AF55" s="1248" t="s">
        <v>516</v>
      </c>
      <c r="AG55" s="1248"/>
      <c r="AH55" s="1248"/>
      <c r="AI55" s="1248"/>
      <c r="AJ55" s="209"/>
      <c r="AK55" s="142"/>
      <c r="AL55" s="142"/>
      <c r="AM55" s="142"/>
      <c r="AN55" s="8"/>
      <c r="AO55" s="8"/>
      <c r="AP55" s="8"/>
      <c r="AQ55" s="7"/>
      <c r="AR55" s="7"/>
      <c r="AS55" s="7"/>
      <c r="AT55" s="7"/>
      <c r="AU55" s="7"/>
      <c r="AV55" s="7"/>
      <c r="AW55" s="7"/>
      <c r="AX55" s="7"/>
      <c r="AY55" s="7"/>
      <c r="AZ55" s="7"/>
      <c r="BA55" s="7"/>
      <c r="BB55" s="7"/>
      <c r="BC55" s="7"/>
      <c r="BD55" s="7"/>
      <c r="BE55" s="7"/>
      <c r="BF55" s="102"/>
    </row>
    <row r="56" spans="7:58" ht="15.75" thickBot="1" x14ac:dyDescent="0.3">
      <c r="K56" s="5"/>
      <c r="L56" s="21" t="s">
        <v>172</v>
      </c>
      <c r="M56" s="429">
        <v>105</v>
      </c>
      <c r="N56" s="468">
        <f>(M56-$N$6)/$N$8</f>
        <v>0.5</v>
      </c>
      <c r="O56" s="469">
        <f>1-N56</f>
        <v>0.5</v>
      </c>
      <c r="P56" s="262"/>
      <c r="Q56" s="470">
        <f>O56*O57</f>
        <v>0.3035714285714286</v>
      </c>
      <c r="R56" s="471">
        <f>N57*O56</f>
        <v>0.19642857142857142</v>
      </c>
      <c r="S56" s="471">
        <f>N56*O57</f>
        <v>0.3035714285714286</v>
      </c>
      <c r="T56" s="472">
        <f>N56*N57</f>
        <v>0.19642857142857142</v>
      </c>
      <c r="V56"/>
      <c r="W56"/>
      <c r="Z56" s="190"/>
      <c r="AA56" s="190"/>
      <c r="AB56" s="190"/>
      <c r="AD56" s="657"/>
      <c r="AE56" s="17"/>
      <c r="AF56" s="1248"/>
      <c r="AG56" s="1248"/>
      <c r="AH56" s="1248"/>
      <c r="AI56" s="1248"/>
      <c r="AJ56" s="209"/>
      <c r="AK56" s="142"/>
      <c r="AL56" s="142"/>
      <c r="AM56" s="142"/>
      <c r="AN56" s="8"/>
      <c r="AO56" s="8"/>
      <c r="AP56" s="8"/>
      <c r="AQ56" s="7"/>
      <c r="AR56" s="7"/>
      <c r="AS56" s="7"/>
      <c r="AT56" s="7"/>
      <c r="AU56" s="7"/>
      <c r="AV56" s="7"/>
      <c r="AW56" s="7"/>
      <c r="AX56" s="7"/>
      <c r="AY56" s="7"/>
      <c r="AZ56" s="7"/>
      <c r="BA56" s="7"/>
      <c r="BB56" s="7"/>
      <c r="BC56" s="7"/>
      <c r="BD56" s="7"/>
      <c r="BE56" s="7"/>
      <c r="BF56" s="102"/>
    </row>
    <row r="57" spans="7:58" ht="15.75" thickBot="1" x14ac:dyDescent="0.3">
      <c r="K57" s="2"/>
      <c r="L57" s="694" t="s">
        <v>292</v>
      </c>
      <c r="M57" s="714">
        <f>M56^2</f>
        <v>11025</v>
      </c>
      <c r="N57" s="433">
        <f>(M57-$N$14)/$N$16</f>
        <v>0.39285714285714285</v>
      </c>
      <c r="O57" s="434">
        <f>1-N57</f>
        <v>0.60714285714285721</v>
      </c>
      <c r="V57" s="716">
        <f>Q48</f>
        <v>0.91321281599059378</v>
      </c>
      <c r="W57" s="717">
        <f>R48</f>
        <v>3.1231628453850673E-2</v>
      </c>
      <c r="X57" s="717">
        <f>S48</f>
        <v>5.3718400940623162E-2</v>
      </c>
      <c r="Y57" s="718">
        <f>T48</f>
        <v>1.8371546149323925E-3</v>
      </c>
      <c r="Z57" s="190"/>
      <c r="AA57" s="190"/>
      <c r="AB57" s="190"/>
      <c r="AD57" s="657"/>
      <c r="AE57" s="17"/>
      <c r="AF57" s="209"/>
      <c r="AG57" s="209"/>
      <c r="AH57" s="209"/>
      <c r="AI57" s="209"/>
      <c r="AJ57" s="209"/>
      <c r="AK57" s="142"/>
      <c r="AL57" s="142"/>
      <c r="AM57" s="142"/>
      <c r="AN57" s="8"/>
      <c r="AO57" s="8"/>
      <c r="AP57" s="8"/>
      <c r="AQ57" s="7"/>
      <c r="AR57" s="7"/>
      <c r="AS57" s="7"/>
      <c r="AT57" s="7"/>
      <c r="AU57" s="7"/>
      <c r="AV57" s="7"/>
      <c r="AW57" s="7"/>
      <c r="AX57" s="7"/>
      <c r="AY57" s="7"/>
      <c r="AZ57" s="7"/>
      <c r="BA57" s="7"/>
      <c r="BB57" s="7"/>
      <c r="BC57" s="7"/>
      <c r="BD57" s="7"/>
      <c r="BE57" s="7"/>
      <c r="BF57" s="102"/>
    </row>
    <row r="58" spans="7:58" x14ac:dyDescent="0.25">
      <c r="K58" s="7"/>
      <c r="L58" s="715"/>
      <c r="V58" s="719">
        <f>Q52</f>
        <v>0.43569958847736634</v>
      </c>
      <c r="W58" s="189">
        <f>R52</f>
        <v>0.17541152263374488</v>
      </c>
      <c r="X58" s="189">
        <f>S52</f>
        <v>0.27726337448559674</v>
      </c>
      <c r="Y58" s="720">
        <f>T52</f>
        <v>0.11162551440329219</v>
      </c>
      <c r="Z58" s="190"/>
      <c r="AA58" s="190"/>
      <c r="AB58" s="190"/>
      <c r="AD58" s="657"/>
      <c r="AE58" s="17"/>
      <c r="AF58" s="945"/>
      <c r="AG58" s="946"/>
      <c r="AH58" s="946"/>
      <c r="AI58" s="946"/>
      <c r="AJ58" s="946"/>
      <c r="AK58" s="275"/>
      <c r="AL58" s="275"/>
      <c r="AM58" s="275"/>
      <c r="AN58" s="613"/>
      <c r="AO58" s="613"/>
      <c r="AP58" s="613"/>
      <c r="AQ58" s="10"/>
      <c r="AR58" s="10"/>
      <c r="AS58" s="10"/>
      <c r="AT58" s="10"/>
      <c r="AU58" s="10"/>
      <c r="AV58" s="10"/>
      <c r="AW58" s="10"/>
      <c r="AX58" s="10"/>
      <c r="AY58" s="10"/>
      <c r="AZ58" s="10"/>
      <c r="BA58" s="10"/>
      <c r="BB58" s="10"/>
      <c r="BC58" s="10"/>
      <c r="BD58" s="10"/>
      <c r="BE58" s="10"/>
      <c r="BF58" s="11"/>
    </row>
    <row r="59" spans="7:58" ht="16.5" thickBot="1" x14ac:dyDescent="0.3">
      <c r="K59" s="1"/>
      <c r="L59" s="705"/>
      <c r="M59" s="152" t="s">
        <v>174</v>
      </c>
      <c r="N59" s="289" t="s">
        <v>154</v>
      </c>
      <c r="O59" s="239" t="s">
        <v>171</v>
      </c>
      <c r="P59" s="17"/>
      <c r="Q59" s="17"/>
      <c r="R59" s="280"/>
      <c r="S59" s="17"/>
      <c r="T59" s="280"/>
      <c r="V59" s="721">
        <f>Q56</f>
        <v>0.3035714285714286</v>
      </c>
      <c r="W59" s="722">
        <f>R56</f>
        <v>0.19642857142857142</v>
      </c>
      <c r="X59" s="722">
        <f>S56</f>
        <v>0.3035714285714286</v>
      </c>
      <c r="Y59" s="723">
        <f>T56</f>
        <v>0.19642857142857142</v>
      </c>
      <c r="Z59" s="190"/>
      <c r="AA59" s="190"/>
      <c r="AB59" s="190"/>
      <c r="AD59" s="657"/>
      <c r="AE59" s="17"/>
      <c r="AF59" s="947"/>
      <c r="AG59" s="948" t="s">
        <v>493</v>
      </c>
      <c r="AH59" s="209"/>
      <c r="AI59" s="209"/>
      <c r="AJ59" s="209"/>
      <c r="AK59" s="142"/>
      <c r="AL59" s="142"/>
      <c r="AM59" s="142"/>
      <c r="AN59" s="8"/>
      <c r="AO59" s="8"/>
      <c r="AP59" s="8"/>
      <c r="AQ59" s="7"/>
      <c r="AR59" s="7"/>
      <c r="AS59" s="7"/>
      <c r="AT59" s="7"/>
      <c r="AU59" s="7"/>
      <c r="AV59" s="7"/>
      <c r="AW59" s="7"/>
      <c r="AX59" s="7"/>
      <c r="AY59" s="7"/>
      <c r="AZ59" s="7"/>
      <c r="BA59" s="7"/>
      <c r="BB59" s="7"/>
      <c r="BC59" s="7"/>
      <c r="BD59" s="7"/>
      <c r="BE59" s="7"/>
      <c r="BF59" s="102"/>
    </row>
    <row r="60" spans="7:58" ht="15.75" thickBot="1" x14ac:dyDescent="0.3">
      <c r="K60" s="5"/>
      <c r="L60" s="21" t="s">
        <v>172</v>
      </c>
      <c r="M60" s="429">
        <v>120</v>
      </c>
      <c r="N60" s="468">
        <f>(M60-$N$6)/$N$8</f>
        <v>0.66666666666666663</v>
      </c>
      <c r="O60" s="469">
        <f>1-N60</f>
        <v>0.33333333333333337</v>
      </c>
      <c r="P60" s="262"/>
      <c r="Q60" s="470">
        <f>O60*O61</f>
        <v>0.14285714285714288</v>
      </c>
      <c r="R60" s="471">
        <f>N61*O60</f>
        <v>0.19047619047619049</v>
      </c>
      <c r="S60" s="471">
        <f>N60*O61</f>
        <v>0.2857142857142857</v>
      </c>
      <c r="T60" s="472">
        <f>N60*N61</f>
        <v>0.38095238095238093</v>
      </c>
      <c r="V60" s="724">
        <f>Q60</f>
        <v>0.14285714285714288</v>
      </c>
      <c r="W60" s="725">
        <f>R60</f>
        <v>0.19047619047619049</v>
      </c>
      <c r="X60" s="725">
        <f>S60</f>
        <v>0.2857142857142857</v>
      </c>
      <c r="Y60" s="726">
        <f>T60</f>
        <v>0.38095238095238093</v>
      </c>
      <c r="Z60" s="190"/>
      <c r="AA60" s="190"/>
      <c r="AB60" s="190"/>
      <c r="AD60" s="657"/>
      <c r="AE60" s="17"/>
      <c r="AF60" s="947"/>
      <c r="AG60" s="291"/>
      <c r="AH60" s="291"/>
      <c r="AI60" s="291"/>
      <c r="AJ60" s="291"/>
      <c r="AK60" s="267"/>
      <c r="AL60" s="267"/>
      <c r="AM60" s="267"/>
      <c r="AN60" s="269"/>
      <c r="AO60" s="269"/>
      <c r="AP60" s="269"/>
      <c r="AQ60" s="247"/>
      <c r="AR60" s="247"/>
      <c r="AS60" s="247"/>
      <c r="AT60" s="247"/>
      <c r="AU60" s="247"/>
      <c r="AV60" s="247"/>
      <c r="AW60" s="247"/>
      <c r="AX60" s="247"/>
      <c r="AY60" s="247"/>
      <c r="AZ60" s="247"/>
      <c r="BA60" s="247"/>
      <c r="BB60" s="247"/>
      <c r="BC60" s="247"/>
      <c r="BD60" s="247"/>
      <c r="BE60" s="247"/>
      <c r="BF60" s="955"/>
    </row>
    <row r="61" spans="7:58" ht="15.75" thickBot="1" x14ac:dyDescent="0.3">
      <c r="K61" s="2"/>
      <c r="L61" s="694" t="s">
        <v>292</v>
      </c>
      <c r="M61" s="714">
        <f>M60^2</f>
        <v>14400</v>
      </c>
      <c r="N61" s="433">
        <f>(M61-$N$14)/$N$16</f>
        <v>0.5714285714285714</v>
      </c>
      <c r="O61" s="434">
        <f>1-N61</f>
        <v>0.4285714285714286</v>
      </c>
      <c r="V61" s="727">
        <f>Q64</f>
        <v>4.335684891240448E-3</v>
      </c>
      <c r="W61" s="728">
        <f>R64</f>
        <v>5.1219870664315131E-2</v>
      </c>
      <c r="X61" s="728">
        <f>S64</f>
        <v>7.3706643151087575E-2</v>
      </c>
      <c r="Y61" s="729">
        <f>T64</f>
        <v>0.87073780129335687</v>
      </c>
      <c r="Z61" s="190"/>
      <c r="AA61" s="190"/>
      <c r="AB61" s="190"/>
      <c r="AD61" s="657"/>
      <c r="AE61" s="17"/>
      <c r="AF61" s="949">
        <v>2</v>
      </c>
      <c r="AG61" s="320">
        <v>1</v>
      </c>
      <c r="AH61" s="234">
        <v>3</v>
      </c>
      <c r="AI61" s="233">
        <v>2</v>
      </c>
      <c r="AJ61" s="321">
        <v>4</v>
      </c>
      <c r="AK61" s="941">
        <f>EXP(AG61/$N$23)/(EXP($AG61/$N$23)+EXP($AH61/$N$23)+EXP($AI61/$N$23)+EXP($AJ61/$N$23))</f>
        <v>3.2058603280084988E-2</v>
      </c>
      <c r="AL61" s="942">
        <f t="shared" ref="AL61:AN61" si="41">EXP(AH61/$N$23)/(EXP($AG61/$N$23)+EXP($AH61/$N$23)+EXP($AI61/$N$23)+EXP($AJ61/$N$23))</f>
        <v>0.23688281808991013</v>
      </c>
      <c r="AM61" s="943">
        <f t="shared" si="41"/>
        <v>8.7144318742032573E-2</v>
      </c>
      <c r="AN61" s="944">
        <f t="shared" si="41"/>
        <v>0.64391425988797224</v>
      </c>
      <c r="AO61" s="491">
        <f t="shared" ref="AO61:AO62" si="42">SUM(AK61:AL61)</f>
        <v>0.2689414213699951</v>
      </c>
      <c r="AP61" s="486">
        <f t="shared" ref="AP61:AP62" si="43">SUM(AM61,AN61)</f>
        <v>0.73105857863000479</v>
      </c>
      <c r="AQ61" s="496">
        <f t="shared" ref="AQ61:AQ62" si="44">SUM(AM61,AK61)</f>
        <v>0.11920292202211756</v>
      </c>
      <c r="AR61" s="477">
        <f t="shared" ref="AR61:AR62" si="45">SUM(AL61,AN61)</f>
        <v>0.88079707797788243</v>
      </c>
      <c r="AS61" s="491">
        <f t="shared" ref="AS61:AS62" si="46">AO61*$N$8</f>
        <v>24.204727923299558</v>
      </c>
      <c r="AT61" s="486">
        <f t="shared" ref="AT61:AT62" si="47">AP61*$N$8</f>
        <v>65.795272076700428</v>
      </c>
      <c r="AU61" s="496">
        <f t="shared" ref="AU61" si="48">AQ61*$N$16</f>
        <v>2252.9352262180219</v>
      </c>
      <c r="AV61" s="477">
        <f>AR61*$N$16</f>
        <v>16647.064773781978</v>
      </c>
      <c r="AW61" s="491">
        <f t="shared" ref="AW61:AW62" si="49">AS61+$N$6</f>
        <v>84.204727923299558</v>
      </c>
      <c r="AX61" s="486">
        <f>AT61+$N$6</f>
        <v>125.79527207670043</v>
      </c>
      <c r="AY61" s="496">
        <f>AU61+$N$14</f>
        <v>5852.9352262180219</v>
      </c>
      <c r="AZ61" s="477">
        <f>AV61+$N$14</f>
        <v>20247.064773781978</v>
      </c>
      <c r="BA61" s="320">
        <f>SUM(AS61,AU61)</f>
        <v>2277.1399541413216</v>
      </c>
      <c r="BB61" s="234">
        <f t="shared" ref="BB61:BB62" si="50">SUM(AS61,AV61)</f>
        <v>16671.269501705279</v>
      </c>
      <c r="BC61" s="233">
        <f t="shared" ref="BC61:BC62" si="51">SUM(AT61,AU61)</f>
        <v>2318.7304982947221</v>
      </c>
      <c r="BD61" s="321">
        <f t="shared" ref="BD61:BD62" si="52">SUM(AT61,AV61)</f>
        <v>16712.860045858677</v>
      </c>
      <c r="BE61" s="82">
        <f>$N$23*LN(EXP($AG61/$N$23) + EXP($AH61/$N$23) + EXP($AI61/$N$23) +EXP($AJ61/$N$23) )</f>
        <v>4.4401896985611957</v>
      </c>
      <c r="BF61" s="208">
        <f>BE61</f>
        <v>4.4401896985611957</v>
      </c>
    </row>
    <row r="62" spans="7:58" ht="15.75" thickBot="1" x14ac:dyDescent="0.3">
      <c r="K62" s="7"/>
      <c r="L62" s="715"/>
      <c r="X62" s="730"/>
      <c r="Y62" s="190"/>
      <c r="Z62" s="190"/>
      <c r="AA62" s="190"/>
      <c r="AB62" s="190"/>
      <c r="AD62" s="657"/>
      <c r="AE62" s="17"/>
      <c r="AF62" s="950">
        <v>3</v>
      </c>
      <c r="AG62" s="324">
        <v>1</v>
      </c>
      <c r="AH62" s="325">
        <v>5.2135397545717401</v>
      </c>
      <c r="AI62" s="326">
        <v>2</v>
      </c>
      <c r="AJ62" s="327">
        <v>6.2135447194523996</v>
      </c>
      <c r="AK62" s="951">
        <f>EXP(AG62/$N$23)/(EXP($AG62/$N$23)+EXP($AH62/$N$23)+EXP($AI62/$N$23)+EXP($AJ62/$N$23))</f>
        <v>3.9206784542248499E-3</v>
      </c>
      <c r="AL62" s="952">
        <f t="shared" ref="AL62" si="53">EXP(AH62/$N$23)/(EXP($AG62/$N$23)+EXP($AH62/$N$23)+EXP($AI62/$N$23)+EXP($AJ62/$N$23))</f>
        <v>0.26501978099265644</v>
      </c>
      <c r="AM62" s="953">
        <f t="shared" ref="AM62" si="54">EXP(AI62/$N$23)/(EXP($AG62/$N$23)+EXP($AH62/$N$23)+EXP($AI62/$N$23)+EXP($AJ62/$N$23))</f>
        <v>1.0657508997350308E-2</v>
      </c>
      <c r="AN62" s="954">
        <f t="shared" ref="AN62" si="55">EXP(AJ62/$N$23)/(EXP($AG62/$N$23)+EXP($AH62/$N$23)+EXP($AI62/$N$23)+EXP($AJ62/$N$23))</f>
        <v>0.72040203155576843</v>
      </c>
      <c r="AO62" s="493">
        <f t="shared" si="42"/>
        <v>0.26894045944688127</v>
      </c>
      <c r="AP62" s="488">
        <f t="shared" si="43"/>
        <v>0.73105954055311873</v>
      </c>
      <c r="AQ62" s="498">
        <f t="shared" si="44"/>
        <v>1.4578187451575159E-2</v>
      </c>
      <c r="AR62" s="479">
        <f t="shared" si="45"/>
        <v>0.98542181254842487</v>
      </c>
      <c r="AS62" s="493">
        <f t="shared" si="46"/>
        <v>24.204641350219315</v>
      </c>
      <c r="AT62" s="488">
        <f t="shared" si="47"/>
        <v>65.795358649780681</v>
      </c>
      <c r="AU62" s="498">
        <f>AQ62*$N$16</f>
        <v>275.52774283477049</v>
      </c>
      <c r="AV62" s="479">
        <f t="shared" ref="AV62" si="56">AR62*$N$16</f>
        <v>18624.472257165231</v>
      </c>
      <c r="AW62" s="493">
        <f t="shared" si="49"/>
        <v>84.204641350219319</v>
      </c>
      <c r="AX62" s="488">
        <f t="shared" ref="AX62" si="57">AT62+$N$6</f>
        <v>125.79535864978068</v>
      </c>
      <c r="AY62" s="498">
        <f t="shared" ref="AY62" si="58">AU62+$N$14</f>
        <v>3875.5277428347704</v>
      </c>
      <c r="AZ62" s="479">
        <f t="shared" ref="AZ62" si="59">AV62+$N$14</f>
        <v>22224.472257165231</v>
      </c>
      <c r="BA62" s="324">
        <f t="shared" ref="BA62" si="60">SUM(AS62,AU62)</f>
        <v>299.73238418498983</v>
      </c>
      <c r="BB62" s="325">
        <f t="shared" si="50"/>
        <v>18648.676898515449</v>
      </c>
      <c r="BC62" s="326">
        <f t="shared" si="51"/>
        <v>341.32310148455116</v>
      </c>
      <c r="BD62" s="327">
        <f t="shared" si="52"/>
        <v>18690.267615815013</v>
      </c>
      <c r="BE62" s="83">
        <f>$N$23*LN(EXP($AG62/$N$23) + EXP($AH62/$N$23) + EXP($AI62/$N$23) +EXP($AJ62/$N$23) )</f>
        <v>6.5414905650981661</v>
      </c>
      <c r="BF62" s="398">
        <f>(BE62-BE61)</f>
        <v>2.1013008665369703</v>
      </c>
    </row>
    <row r="63" spans="7:58" ht="15.75" thickBot="1" x14ac:dyDescent="0.3">
      <c r="K63" s="1"/>
      <c r="L63" s="705"/>
      <c r="M63" s="152" t="s">
        <v>174</v>
      </c>
      <c r="N63" s="289" t="s">
        <v>154</v>
      </c>
      <c r="O63" s="239" t="s">
        <v>171</v>
      </c>
      <c r="P63" s="17"/>
      <c r="Q63" s="17"/>
      <c r="R63" s="280"/>
      <c r="S63" s="17"/>
      <c r="T63" s="280"/>
      <c r="X63" s="731"/>
      <c r="Y63" s="190"/>
      <c r="Z63" s="190"/>
      <c r="AA63" s="190"/>
      <c r="AB63" s="190"/>
      <c r="AD63" s="657"/>
      <c r="AE63" s="17"/>
      <c r="AF63" s="209"/>
      <c r="AG63" s="209"/>
      <c r="AH63" s="209"/>
      <c r="AI63" s="209"/>
      <c r="AJ63" s="209"/>
      <c r="AK63" s="142"/>
      <c r="AL63" s="142"/>
      <c r="AM63" s="142"/>
      <c r="AN63" s="8"/>
      <c r="AO63" s="8"/>
      <c r="AP63" s="8"/>
      <c r="AQ63" s="7"/>
      <c r="AR63" s="7"/>
      <c r="AS63" s="7"/>
      <c r="AT63" s="7"/>
      <c r="AU63" s="7"/>
      <c r="AV63" s="7"/>
      <c r="AW63" s="7"/>
      <c r="AX63" s="7"/>
      <c r="AY63" s="7"/>
      <c r="AZ63" s="7"/>
      <c r="BA63" s="7"/>
      <c r="BB63" s="7"/>
      <c r="BC63" s="7"/>
      <c r="BD63" s="7"/>
      <c r="BE63" s="7"/>
      <c r="BF63" s="102"/>
    </row>
    <row r="64" spans="7:58" ht="15.75" thickBot="1" x14ac:dyDescent="0.3">
      <c r="G64" s="25" t="s">
        <v>294</v>
      </c>
      <c r="K64" s="5"/>
      <c r="L64" s="21" t="s">
        <v>172</v>
      </c>
      <c r="M64" s="429">
        <v>145</v>
      </c>
      <c r="N64" s="468">
        <f>(M64-$N$6)/$N$8</f>
        <v>0.94444444444444442</v>
      </c>
      <c r="O64" s="469">
        <f>1-N64</f>
        <v>5.555555555555558E-2</v>
      </c>
      <c r="P64" s="262"/>
      <c r="Q64" s="470">
        <f>O64*O65</f>
        <v>4.335684891240448E-3</v>
      </c>
      <c r="R64" s="471">
        <f>N65*O64</f>
        <v>5.1219870664315131E-2</v>
      </c>
      <c r="S64" s="471">
        <f>N64*O65</f>
        <v>7.3706643151087575E-2</v>
      </c>
      <c r="T64" s="472">
        <f>N64*N65</f>
        <v>0.87073780129335687</v>
      </c>
      <c r="U64" s="290"/>
      <c r="V64" s="259"/>
      <c r="W64" s="259"/>
      <c r="X64" s="732"/>
      <c r="Y64" s="209"/>
      <c r="Z64" s="190"/>
      <c r="AA64" s="190"/>
      <c r="AB64" s="190"/>
      <c r="AD64" s="657"/>
      <c r="AE64" s="17"/>
      <c r="AF64" s="209" t="s">
        <v>494</v>
      </c>
      <c r="AG64" s="956">
        <f>AG62-AG61</f>
        <v>0</v>
      </c>
      <c r="AH64" s="957">
        <f t="shared" ref="AH64:AJ64" si="61">AH62-AH61</f>
        <v>2.2135397545717401</v>
      </c>
      <c r="AI64" s="957">
        <f t="shared" si="61"/>
        <v>0</v>
      </c>
      <c r="AJ64" s="958">
        <f t="shared" si="61"/>
        <v>2.2135447194523996</v>
      </c>
      <c r="AK64" s="142" t="s">
        <v>496</v>
      </c>
      <c r="AL64" s="142"/>
      <c r="AM64" s="142"/>
      <c r="AN64" s="8"/>
      <c r="AO64" s="8"/>
      <c r="AP64" s="8"/>
      <c r="AQ64" s="7"/>
      <c r="AR64" s="7"/>
      <c r="AS64" s="7"/>
      <c r="AT64" s="7"/>
      <c r="AU64" s="7"/>
      <c r="AV64" s="7"/>
      <c r="AW64" s="7"/>
      <c r="AX64" s="7"/>
      <c r="AY64" s="7"/>
      <c r="AZ64" s="7"/>
      <c r="BA64" s="7"/>
      <c r="BB64" s="7"/>
      <c r="BC64" s="7"/>
      <c r="BD64" s="7"/>
      <c r="BE64" s="7"/>
      <c r="BF64" s="102"/>
    </row>
    <row r="65" spans="3:58" x14ac:dyDescent="0.25">
      <c r="K65" s="2"/>
      <c r="L65" s="694" t="s">
        <v>292</v>
      </c>
      <c r="M65" s="714">
        <f>M64^2</f>
        <v>21025</v>
      </c>
      <c r="N65" s="433">
        <f>(M65-$N$14)/$N$16</f>
        <v>0.92195767195767198</v>
      </c>
      <c r="O65" s="434">
        <f>1-N65</f>
        <v>7.8042328042328024E-2</v>
      </c>
      <c r="X65" s="190"/>
      <c r="Y65" s="209"/>
      <c r="Z65" s="190"/>
      <c r="AA65" s="190"/>
      <c r="AB65" s="190"/>
      <c r="AD65" s="657"/>
      <c r="AE65" s="17"/>
      <c r="AF65" s="209" t="s">
        <v>177</v>
      </c>
      <c r="AG65" s="680">
        <f>BF62</f>
        <v>2.1013008665369703</v>
      </c>
      <c r="AH65" s="680"/>
      <c r="AI65" s="680"/>
      <c r="AJ65" s="680"/>
      <c r="AK65" s="142"/>
      <c r="AL65" s="142"/>
      <c r="AM65" s="142"/>
      <c r="AN65" s="8"/>
      <c r="AO65" s="8"/>
      <c r="AP65" s="8"/>
      <c r="AQ65" s="7"/>
      <c r="AR65" s="7"/>
      <c r="AS65" s="7"/>
      <c r="AT65" s="7"/>
      <c r="AU65" s="7"/>
      <c r="AV65" s="7"/>
      <c r="AW65" s="7"/>
      <c r="AX65" s="7"/>
      <c r="AY65" s="7"/>
      <c r="AZ65" s="7"/>
      <c r="BA65" s="7"/>
      <c r="BB65" s="7"/>
      <c r="BC65" s="7"/>
      <c r="BD65" s="7"/>
      <c r="BE65" s="7"/>
      <c r="BF65" s="102"/>
    </row>
    <row r="66" spans="3:58" x14ac:dyDescent="0.25">
      <c r="X66" s="190"/>
      <c r="Y66" s="190"/>
      <c r="Z66" s="190"/>
      <c r="AA66" s="190"/>
      <c r="AB66" s="190"/>
      <c r="AC66" s="190"/>
      <c r="AD66" s="947"/>
      <c r="AE66" s="209"/>
      <c r="AF66" s="209" t="s">
        <v>495</v>
      </c>
      <c r="AG66" s="381">
        <f>SUMPRODUCT(AG64:AJ64,AK61:AN61)</f>
        <v>1.9496825447721231</v>
      </c>
      <c r="AH66" s="145"/>
      <c r="AI66" s="145"/>
      <c r="AJ66" s="145"/>
      <c r="AK66" s="8" t="s">
        <v>497</v>
      </c>
      <c r="AL66" s="8"/>
      <c r="AM66" s="7"/>
      <c r="AN66" s="7"/>
      <c r="AO66" s="7"/>
      <c r="AP66" s="7"/>
      <c r="AQ66" s="7"/>
      <c r="AR66" s="7"/>
      <c r="AS66" s="7"/>
      <c r="AT66" s="7"/>
      <c r="AU66" s="7"/>
      <c r="AV66" s="7"/>
      <c r="AW66" s="7"/>
      <c r="AX66" s="7"/>
      <c r="AY66" s="7"/>
      <c r="AZ66" s="7"/>
      <c r="BA66" s="7"/>
      <c r="BB66" s="7"/>
      <c r="BC66" s="7"/>
      <c r="BD66" s="7"/>
      <c r="BE66" s="7"/>
      <c r="BF66" s="102"/>
    </row>
    <row r="67" spans="3:58" ht="21" x14ac:dyDescent="0.35">
      <c r="C67" s="141" t="s">
        <v>295</v>
      </c>
      <c r="I67" s="141" t="s">
        <v>296</v>
      </c>
      <c r="J67" s="33"/>
      <c r="K67" s="33"/>
      <c r="L67" s="33"/>
      <c r="N67" s="141" t="s">
        <v>297</v>
      </c>
      <c r="O67"/>
      <c r="P67"/>
      <c r="Q67"/>
      <c r="S67" s="141" t="s">
        <v>298</v>
      </c>
      <c r="T67"/>
      <c r="U67"/>
      <c r="V67"/>
      <c r="X67" s="190"/>
      <c r="Y67" s="190"/>
      <c r="Z67" s="190"/>
      <c r="AA67" s="190"/>
      <c r="AB67" s="190"/>
      <c r="AC67" s="190"/>
      <c r="AD67" s="947"/>
      <c r="AE67" s="209"/>
      <c r="AF67" s="209"/>
      <c r="AG67" s="8"/>
      <c r="AH67" s="8"/>
      <c r="AI67" s="8"/>
      <c r="AJ67" s="8"/>
      <c r="AK67" s="8"/>
      <c r="AL67" s="8"/>
      <c r="AM67" s="7"/>
      <c r="AN67" s="7"/>
      <c r="AO67" s="7"/>
      <c r="AP67" s="7"/>
      <c r="AQ67" s="7"/>
      <c r="AR67" s="7"/>
      <c r="AS67" s="7"/>
      <c r="AT67" s="7"/>
      <c r="AU67" s="7"/>
      <c r="AV67" s="7"/>
      <c r="AW67" s="7"/>
      <c r="AX67" s="7"/>
      <c r="AY67" s="7"/>
      <c r="AZ67" s="7"/>
      <c r="BA67" s="7"/>
      <c r="BB67" s="7"/>
      <c r="BC67" s="7"/>
      <c r="BD67" s="7"/>
      <c r="BE67" s="7"/>
      <c r="BF67" s="102"/>
    </row>
    <row r="68" spans="3:58" x14ac:dyDescent="0.25">
      <c r="I68" s="33"/>
      <c r="J68" s="33"/>
      <c r="K68" s="33"/>
      <c r="L68" s="33"/>
      <c r="N68"/>
      <c r="O68"/>
      <c r="P68"/>
      <c r="Q68"/>
      <c r="S68"/>
      <c r="T68"/>
      <c r="U68"/>
      <c r="V68"/>
      <c r="X68" s="190"/>
      <c r="Y68" s="190"/>
      <c r="Z68" s="190"/>
      <c r="AA68" s="190"/>
      <c r="AB68" s="190"/>
      <c r="AC68" s="190"/>
      <c r="AD68" s="947"/>
      <c r="AE68" s="209"/>
      <c r="AF68" s="209"/>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102"/>
    </row>
    <row r="69" spans="3:58" ht="15.75" x14ac:dyDescent="0.25">
      <c r="C69" s="733">
        <f>M36-M35</f>
        <v>7.940404478327685</v>
      </c>
      <c r="D69" s="733">
        <f>N36-N35</f>
        <v>0</v>
      </c>
      <c r="E69" s="733">
        <f>O36-O35</f>
        <v>0.47640978015546409</v>
      </c>
      <c r="F69" s="733">
        <f>P36-P35</f>
        <v>0</v>
      </c>
      <c r="I69" s="733">
        <f>M38-M37</f>
        <v>1.2337232899711768</v>
      </c>
      <c r="J69" s="733">
        <f>N38-N37</f>
        <v>17.175085208689737</v>
      </c>
      <c r="K69" s="733">
        <f>O38-O37</f>
        <v>0</v>
      </c>
      <c r="L69" s="733">
        <f>P38-P37</f>
        <v>20.451752426635309</v>
      </c>
      <c r="M69" s="17"/>
      <c r="N69" s="733">
        <f>M40-M39</f>
        <v>3</v>
      </c>
      <c r="O69" s="733">
        <f t="shared" ref="O69:Q69" si="62">N40-N39</f>
        <v>0</v>
      </c>
      <c r="P69" s="733">
        <f t="shared" si="62"/>
        <v>3</v>
      </c>
      <c r="Q69" s="733">
        <f t="shared" si="62"/>
        <v>0</v>
      </c>
      <c r="S69" s="733">
        <f>M42-M41</f>
        <v>0</v>
      </c>
      <c r="T69" s="733">
        <f t="shared" ref="T69:V69" si="63">N42-N41</f>
        <v>3</v>
      </c>
      <c r="U69" s="733">
        <f t="shared" si="63"/>
        <v>0</v>
      </c>
      <c r="V69" s="733">
        <f t="shared" si="63"/>
        <v>3</v>
      </c>
      <c r="X69" s="190"/>
      <c r="Y69" s="190"/>
      <c r="Z69" s="190"/>
      <c r="AA69" s="190"/>
      <c r="AB69" s="190"/>
      <c r="AC69" s="190"/>
      <c r="AD69" s="947"/>
      <c r="AE69" s="209"/>
      <c r="AF69" s="948" t="s">
        <v>504</v>
      </c>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102"/>
    </row>
    <row r="70" spans="3:58" x14ac:dyDescent="0.25">
      <c r="C70" s="8"/>
      <c r="D70" s="8"/>
      <c r="I70" s="33"/>
      <c r="J70" s="33"/>
      <c r="K70" s="33"/>
      <c r="L70" s="33"/>
      <c r="N70" s="8"/>
      <c r="O70" s="8"/>
      <c r="P70"/>
      <c r="Q70"/>
      <c r="S70" s="8"/>
      <c r="T70" s="8"/>
      <c r="U70"/>
      <c r="V70"/>
      <c r="X70" s="190"/>
      <c r="Y70" s="190"/>
      <c r="Z70" s="190"/>
      <c r="AA70" s="190"/>
      <c r="AB70" s="190"/>
      <c r="AC70" s="190"/>
      <c r="AD70" s="947"/>
      <c r="AE70" s="209"/>
      <c r="AF70" s="209"/>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102"/>
    </row>
    <row r="71" spans="3:58" x14ac:dyDescent="0.25">
      <c r="C71" s="734" t="s">
        <v>177</v>
      </c>
      <c r="D71" s="735" t="s">
        <v>299</v>
      </c>
      <c r="F71" t="s">
        <v>236</v>
      </c>
      <c r="I71" s="734" t="s">
        <v>177</v>
      </c>
      <c r="J71" s="735" t="s">
        <v>299</v>
      </c>
      <c r="K71" s="33"/>
      <c r="L71" t="s">
        <v>236</v>
      </c>
      <c r="N71" s="734" t="s">
        <v>177</v>
      </c>
      <c r="O71" s="735" t="s">
        <v>299</v>
      </c>
      <c r="P71"/>
      <c r="Q71" t="s">
        <v>236</v>
      </c>
      <c r="S71" s="734" t="s">
        <v>177</v>
      </c>
      <c r="T71" s="735" t="s">
        <v>299</v>
      </c>
      <c r="U71"/>
      <c r="V71" t="s">
        <v>236</v>
      </c>
      <c r="AD71" s="657"/>
      <c r="AE71" s="17"/>
      <c r="AF71" s="7"/>
      <c r="AG71" s="7"/>
      <c r="AH71" s="7"/>
      <c r="AI71" s="1240" t="s">
        <v>498</v>
      </c>
      <c r="AJ71" s="1241"/>
      <c r="AK71" s="1240" t="s">
        <v>505</v>
      </c>
      <c r="AL71" s="1241"/>
      <c r="AM71" s="7"/>
      <c r="AN71" s="7"/>
      <c r="AO71" s="7"/>
      <c r="AP71" s="7"/>
      <c r="AQ71" s="7"/>
      <c r="AR71" s="7"/>
      <c r="AS71" s="7"/>
      <c r="AT71" s="7"/>
      <c r="AU71" s="7"/>
      <c r="AV71" s="7"/>
      <c r="AW71" s="7"/>
      <c r="AX71" s="7"/>
      <c r="AY71" s="7"/>
      <c r="AZ71" s="7"/>
      <c r="BA71" s="7"/>
      <c r="BB71" s="7"/>
      <c r="BC71" s="7"/>
      <c r="BD71" s="7"/>
      <c r="BE71" s="7"/>
      <c r="BF71" s="102"/>
    </row>
    <row r="72" spans="3:58" x14ac:dyDescent="0.25">
      <c r="C72" s="734">
        <f>SUMPRODUCT($C$69:$F$69,$Q$35:$T$35)</f>
        <v>0.17929265249822182</v>
      </c>
      <c r="D72" s="736">
        <f>SUMPRODUCT(C$69:F$69,$V57:$Y57)</f>
        <v>7.2768711053403727</v>
      </c>
      <c r="F72" s="737">
        <f>(D72-C72)/C72</f>
        <v>39.586555020220601</v>
      </c>
      <c r="I72" s="734">
        <f>SUMPRODUCT($I$69:$L$69,$Q$37:$T$37)</f>
        <v>10.794037588872058</v>
      </c>
      <c r="J72" s="736">
        <f>SUMPRODUCT(I$69:L$69,$V57:$Y57)</f>
        <v>1.7006308310428304</v>
      </c>
      <c r="K72" s="33"/>
      <c r="L72" s="737">
        <f>(J72-I72)/I72</f>
        <v>-0.84244720133307038</v>
      </c>
      <c r="N72" s="734">
        <f>SUMPRODUCT($N$69:$Q$69,$Q$39:$T$39)</f>
        <v>1.5</v>
      </c>
      <c r="O72" s="736">
        <f>SUMPRODUCT(N$69:Q$69,$V57:$Y57)</f>
        <v>2.9007936507936507</v>
      </c>
      <c r="P72"/>
      <c r="Q72" s="737">
        <f>(O72-N72)/N72</f>
        <v>0.93386243386243384</v>
      </c>
      <c r="S72" s="734">
        <f>SUMPRODUCT($S$69:$V$69,$Q$41:$T$41)</f>
        <v>1.5</v>
      </c>
      <c r="T72" s="736">
        <f>SUMPRODUCT(S$69:V$69,$V57:$Y57)</f>
        <v>9.9206349206349187E-2</v>
      </c>
      <c r="U72"/>
      <c r="V72" s="737">
        <f>(T72-S72)/S72</f>
        <v>-0.93386243386243384</v>
      </c>
      <c r="AD72" s="657"/>
      <c r="AE72" s="17"/>
      <c r="AF72" s="7"/>
      <c r="AG72" s="930" t="s">
        <v>178</v>
      </c>
      <c r="AH72" s="930" t="s">
        <v>508</v>
      </c>
      <c r="AI72" s="961" t="s">
        <v>507</v>
      </c>
      <c r="AJ72" s="962" t="s">
        <v>509</v>
      </c>
      <c r="AK72" s="961" t="s">
        <v>506</v>
      </c>
      <c r="AL72" s="962" t="s">
        <v>509</v>
      </c>
      <c r="AM72" s="7"/>
      <c r="AN72" s="7"/>
      <c r="AO72" s="7"/>
      <c r="AP72" s="7"/>
      <c r="AQ72" s="7"/>
      <c r="AR72" s="7"/>
      <c r="AS72" s="7"/>
      <c r="AT72" s="7"/>
      <c r="AU72" s="7"/>
      <c r="AV72" s="7"/>
      <c r="AW72" s="7"/>
      <c r="AX72" s="7"/>
      <c r="AY72" s="7"/>
      <c r="AZ72" s="7"/>
      <c r="BA72" s="7"/>
      <c r="BB72" s="7"/>
      <c r="BC72" s="7"/>
      <c r="BD72" s="7"/>
      <c r="BE72" s="7"/>
      <c r="BF72" s="102"/>
    </row>
    <row r="73" spans="3:58" x14ac:dyDescent="0.25">
      <c r="C73" s="734">
        <f t="shared" ref="C73:C76" si="64">SUMPRODUCT($C$69:$F$69,$Q$35:$T$35)</f>
        <v>0.17929265249822182</v>
      </c>
      <c r="D73" s="736">
        <f t="shared" ref="D73:D76" si="65">SUMPRODUCT(C$69:F$69,$V58:$Y58)</f>
        <v>3.5917219468350545</v>
      </c>
      <c r="F73" s="737">
        <f>(D73-C73)/C73</f>
        <v>19.032733616179147</v>
      </c>
      <c r="I73" s="734">
        <f t="shared" ref="I73:I76" si="66">SUMPRODUCT($I$69:$L$69,$Q$37:$T$37)</f>
        <v>10.794037588872058</v>
      </c>
      <c r="J73" s="736">
        <f t="shared" ref="J73:J76" si="67">SUMPRODUCT(I$69:L$69,$V58:$Y58)</f>
        <v>5.8331779626279063</v>
      </c>
      <c r="K73" s="33"/>
      <c r="L73" s="737">
        <f>(J73-I73)/I73</f>
        <v>-0.45959258390562502</v>
      </c>
      <c r="N73" s="734">
        <f t="shared" ref="N73:N76" si="68">SUMPRODUCT($N$69:$Q$69,$Q$39:$T$39)</f>
        <v>1.5</v>
      </c>
      <c r="O73" s="736">
        <f>SUMPRODUCT(N$69:Q$69,$V58:$Y58)</f>
        <v>2.1388888888888893</v>
      </c>
      <c r="P73"/>
      <c r="Q73" s="737">
        <f>(O73-N73)/N73</f>
        <v>0.42592592592592621</v>
      </c>
      <c r="S73" s="734">
        <f t="shared" ref="S73:S76" si="69">SUMPRODUCT($S$69:$V$69,$Q$41:$T$41)</f>
        <v>1.5</v>
      </c>
      <c r="T73" s="736">
        <f t="shared" ref="T73:T76" si="70">SUMPRODUCT(S$69:V$69,$V58:$Y58)</f>
        <v>0.86111111111111116</v>
      </c>
      <c r="U73"/>
      <c r="V73" s="737">
        <f>(T73-S73)/S73</f>
        <v>-0.42592592592592587</v>
      </c>
      <c r="AD73" s="657"/>
      <c r="AE73" s="191" t="s">
        <v>510</v>
      </c>
      <c r="AF73" s="735">
        <v>100</v>
      </c>
      <c r="AG73" s="255">
        <f>SUMPRODUCT(AK83:AN83,$AG$64:$AJ$64)</f>
        <v>0.74955918262361609</v>
      </c>
      <c r="AH73" s="255">
        <f>AG73-$AG$66</f>
        <v>-1.200123362148507</v>
      </c>
      <c r="AI73" s="963">
        <v>0.05</v>
      </c>
      <c r="AJ73" s="964"/>
      <c r="AK73" s="963">
        <v>0.18</v>
      </c>
      <c r="AL73" s="964"/>
      <c r="AM73" s="7"/>
      <c r="AN73" s="7"/>
      <c r="AO73" s="7"/>
      <c r="AP73" s="7"/>
      <c r="AQ73" s="7"/>
      <c r="AR73" s="7"/>
      <c r="AS73" s="7"/>
      <c r="AT73" s="7"/>
      <c r="AU73" s="7"/>
      <c r="AV73" s="7"/>
      <c r="AW73" s="7"/>
      <c r="AX73" s="7"/>
      <c r="AY73" s="7"/>
      <c r="AZ73" s="7"/>
      <c r="BA73" s="7"/>
      <c r="BB73" s="7"/>
      <c r="BC73" s="7"/>
      <c r="BD73" s="7"/>
      <c r="BE73" s="7"/>
      <c r="BF73" s="102"/>
    </row>
    <row r="74" spans="3:58" x14ac:dyDescent="0.25">
      <c r="C74" s="734">
        <f t="shared" si="64"/>
        <v>0.17929265249822182</v>
      </c>
      <c r="D74" s="736">
        <f t="shared" si="65"/>
        <v>2.5551043284680994</v>
      </c>
      <c r="F74" s="737">
        <f>(D74-C74)/C74</f>
        <v>13.25102642448463</v>
      </c>
      <c r="I74" s="734">
        <f t="shared" si="66"/>
        <v>10.794037588872058</v>
      </c>
      <c r="J74" s="736">
        <f t="shared" si="67"/>
        <v>7.7655091056800991</v>
      </c>
      <c r="K74" s="33"/>
      <c r="L74" s="737">
        <f>(J74-I74)/I74</f>
        <v>-0.28057420203114469</v>
      </c>
      <c r="N74" s="734">
        <f t="shared" si="68"/>
        <v>1.5</v>
      </c>
      <c r="O74" s="736">
        <f>SUMPRODUCT(N$69:Q$69,$V59:$Y59)</f>
        <v>1.8214285714285716</v>
      </c>
      <c r="P74"/>
      <c r="Q74" s="737">
        <f>(O74-N74)/N74</f>
        <v>0.21428571428571441</v>
      </c>
      <c r="S74" s="734">
        <f t="shared" si="69"/>
        <v>1.5</v>
      </c>
      <c r="T74" s="736">
        <f t="shared" si="70"/>
        <v>1.1785714285714286</v>
      </c>
      <c r="U74"/>
      <c r="V74" s="737">
        <f>(T74-S74)/S74</f>
        <v>-0.21428571428571427</v>
      </c>
      <c r="AD74" s="657"/>
      <c r="AE74" s="191" t="s">
        <v>501</v>
      </c>
      <c r="AF74" s="735">
        <v>123</v>
      </c>
      <c r="AG74" s="255">
        <f>SUMPRODUCT(AK88:AN88,$AG$64:$AJ$64)</f>
        <v>1.350261370292803</v>
      </c>
      <c r="AH74" s="255">
        <f t="shared" ref="AH74:AH77" si="71">AG74-$AG$66</f>
        <v>-0.59942117447932008</v>
      </c>
      <c r="AI74" s="963">
        <v>0.1</v>
      </c>
      <c r="AJ74" s="779"/>
      <c r="AK74" s="963">
        <v>0.19</v>
      </c>
      <c r="AL74" s="779"/>
      <c r="AM74" s="7"/>
      <c r="AN74" s="7"/>
      <c r="AO74" s="7"/>
      <c r="AP74" s="7"/>
      <c r="AQ74" s="7"/>
      <c r="AR74" s="7"/>
      <c r="AS74" s="7"/>
      <c r="AT74" s="7"/>
      <c r="AU74" s="7"/>
      <c r="AV74" s="7"/>
      <c r="AW74" s="7"/>
      <c r="AX74" s="7"/>
      <c r="AY74" s="7"/>
      <c r="AZ74" s="7"/>
      <c r="BA74" s="7"/>
      <c r="BB74" s="7"/>
      <c r="BC74" s="7"/>
      <c r="BD74" s="7"/>
      <c r="BE74" s="7"/>
      <c r="BF74" s="102"/>
    </row>
    <row r="75" spans="3:58" x14ac:dyDescent="0.25">
      <c r="C75" s="734">
        <f t="shared" si="64"/>
        <v>0.17929265249822182</v>
      </c>
      <c r="D75" s="736">
        <f t="shared" si="65"/>
        <v>1.2704605769483734</v>
      </c>
      <c r="F75" s="737">
        <f>(D75-C75)/C75</f>
        <v>6.0859600727975929</v>
      </c>
      <c r="I75" s="734">
        <f t="shared" si="66"/>
        <v>10.794037588872058</v>
      </c>
      <c r="J75" s="736">
        <f t="shared" si="67"/>
        <v>11.23883476751214</v>
      </c>
      <c r="K75" s="33"/>
      <c r="L75" s="737">
        <f>(J75-I75)/I75</f>
        <v>4.1207673678905689E-2</v>
      </c>
      <c r="N75" s="734">
        <f t="shared" si="68"/>
        <v>1.5</v>
      </c>
      <c r="O75" s="736">
        <f>SUMPRODUCT(N$69:Q$69,$V60:$Y60)</f>
        <v>1.2857142857142856</v>
      </c>
      <c r="P75"/>
      <c r="Q75" s="737">
        <f>(O75-N75)/N75</f>
        <v>-0.14285714285714293</v>
      </c>
      <c r="S75" s="734">
        <f t="shared" si="69"/>
        <v>1.5</v>
      </c>
      <c r="T75" s="736">
        <f>SUMPRODUCT(S$69:V$69,$V60:$Y60)</f>
        <v>1.7142857142857144</v>
      </c>
      <c r="U75"/>
      <c r="V75" s="737">
        <f>(T75-S75)/S75</f>
        <v>0.14285714285714293</v>
      </c>
      <c r="AD75" s="657"/>
      <c r="AE75" s="656" t="s">
        <v>500</v>
      </c>
      <c r="AF75" s="735">
        <v>125</v>
      </c>
      <c r="AG75" s="255">
        <f>SUMPRODUCT(AK93:AN93,$AG$64:$AJ$64)</f>
        <v>1.4083523104409825</v>
      </c>
      <c r="AH75" s="255">
        <f>AG75-$AG$66</f>
        <v>-0.54133023433114058</v>
      </c>
      <c r="AI75" s="963">
        <v>0.7</v>
      </c>
      <c r="AJ75" s="959"/>
      <c r="AK75" s="963">
        <v>0.26</v>
      </c>
      <c r="AL75" s="959"/>
      <c r="AM75" s="7"/>
      <c r="AN75" s="7"/>
      <c r="AO75" s="7"/>
      <c r="AP75" s="7"/>
      <c r="AQ75" s="7"/>
      <c r="AR75" s="7"/>
      <c r="AS75" s="7"/>
      <c r="AT75" s="7"/>
      <c r="AU75" s="7"/>
      <c r="AV75" s="7"/>
      <c r="AW75" s="7"/>
      <c r="AX75" s="7"/>
      <c r="AY75" s="7"/>
      <c r="AZ75" s="7"/>
      <c r="BA75" s="7"/>
      <c r="BB75" s="7"/>
      <c r="BC75" s="7"/>
      <c r="BD75" s="7"/>
      <c r="BE75" s="7"/>
      <c r="BF75" s="102"/>
    </row>
    <row r="76" spans="3:58" x14ac:dyDescent="0.25">
      <c r="C76" s="734">
        <f t="shared" si="64"/>
        <v>0.17929265249822182</v>
      </c>
      <c r="D76" s="736">
        <f t="shared" si="65"/>
        <v>6.9541657386630207E-2</v>
      </c>
      <c r="F76" s="737">
        <f>(D76-C76)/C76</f>
        <v>-0.61213325578235889</v>
      </c>
      <c r="I76" s="734">
        <f t="shared" si="66"/>
        <v>10.794037588872058</v>
      </c>
      <c r="J76" s="736">
        <f t="shared" si="67"/>
        <v>18.693168619030487</v>
      </c>
      <c r="K76" s="33"/>
      <c r="L76" s="737">
        <f>(J76-I76)/I76</f>
        <v>0.73180503265079544</v>
      </c>
      <c r="N76" s="734">
        <f t="shared" si="68"/>
        <v>1.5</v>
      </c>
      <c r="O76" s="736">
        <f>SUMPRODUCT(N$69:Q$69,$V61:$Y61)</f>
        <v>0.23412698412698407</v>
      </c>
      <c r="P76"/>
      <c r="Q76" s="737">
        <f>(O76-N76)/N76</f>
        <v>-0.84391534391534384</v>
      </c>
      <c r="S76" s="734">
        <f t="shared" si="69"/>
        <v>1.5</v>
      </c>
      <c r="T76" s="736">
        <f t="shared" si="70"/>
        <v>2.7658730158730158</v>
      </c>
      <c r="U76"/>
      <c r="V76" s="737">
        <f>(T76-S76)/S76</f>
        <v>0.84391534391534384</v>
      </c>
      <c r="AD76" s="657"/>
      <c r="AE76" s="656" t="s">
        <v>499</v>
      </c>
      <c r="AF76" s="735">
        <v>127</v>
      </c>
      <c r="AG76" s="255">
        <f>SUMPRODUCT(AK98:AN98,$AG$64:$AJ$64)</f>
        <v>1.4673802059888037</v>
      </c>
      <c r="AH76" s="255">
        <f t="shared" si="71"/>
        <v>-0.48230233878331941</v>
      </c>
      <c r="AI76" s="963">
        <v>0.1</v>
      </c>
      <c r="AJ76" s="959"/>
      <c r="AK76" s="963">
        <v>0.19</v>
      </c>
      <c r="AL76" s="959"/>
      <c r="AM76" s="7"/>
      <c r="AN76" s="7"/>
      <c r="AO76" s="7"/>
      <c r="AP76" s="7"/>
      <c r="AQ76" s="7"/>
      <c r="AR76" s="7"/>
      <c r="AS76" s="7"/>
      <c r="AT76" s="7"/>
      <c r="AU76" s="7"/>
      <c r="AV76" s="7"/>
      <c r="AW76" s="7"/>
      <c r="AX76" s="7"/>
      <c r="AY76" s="7"/>
      <c r="AZ76" s="7"/>
      <c r="BA76" s="7"/>
      <c r="BB76" s="7"/>
      <c r="BC76" s="7"/>
      <c r="BD76" s="7"/>
      <c r="BE76" s="7"/>
      <c r="BF76" s="102"/>
    </row>
    <row r="77" spans="3:58" ht="15.75" thickBot="1" x14ac:dyDescent="0.3">
      <c r="L77" s="112"/>
      <c r="M77" s="734"/>
      <c r="N77" s="734"/>
      <c r="O77" s="734"/>
      <c r="P77" s="734"/>
      <c r="AD77" s="657"/>
      <c r="AE77" s="191" t="s">
        <v>503</v>
      </c>
      <c r="AF77" s="735">
        <v>150</v>
      </c>
      <c r="AG77" s="255">
        <f>SUMPRODUCT(AK103:AN103,$AG$64:$AJ$64)</f>
        <v>2.2135447194523996</v>
      </c>
      <c r="AH77" s="255">
        <f t="shared" si="71"/>
        <v>0.26386217468027651</v>
      </c>
      <c r="AI77" s="965">
        <v>0.05</v>
      </c>
      <c r="AJ77" s="964"/>
      <c r="AK77" s="965">
        <v>0.18</v>
      </c>
      <c r="AL77" s="964"/>
      <c r="AM77" s="7"/>
      <c r="AN77" s="7"/>
      <c r="AO77" s="7"/>
      <c r="AP77" s="7"/>
      <c r="AQ77" s="7"/>
      <c r="AR77" s="7"/>
      <c r="AS77" s="7"/>
      <c r="AT77" s="7"/>
      <c r="AU77" s="7"/>
      <c r="AV77" s="7"/>
      <c r="AW77" s="7"/>
      <c r="AX77" s="7"/>
      <c r="AY77" s="7"/>
      <c r="AZ77" s="7"/>
      <c r="BA77" s="7"/>
      <c r="BB77" s="7"/>
      <c r="BC77" s="7"/>
      <c r="BD77" s="7"/>
      <c r="BE77" s="7"/>
      <c r="BF77" s="102"/>
    </row>
    <row r="78" spans="3:58" ht="16.5" thickTop="1" thickBot="1" x14ac:dyDescent="0.3">
      <c r="AD78" s="657"/>
      <c r="AE78" s="17"/>
      <c r="AF78" s="7"/>
      <c r="AG78" s="930"/>
      <c r="AH78" s="930"/>
      <c r="AI78" s="828">
        <f>SUM(AI73:AI77)</f>
        <v>1</v>
      </c>
      <c r="AJ78" s="960">
        <f>SUMPRODUCT($AH$73:$AH$77,AI73:AI77)</f>
        <v>-0.53391657473147391</v>
      </c>
      <c r="AK78" s="828">
        <f>SUM(AK73:AK77)</f>
        <v>1</v>
      </c>
      <c r="AL78" s="960">
        <f>SUMPRODUCT($AH$73:$AH$77,AK73:AK77)</f>
        <v>-0.51480034219027959</v>
      </c>
      <c r="AM78" s="7"/>
      <c r="AN78" s="7" t="s">
        <v>513</v>
      </c>
      <c r="AO78" s="7"/>
      <c r="AP78" s="7"/>
      <c r="AQ78" s="7"/>
      <c r="AR78" s="7"/>
      <c r="AS78" s="7"/>
      <c r="AT78" s="7"/>
      <c r="AU78" s="7"/>
      <c r="AV78" s="7"/>
      <c r="AW78" s="7"/>
      <c r="AX78" s="7"/>
      <c r="AY78" s="7"/>
      <c r="AZ78" s="7"/>
      <c r="BA78" s="7"/>
      <c r="BB78" s="7"/>
      <c r="BC78" s="7"/>
      <c r="BD78" s="7"/>
      <c r="BE78" s="7"/>
      <c r="BF78" s="102"/>
    </row>
    <row r="79" spans="3:58" x14ac:dyDescent="0.25">
      <c r="K79" s="8"/>
      <c r="L79" s="8"/>
      <c r="M79" s="86" t="s">
        <v>300</v>
      </c>
      <c r="N79" s="86" t="s">
        <v>301</v>
      </c>
      <c r="O79" s="145" t="s">
        <v>302</v>
      </c>
      <c r="P79" s="734" t="s">
        <v>303</v>
      </c>
      <c r="Q79" s="145" t="s">
        <v>304</v>
      </c>
      <c r="R79" s="142"/>
      <c r="S79" s="142"/>
      <c r="T79" s="142"/>
      <c r="U79" s="142"/>
      <c r="AD79" s="657"/>
      <c r="AE79" s="17"/>
      <c r="AF79" s="7"/>
      <c r="AG79" s="7"/>
      <c r="AH79" s="7"/>
      <c r="AI79" s="7"/>
      <c r="AJ79" s="7"/>
      <c r="AK79" s="7"/>
      <c r="AL79" s="7"/>
      <c r="AM79" s="7"/>
      <c r="AN79" s="7" t="s">
        <v>514</v>
      </c>
      <c r="AO79" s="7"/>
      <c r="AP79" s="7"/>
      <c r="AQ79" s="7"/>
      <c r="AR79" s="7"/>
      <c r="AS79" s="7"/>
      <c r="AT79" s="7"/>
      <c r="AU79" s="7"/>
      <c r="AV79" s="7"/>
      <c r="AW79" s="7"/>
      <c r="AX79" s="7"/>
      <c r="AY79" s="7"/>
      <c r="AZ79" s="7"/>
      <c r="BA79" s="7"/>
      <c r="BB79" s="7"/>
      <c r="BC79" s="7"/>
      <c r="BD79" s="7"/>
      <c r="BE79" s="7"/>
      <c r="BF79" s="102"/>
    </row>
    <row r="80" spans="3:58" x14ac:dyDescent="0.25">
      <c r="I80" s="463"/>
      <c r="J80" s="736"/>
      <c r="K80" s="482"/>
      <c r="L80" s="8"/>
      <c r="M80" s="738">
        <f>M48</f>
        <v>65</v>
      </c>
      <c r="N80" s="739"/>
      <c r="O80" s="740">
        <f>L72</f>
        <v>-0.84244720133307038</v>
      </c>
      <c r="P80" s="740">
        <f>Q72</f>
        <v>0.93386243386243384</v>
      </c>
      <c r="Q80" s="740">
        <f>V72</f>
        <v>-0.93386243386243384</v>
      </c>
      <c r="R80" s="145"/>
      <c r="S80" s="145"/>
      <c r="T80" s="145"/>
      <c r="U80" s="142"/>
      <c r="AD80" s="657"/>
      <c r="AE80" s="17"/>
      <c r="AF80" s="7"/>
      <c r="AG80" s="7"/>
      <c r="AH80" s="7"/>
      <c r="AI80" s="7"/>
      <c r="AJ80" s="7" t="s">
        <v>511</v>
      </c>
      <c r="AK80" s="967">
        <f>AL78-AJ78</f>
        <v>1.9116232541194322E-2</v>
      </c>
      <c r="AL80" s="7"/>
      <c r="AM80" s="7"/>
      <c r="AN80" s="7" t="s">
        <v>515</v>
      </c>
      <c r="AO80" s="7"/>
      <c r="AP80" s="7"/>
      <c r="AQ80" s="7"/>
      <c r="AR80" s="7"/>
      <c r="AS80" s="7"/>
      <c r="AT80" s="7"/>
      <c r="AU80" s="7"/>
      <c r="AV80" s="7"/>
      <c r="AW80" s="7"/>
      <c r="AX80" s="7"/>
      <c r="AY80" s="7"/>
      <c r="AZ80" s="7"/>
      <c r="BA80" s="7"/>
      <c r="BB80" s="7"/>
      <c r="BC80" s="7"/>
      <c r="BD80" s="7"/>
      <c r="BE80" s="7"/>
      <c r="BF80" s="102"/>
    </row>
    <row r="81" spans="4:58" x14ac:dyDescent="0.25">
      <c r="I81" s="463"/>
      <c r="J81" s="736"/>
      <c r="K81" s="482"/>
      <c r="L81" s="144"/>
      <c r="M81" s="738">
        <f>M52</f>
        <v>95</v>
      </c>
      <c r="N81" s="739"/>
      <c r="O81" s="740">
        <f>L73</f>
        <v>-0.45959258390562502</v>
      </c>
      <c r="P81" s="740">
        <f t="shared" ref="P81:P84" si="72">Q73</f>
        <v>0.42592592592592621</v>
      </c>
      <c r="Q81" s="740">
        <f t="shared" ref="Q81:Q84" si="73">V73</f>
        <v>-0.42592592592592587</v>
      </c>
      <c r="R81" s="628"/>
      <c r="S81" s="628"/>
      <c r="T81" s="628"/>
      <c r="U81" s="142"/>
      <c r="AD81" s="657"/>
      <c r="AE81" s="17" t="s">
        <v>501</v>
      </c>
      <c r="AF81" s="7"/>
      <c r="AG81" s="7"/>
      <c r="AH81" s="7"/>
      <c r="AI81" s="7"/>
      <c r="AJ81" s="7" t="s">
        <v>512</v>
      </c>
      <c r="AK81" s="616">
        <f>AK80/AG66</f>
        <v>9.8047923711747694E-3</v>
      </c>
      <c r="AL81" s="7"/>
      <c r="AM81" s="7"/>
      <c r="AN81" s="7"/>
      <c r="AO81" s="7"/>
      <c r="AP81" s="7"/>
      <c r="AQ81" s="7"/>
      <c r="AR81" s="7"/>
      <c r="AS81" s="7"/>
      <c r="AT81" s="7"/>
      <c r="AU81" s="7"/>
      <c r="AV81" s="7"/>
      <c r="AW81" s="7"/>
      <c r="AX81" s="7"/>
      <c r="AY81" s="7"/>
      <c r="AZ81" s="7"/>
      <c r="BA81" s="7"/>
      <c r="BB81" s="7"/>
      <c r="BC81" s="7"/>
      <c r="BD81" s="7"/>
      <c r="BE81" s="7"/>
      <c r="BF81" s="102"/>
    </row>
    <row r="82" spans="4:58" ht="15.75" thickBot="1" x14ac:dyDescent="0.3">
      <c r="I82" s="463"/>
      <c r="J82" s="736"/>
      <c r="K82" s="482"/>
      <c r="L82" s="144"/>
      <c r="M82" s="738">
        <f>M56</f>
        <v>105</v>
      </c>
      <c r="N82" s="739"/>
      <c r="O82" s="740">
        <f>L74</f>
        <v>-0.28057420203114469</v>
      </c>
      <c r="P82" s="740">
        <f t="shared" si="72"/>
        <v>0.21428571428571441</v>
      </c>
      <c r="Q82" s="740">
        <f t="shared" si="73"/>
        <v>-0.21428571428571427</v>
      </c>
      <c r="R82" s="628"/>
      <c r="S82" s="628"/>
      <c r="T82" s="628"/>
      <c r="U82" s="142"/>
      <c r="AD82" s="657"/>
      <c r="AE82" s="1"/>
      <c r="AF82" s="152"/>
      <c r="AG82" s="152" t="s">
        <v>174</v>
      </c>
      <c r="AH82" s="289" t="s">
        <v>154</v>
      </c>
      <c r="AI82" s="239" t="s">
        <v>171</v>
      </c>
      <c r="AJ82" s="17"/>
      <c r="AK82" s="17"/>
      <c r="AL82" s="280"/>
      <c r="AM82" s="17"/>
      <c r="AN82" s="280"/>
      <c r="AO82" s="7"/>
      <c r="AP82" s="7"/>
      <c r="AQ82" s="7"/>
      <c r="AR82" s="7"/>
      <c r="AS82" s="7"/>
      <c r="AT82" s="7"/>
      <c r="AU82" s="7"/>
      <c r="AV82" s="7"/>
      <c r="AW82" s="7"/>
      <c r="AX82" s="7"/>
      <c r="AY82" s="7"/>
      <c r="AZ82" s="7"/>
      <c r="BA82" s="7"/>
      <c r="BB82" s="7"/>
      <c r="BC82" s="7"/>
      <c r="BD82" s="7"/>
      <c r="BE82" s="7"/>
      <c r="BF82" s="102"/>
    </row>
    <row r="83" spans="4:58" ht="15.75" thickBot="1" x14ac:dyDescent="0.3">
      <c r="D83" t="s">
        <v>305</v>
      </c>
      <c r="I83" s="463"/>
      <c r="J83" s="736"/>
      <c r="K83" s="482"/>
      <c r="L83" s="144"/>
      <c r="M83" s="738">
        <f>M60</f>
        <v>120</v>
      </c>
      <c r="N83" s="739">
        <f>F75</f>
        <v>6.0859600727975929</v>
      </c>
      <c r="O83" s="740">
        <f>L75</f>
        <v>4.1207673678905689E-2</v>
      </c>
      <c r="P83" s="740">
        <f t="shared" si="72"/>
        <v>-0.14285714285714293</v>
      </c>
      <c r="Q83" s="740">
        <f t="shared" si="73"/>
        <v>0.14285714285714293</v>
      </c>
      <c r="R83" s="382"/>
      <c r="S83" s="382"/>
      <c r="T83" s="382"/>
      <c r="U83" s="142"/>
      <c r="AD83" s="657"/>
      <c r="AE83" s="5"/>
      <c r="AF83" s="21" t="s">
        <v>172</v>
      </c>
      <c r="AG83" s="429">
        <f>AF73</f>
        <v>100</v>
      </c>
      <c r="AH83" s="468">
        <f>(AG83-$N$6)/$N$8</f>
        <v>0.44444444444444442</v>
      </c>
      <c r="AI83" s="469">
        <f>1-AH83</f>
        <v>0.55555555555555558</v>
      </c>
      <c r="AJ83" s="262"/>
      <c r="AK83" s="470">
        <f>AI83*AI84</f>
        <v>0.36743092298647856</v>
      </c>
      <c r="AL83" s="471">
        <f>AH84*AI83</f>
        <v>0.18812463256907702</v>
      </c>
      <c r="AM83" s="471">
        <f>AH83*AI84</f>
        <v>0.29394473838918284</v>
      </c>
      <c r="AN83" s="472">
        <f>AH83*AH84</f>
        <v>0.15049970605526158</v>
      </c>
      <c r="AO83" s="7"/>
      <c r="AP83" s="7"/>
      <c r="AQ83" s="7"/>
      <c r="AR83" s="7"/>
      <c r="AS83" s="7"/>
      <c r="AT83" s="7"/>
      <c r="AU83" s="7"/>
      <c r="AV83" s="7"/>
      <c r="AW83" s="7"/>
      <c r="AX83" s="7"/>
      <c r="AY83" s="7"/>
      <c r="AZ83" s="7"/>
      <c r="BA83" s="7"/>
      <c r="BB83" s="7"/>
      <c r="BC83" s="7"/>
      <c r="BD83" s="7"/>
      <c r="BE83" s="7"/>
      <c r="BF83" s="102"/>
    </row>
    <row r="84" spans="4:58" x14ac:dyDescent="0.25">
      <c r="I84" s="463"/>
      <c r="J84" s="736"/>
      <c r="K84" s="482"/>
      <c r="L84" s="8"/>
      <c r="M84" s="738">
        <f>M64</f>
        <v>145</v>
      </c>
      <c r="N84" s="739">
        <f>F76</f>
        <v>-0.61213325578235889</v>
      </c>
      <c r="O84" s="740">
        <f>L76</f>
        <v>0.73180503265079544</v>
      </c>
      <c r="P84" s="740">
        <f t="shared" si="72"/>
        <v>-0.84391534391534384</v>
      </c>
      <c r="Q84" s="740">
        <f t="shared" si="73"/>
        <v>0.84391534391534384</v>
      </c>
      <c r="R84" s="142"/>
      <c r="S84" s="142"/>
      <c r="T84" s="142"/>
      <c r="U84" s="142"/>
      <c r="AD84" s="657"/>
      <c r="AE84" s="2"/>
      <c r="AF84" s="694" t="s">
        <v>292</v>
      </c>
      <c r="AG84" s="714">
        <f>AG83^2</f>
        <v>10000</v>
      </c>
      <c r="AH84" s="433">
        <f>(AG84-$N$14)/$N$16</f>
        <v>0.33862433862433861</v>
      </c>
      <c r="AI84" s="434">
        <f>1-AH84</f>
        <v>0.66137566137566139</v>
      </c>
      <c r="AJ84" s="17"/>
      <c r="AK84" s="17"/>
      <c r="AL84" s="17"/>
      <c r="AM84" s="17"/>
      <c r="AN84" s="17"/>
      <c r="AO84" s="7"/>
      <c r="AP84" s="7"/>
      <c r="AQ84" s="7"/>
      <c r="AR84" s="7"/>
      <c r="AS84" s="7"/>
      <c r="AT84" s="7"/>
      <c r="AU84" s="7"/>
      <c r="AV84" s="7"/>
      <c r="AW84" s="7"/>
      <c r="AX84" s="7"/>
      <c r="AY84" s="7"/>
      <c r="AZ84" s="7"/>
      <c r="BA84" s="7"/>
      <c r="BB84" s="7"/>
      <c r="BC84" s="7"/>
      <c r="BD84" s="7"/>
      <c r="BE84" s="7"/>
      <c r="BF84" s="102"/>
    </row>
    <row r="85" spans="4:58" x14ac:dyDescent="0.25">
      <c r="D85" t="s">
        <v>306</v>
      </c>
      <c r="K85" s="8"/>
      <c r="L85" s="8"/>
      <c r="M85" s="142"/>
      <c r="N85" s="142"/>
      <c r="O85" s="142"/>
      <c r="P85" s="382"/>
      <c r="Q85" s="142"/>
      <c r="R85" s="142"/>
      <c r="S85" s="142"/>
      <c r="T85" s="142"/>
      <c r="U85" s="142"/>
      <c r="AD85" s="657"/>
      <c r="AE85" s="1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102"/>
    </row>
    <row r="86" spans="4:58" x14ac:dyDescent="0.25">
      <c r="K86" s="8"/>
      <c r="L86" s="8"/>
      <c r="M86" s="142"/>
      <c r="N86" s="142"/>
      <c r="O86" s="142"/>
      <c r="P86" s="142"/>
      <c r="Q86" s="142"/>
      <c r="R86" s="142"/>
      <c r="S86" s="142"/>
      <c r="T86" s="142"/>
      <c r="U86" s="142"/>
      <c r="AD86" s="657"/>
      <c r="AE86" s="656" t="s">
        <v>500</v>
      </c>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102"/>
    </row>
    <row r="87" spans="4:58" ht="15.75" thickBot="1" x14ac:dyDescent="0.3">
      <c r="K87" s="8"/>
      <c r="L87" s="8"/>
      <c r="M87" s="142"/>
      <c r="N87" s="142"/>
      <c r="O87" s="142"/>
      <c r="P87" s="142"/>
      <c r="Q87" s="142"/>
      <c r="R87" s="142"/>
      <c r="S87" s="142"/>
      <c r="T87" s="142"/>
      <c r="U87" s="142"/>
      <c r="AD87" s="657"/>
      <c r="AE87" s="1"/>
      <c r="AF87" s="152"/>
      <c r="AG87" s="152" t="s">
        <v>174</v>
      </c>
      <c r="AH87" s="289" t="s">
        <v>154</v>
      </c>
      <c r="AI87" s="239" t="s">
        <v>171</v>
      </c>
      <c r="AJ87" s="17"/>
      <c r="AK87" s="17"/>
      <c r="AL87" s="280"/>
      <c r="AM87" s="17"/>
      <c r="AN87" s="280"/>
      <c r="AO87" s="7"/>
      <c r="AP87" s="7"/>
      <c r="AQ87" s="7"/>
      <c r="AR87" s="7"/>
      <c r="AS87" s="7"/>
      <c r="AT87" s="7"/>
      <c r="AU87" s="7"/>
      <c r="AV87" s="7"/>
      <c r="AW87" s="7"/>
      <c r="AX87" s="7"/>
      <c r="AY87" s="7"/>
      <c r="AZ87" s="7"/>
      <c r="BA87" s="7"/>
      <c r="BB87" s="7"/>
      <c r="BC87" s="7"/>
      <c r="BD87" s="7"/>
      <c r="BE87" s="7"/>
      <c r="BF87" s="102"/>
    </row>
    <row r="88" spans="4:58" ht="15.75" thickBot="1" x14ac:dyDescent="0.3">
      <c r="K88" s="8"/>
      <c r="L88" s="8"/>
      <c r="M88" s="142"/>
      <c r="N88" s="142"/>
      <c r="O88" s="142"/>
      <c r="P88" s="142"/>
      <c r="Q88" s="142"/>
      <c r="R88" s="142"/>
      <c r="S88" s="142"/>
      <c r="T88" s="142"/>
      <c r="U88" s="142"/>
      <c r="AD88" s="657"/>
      <c r="AE88" s="5"/>
      <c r="AF88" s="21" t="s">
        <v>172</v>
      </c>
      <c r="AG88" s="429">
        <f>AF74</f>
        <v>123</v>
      </c>
      <c r="AH88" s="468">
        <f>(AG88-$N$6)/$N$8</f>
        <v>0.7</v>
      </c>
      <c r="AI88" s="469">
        <f>1-AH88</f>
        <v>0.30000000000000004</v>
      </c>
      <c r="AJ88" s="262"/>
      <c r="AK88" s="470">
        <f>AI88*AI89</f>
        <v>0.11700000000000002</v>
      </c>
      <c r="AL88" s="471">
        <f>AH89*AI88</f>
        <v>0.18300000000000002</v>
      </c>
      <c r="AM88" s="471">
        <f>AH88*AI89</f>
        <v>0.27299999999999996</v>
      </c>
      <c r="AN88" s="472">
        <f>AH88*AH89</f>
        <v>0.42699999999999999</v>
      </c>
      <c r="AO88" s="7"/>
      <c r="AP88" s="7"/>
      <c r="AQ88" s="7"/>
      <c r="AR88" s="7"/>
      <c r="AS88" s="7"/>
      <c r="AT88" s="7"/>
      <c r="AU88" s="7"/>
      <c r="AV88" s="7"/>
      <c r="AW88" s="7"/>
      <c r="AX88" s="7"/>
      <c r="AY88" s="7"/>
      <c r="AZ88" s="7"/>
      <c r="BA88" s="7"/>
      <c r="BB88" s="7"/>
      <c r="BC88" s="7"/>
      <c r="BD88" s="7"/>
      <c r="BE88" s="7"/>
      <c r="BF88" s="102"/>
    </row>
    <row r="89" spans="4:58" x14ac:dyDescent="0.25">
      <c r="K89" s="8"/>
      <c r="L89" s="8"/>
      <c r="M89" s="142"/>
      <c r="N89" s="142"/>
      <c r="O89" s="142"/>
      <c r="P89" s="142"/>
      <c r="Q89" s="142"/>
      <c r="R89" s="142"/>
      <c r="S89" s="142"/>
      <c r="T89" s="142"/>
      <c r="U89" s="142"/>
      <c r="AD89" s="657"/>
      <c r="AE89" s="2"/>
      <c r="AF89" s="694" t="s">
        <v>292</v>
      </c>
      <c r="AG89" s="714">
        <f>AG88^2</f>
        <v>15129</v>
      </c>
      <c r="AH89" s="433">
        <f>(AG89-$N$14)/$N$16</f>
        <v>0.61</v>
      </c>
      <c r="AI89" s="434">
        <f>1-AH89</f>
        <v>0.39</v>
      </c>
      <c r="AJ89" s="17"/>
      <c r="AK89" s="17"/>
      <c r="AL89" s="17"/>
      <c r="AM89" s="17"/>
      <c r="AN89" s="17"/>
      <c r="AO89" s="7"/>
      <c r="AP89" s="7"/>
      <c r="AQ89" s="7"/>
      <c r="AR89" s="7"/>
      <c r="AS89" s="7"/>
      <c r="AT89" s="7"/>
      <c r="AU89" s="7"/>
      <c r="AV89" s="7"/>
      <c r="AW89" s="7"/>
      <c r="AX89" s="7"/>
      <c r="AY89" s="7"/>
      <c r="AZ89" s="7"/>
      <c r="BA89" s="7"/>
      <c r="BB89" s="7"/>
      <c r="BC89" s="7"/>
      <c r="BD89" s="7"/>
      <c r="BE89" s="7"/>
      <c r="BF89" s="102"/>
    </row>
    <row r="90" spans="4:58" x14ac:dyDescent="0.25">
      <c r="K90" s="8"/>
      <c r="L90" s="8"/>
      <c r="M90" s="142"/>
      <c r="N90" s="142"/>
      <c r="O90" s="142"/>
      <c r="P90" s="142"/>
      <c r="Q90" s="142"/>
      <c r="R90" s="142"/>
      <c r="S90" s="142"/>
      <c r="T90" s="142"/>
      <c r="U90" s="142"/>
      <c r="AD90" s="657"/>
      <c r="AE90" s="1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102"/>
    </row>
    <row r="91" spans="4:58" x14ac:dyDescent="0.25">
      <c r="K91" s="8"/>
      <c r="L91" s="8"/>
      <c r="M91" s="142"/>
      <c r="N91" s="142"/>
      <c r="O91" s="142"/>
      <c r="P91" s="142"/>
      <c r="Q91" s="142"/>
      <c r="R91" s="142"/>
      <c r="S91" s="142"/>
      <c r="T91" s="142"/>
      <c r="U91" s="142"/>
      <c r="AD91" s="657"/>
      <c r="AE91" s="191" t="s">
        <v>499</v>
      </c>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102"/>
    </row>
    <row r="92" spans="4:58" ht="15.75" thickBot="1" x14ac:dyDescent="0.3">
      <c r="AD92" s="657"/>
      <c r="AE92" s="1"/>
      <c r="AF92" s="152"/>
      <c r="AG92" s="152" t="s">
        <v>174</v>
      </c>
      <c r="AH92" s="289" t="s">
        <v>154</v>
      </c>
      <c r="AI92" s="239" t="s">
        <v>171</v>
      </c>
      <c r="AJ92" s="17"/>
      <c r="AK92" s="17"/>
      <c r="AL92" s="280"/>
      <c r="AM92" s="17"/>
      <c r="AN92" s="280"/>
      <c r="AO92" s="7"/>
      <c r="AP92" s="7"/>
      <c r="AQ92" s="7"/>
      <c r="AR92" s="7"/>
      <c r="AS92" s="7"/>
      <c r="AT92" s="7"/>
      <c r="AU92" s="7"/>
      <c r="AV92" s="7"/>
      <c r="AW92" s="7"/>
      <c r="AX92" s="7"/>
      <c r="AY92" s="7"/>
      <c r="AZ92" s="7"/>
      <c r="BA92" s="7"/>
      <c r="BB92" s="7"/>
      <c r="BC92" s="7"/>
      <c r="BD92" s="7"/>
      <c r="BE92" s="7"/>
      <c r="BF92" s="102"/>
    </row>
    <row r="93" spans="4:58" ht="15.75" thickBot="1" x14ac:dyDescent="0.3">
      <c r="AD93" s="657"/>
      <c r="AE93" s="5"/>
      <c r="AF93" s="21" t="s">
        <v>172</v>
      </c>
      <c r="AG93" s="429">
        <f>AF75</f>
        <v>125</v>
      </c>
      <c r="AH93" s="468">
        <f>(AG93-$N$6)/$N$8</f>
        <v>0.72222222222222221</v>
      </c>
      <c r="AI93" s="469">
        <f>1-AH93</f>
        <v>0.27777777777777779</v>
      </c>
      <c r="AJ93" s="262"/>
      <c r="AK93" s="470">
        <f>AI93*AI94</f>
        <v>0.10104350382128159</v>
      </c>
      <c r="AL93" s="471">
        <f>AH94*AI93</f>
        <v>0.17673427395649619</v>
      </c>
      <c r="AM93" s="471">
        <f>AH93*AI94</f>
        <v>0.26271310993533215</v>
      </c>
      <c r="AN93" s="472">
        <f>AH93*AH94</f>
        <v>0.45950911228689006</v>
      </c>
      <c r="AO93" s="7"/>
      <c r="AP93" s="7"/>
      <c r="AQ93" s="7"/>
      <c r="AR93" s="7"/>
      <c r="AS93" s="7"/>
      <c r="AT93" s="7"/>
      <c r="AU93" s="7"/>
      <c r="AV93" s="7"/>
      <c r="AW93" s="7"/>
      <c r="AX93" s="7"/>
      <c r="AY93" s="7"/>
      <c r="AZ93" s="7"/>
      <c r="BA93" s="7"/>
      <c r="BB93" s="7"/>
      <c r="BC93" s="7"/>
      <c r="BD93" s="7"/>
      <c r="BE93" s="7"/>
      <c r="BF93" s="102"/>
    </row>
    <row r="94" spans="4:58" x14ac:dyDescent="0.25">
      <c r="AD94" s="657"/>
      <c r="AE94" s="2"/>
      <c r="AF94" s="694" t="s">
        <v>292</v>
      </c>
      <c r="AG94" s="714">
        <f>AG93^2</f>
        <v>15625</v>
      </c>
      <c r="AH94" s="433">
        <f>(AG94-$N$14)/$N$16</f>
        <v>0.63624338624338628</v>
      </c>
      <c r="AI94" s="434">
        <f>1-AH94</f>
        <v>0.36375661375661372</v>
      </c>
      <c r="AJ94" s="17"/>
      <c r="AK94" s="17"/>
      <c r="AL94" s="17"/>
      <c r="AM94" s="17"/>
      <c r="AN94" s="17"/>
      <c r="AO94" s="7"/>
      <c r="AP94" s="7"/>
      <c r="AQ94" s="7"/>
      <c r="AR94" s="7"/>
      <c r="AS94" s="7"/>
      <c r="AT94" s="7"/>
      <c r="AU94" s="7"/>
      <c r="AV94" s="7"/>
      <c r="AW94" s="7"/>
      <c r="AX94" s="7"/>
      <c r="AY94" s="7"/>
      <c r="AZ94" s="7"/>
      <c r="BA94" s="7"/>
      <c r="BB94" s="7"/>
      <c r="BC94" s="7"/>
      <c r="BD94" s="7"/>
      <c r="BE94" s="7"/>
      <c r="BF94" s="102"/>
    </row>
    <row r="95" spans="4:58" x14ac:dyDescent="0.25">
      <c r="AD95" s="657"/>
      <c r="AE95" s="1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102"/>
    </row>
    <row r="96" spans="4:58" x14ac:dyDescent="0.25">
      <c r="AD96" s="657"/>
      <c r="AE96" s="656" t="s">
        <v>502</v>
      </c>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102"/>
    </row>
    <row r="97" spans="30:58" ht="15.75" thickBot="1" x14ac:dyDescent="0.3">
      <c r="AD97" s="657"/>
      <c r="AE97" s="1"/>
      <c r="AF97" s="152"/>
      <c r="AG97" s="152" t="s">
        <v>174</v>
      </c>
      <c r="AH97" s="289" t="s">
        <v>154</v>
      </c>
      <c r="AI97" s="239" t="s">
        <v>171</v>
      </c>
      <c r="AJ97" s="17"/>
      <c r="AK97" s="17"/>
      <c r="AL97" s="280"/>
      <c r="AM97" s="17"/>
      <c r="AN97" s="280"/>
      <c r="AO97" s="7"/>
      <c r="AP97" s="7"/>
      <c r="AQ97" s="7"/>
      <c r="AR97" s="7"/>
      <c r="AS97" s="7"/>
      <c r="AT97" s="7"/>
      <c r="AU97" s="7"/>
      <c r="AV97" s="7"/>
      <c r="AW97" s="7"/>
      <c r="AX97" s="7"/>
      <c r="AY97" s="7"/>
      <c r="AZ97" s="7"/>
      <c r="BA97" s="7"/>
      <c r="BB97" s="7"/>
      <c r="BC97" s="7"/>
      <c r="BD97" s="7"/>
      <c r="BE97" s="7"/>
      <c r="BF97" s="102"/>
    </row>
    <row r="98" spans="30:58" ht="15.75" thickBot="1" x14ac:dyDescent="0.3">
      <c r="AD98" s="657"/>
      <c r="AE98" s="5"/>
      <c r="AF98" s="21" t="s">
        <v>172</v>
      </c>
      <c r="AG98" s="429">
        <f>AF76</f>
        <v>127</v>
      </c>
      <c r="AH98" s="468">
        <f>(AG98-$N$6)/$N$8</f>
        <v>0.74444444444444446</v>
      </c>
      <c r="AI98" s="469">
        <f>1-AH98</f>
        <v>0.25555555555555554</v>
      </c>
      <c r="AJ98" s="262"/>
      <c r="AK98" s="470">
        <f>AI98*AI99</f>
        <v>8.6145208700764253E-2</v>
      </c>
      <c r="AL98" s="471">
        <f>AH99*AI98</f>
        <v>0.16941034685479128</v>
      </c>
      <c r="AM98" s="471">
        <f>AH98*AI99</f>
        <v>0.25094473838918285</v>
      </c>
      <c r="AN98" s="472">
        <f>AH98*AH99</f>
        <v>0.49349970605526161</v>
      </c>
      <c r="AO98" s="7"/>
      <c r="AP98" s="7"/>
      <c r="AQ98" s="7"/>
      <c r="AR98" s="7"/>
      <c r="AS98" s="7"/>
      <c r="AT98" s="7"/>
      <c r="AU98" s="7"/>
      <c r="AV98" s="7"/>
      <c r="AW98" s="7"/>
      <c r="AX98" s="7"/>
      <c r="AY98" s="7"/>
      <c r="AZ98" s="7"/>
      <c r="BA98" s="7"/>
      <c r="BB98" s="7"/>
      <c r="BC98" s="7"/>
      <c r="BD98" s="7"/>
      <c r="BE98" s="7"/>
      <c r="BF98" s="102"/>
    </row>
    <row r="99" spans="30:58" x14ac:dyDescent="0.25">
      <c r="AD99" s="657"/>
      <c r="AE99" s="2"/>
      <c r="AF99" s="694" t="s">
        <v>292</v>
      </c>
      <c r="AG99" s="714">
        <f>AG98^2</f>
        <v>16129</v>
      </c>
      <c r="AH99" s="433">
        <f>(AG99-$N$14)/$N$16</f>
        <v>0.66291005291005289</v>
      </c>
      <c r="AI99" s="434">
        <f>1-AH99</f>
        <v>0.33708994708994711</v>
      </c>
      <c r="AJ99" s="17"/>
      <c r="AK99" s="17"/>
      <c r="AL99" s="17"/>
      <c r="AM99" s="17"/>
      <c r="AN99" s="17"/>
      <c r="AO99" s="7"/>
      <c r="AP99" s="7"/>
      <c r="AQ99" s="7"/>
      <c r="AR99" s="7"/>
      <c r="AS99" s="7"/>
      <c r="AT99" s="7"/>
      <c r="AU99" s="7"/>
      <c r="AV99" s="7"/>
      <c r="AW99" s="7"/>
      <c r="AX99" s="7"/>
      <c r="AY99" s="7"/>
      <c r="AZ99" s="7"/>
      <c r="BA99" s="7"/>
      <c r="BB99" s="7"/>
      <c r="BC99" s="7"/>
      <c r="BD99" s="7"/>
      <c r="BE99" s="7"/>
      <c r="BF99" s="102"/>
    </row>
    <row r="100" spans="30:58" x14ac:dyDescent="0.25">
      <c r="AD100" s="657"/>
      <c r="AE100" s="1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102"/>
    </row>
    <row r="101" spans="30:58" x14ac:dyDescent="0.25">
      <c r="AD101" s="657"/>
      <c r="AE101" s="191" t="s">
        <v>503</v>
      </c>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102"/>
    </row>
    <row r="102" spans="30:58" ht="15.75" thickBot="1" x14ac:dyDescent="0.3">
      <c r="AD102" s="657"/>
      <c r="AE102" s="1"/>
      <c r="AF102" s="152"/>
      <c r="AG102" s="152" t="s">
        <v>174</v>
      </c>
      <c r="AH102" s="289" t="s">
        <v>154</v>
      </c>
      <c r="AI102" s="239" t="s">
        <v>171</v>
      </c>
      <c r="AJ102" s="17"/>
      <c r="AK102" s="17"/>
      <c r="AL102" s="280"/>
      <c r="AM102" s="17"/>
      <c r="AN102" s="280"/>
      <c r="AO102" s="7"/>
      <c r="AP102" s="7"/>
      <c r="AQ102" s="7"/>
      <c r="AR102" s="7"/>
      <c r="AS102" s="7"/>
      <c r="AT102" s="7"/>
      <c r="AU102" s="7"/>
      <c r="AV102" s="7"/>
      <c r="AW102" s="7"/>
      <c r="AX102" s="7"/>
      <c r="AY102" s="7"/>
      <c r="AZ102" s="7"/>
      <c r="BA102" s="7"/>
      <c r="BB102" s="7"/>
      <c r="BC102" s="7"/>
      <c r="BD102" s="7"/>
      <c r="BE102" s="7"/>
      <c r="BF102" s="102"/>
    </row>
    <row r="103" spans="30:58" ht="15.75" thickBot="1" x14ac:dyDescent="0.3">
      <c r="AD103" s="657"/>
      <c r="AE103" s="5"/>
      <c r="AF103" s="21" t="s">
        <v>172</v>
      </c>
      <c r="AG103" s="429">
        <f>AF77</f>
        <v>150</v>
      </c>
      <c r="AH103" s="468">
        <f>(AG103-$N$6)/$N$8</f>
        <v>1</v>
      </c>
      <c r="AI103" s="469">
        <f>1-AH103</f>
        <v>0</v>
      </c>
      <c r="AJ103" s="262"/>
      <c r="AK103" s="470">
        <f>AI103*AI104</f>
        <v>0</v>
      </c>
      <c r="AL103" s="471">
        <f>AH104*AI103</f>
        <v>0</v>
      </c>
      <c r="AM103" s="471">
        <f>AH103*AI104</f>
        <v>0</v>
      </c>
      <c r="AN103" s="472">
        <f>AH103*AH104</f>
        <v>1</v>
      </c>
      <c r="AO103" s="7"/>
      <c r="AP103" s="7"/>
      <c r="AQ103" s="7"/>
      <c r="AR103" s="7"/>
      <c r="AS103" s="7"/>
      <c r="AT103" s="7"/>
      <c r="AU103" s="7"/>
      <c r="AV103" s="7"/>
      <c r="AW103" s="7"/>
      <c r="AX103" s="7"/>
      <c r="AY103" s="7"/>
      <c r="AZ103" s="7"/>
      <c r="BA103" s="7"/>
      <c r="BB103" s="7"/>
      <c r="BC103" s="7"/>
      <c r="BD103" s="7"/>
      <c r="BE103" s="7"/>
      <c r="BF103" s="102"/>
    </row>
    <row r="104" spans="30:58" x14ac:dyDescent="0.25">
      <c r="AD104" s="657"/>
      <c r="AE104" s="2"/>
      <c r="AF104" s="694" t="s">
        <v>292</v>
      </c>
      <c r="AG104" s="714">
        <f>AG103^2</f>
        <v>22500</v>
      </c>
      <c r="AH104" s="433">
        <f>(AG104-$N$14)/$N$16</f>
        <v>1</v>
      </c>
      <c r="AI104" s="434">
        <f>1-AH104</f>
        <v>0</v>
      </c>
      <c r="AJ104" s="17"/>
      <c r="AK104" s="17"/>
      <c r="AL104" s="17"/>
      <c r="AM104" s="17"/>
      <c r="AN104" s="17"/>
      <c r="AO104" s="7"/>
      <c r="AP104" s="7"/>
      <c r="AQ104" s="7"/>
      <c r="AR104" s="7"/>
      <c r="AS104" s="7"/>
      <c r="AT104" s="7"/>
      <c r="AU104" s="7"/>
      <c r="AV104" s="7"/>
      <c r="AW104" s="7"/>
      <c r="AX104" s="7"/>
      <c r="AY104" s="7"/>
      <c r="AZ104" s="7"/>
      <c r="BA104" s="7"/>
      <c r="BB104" s="7"/>
      <c r="BC104" s="7"/>
      <c r="BD104" s="7"/>
      <c r="BE104" s="7"/>
      <c r="BF104" s="102"/>
    </row>
    <row r="105" spans="30:58" x14ac:dyDescent="0.25">
      <c r="AD105" s="657"/>
      <c r="AE105" s="1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102"/>
    </row>
    <row r="106" spans="30:58" ht="15.75" thickBot="1" x14ac:dyDescent="0.3">
      <c r="AD106" s="881"/>
      <c r="AE106" s="254"/>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04"/>
    </row>
  </sheetData>
  <mergeCells count="9">
    <mergeCell ref="B27:E27"/>
    <mergeCell ref="G27:J27"/>
    <mergeCell ref="AK71:AL71"/>
    <mergeCell ref="AI71:AJ71"/>
    <mergeCell ref="AF55:AI56"/>
    <mergeCell ref="W55:X55"/>
    <mergeCell ref="L5:L11"/>
    <mergeCell ref="L13:L19"/>
    <mergeCell ref="L21:L24"/>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B2:BS94"/>
  <sheetViews>
    <sheetView zoomScale="55" zoomScaleNormal="55" workbookViewId="0">
      <selection activeCell="V62" sqref="V62"/>
    </sheetView>
  </sheetViews>
  <sheetFormatPr defaultRowHeight="15" x14ac:dyDescent="0.25"/>
  <cols>
    <col min="3" max="3" width="13.28515625" customWidth="1"/>
    <col min="5" max="13" width="11.42578125" style="33" customWidth="1"/>
    <col min="14" max="14" width="12.140625" style="33" customWidth="1"/>
    <col min="15" max="15" width="11.42578125" style="33" customWidth="1"/>
    <col min="16" max="16" width="12.28515625" style="33" customWidth="1"/>
    <col min="17" max="25" width="11.42578125" style="33" customWidth="1"/>
    <col min="26" max="27" width="12" style="33" customWidth="1"/>
    <col min="28" max="28" width="10.5703125" customWidth="1"/>
    <col min="29" max="29" width="9.42578125" customWidth="1"/>
    <col min="30" max="30" width="12.7109375" customWidth="1"/>
    <col min="31" max="31" width="10.28515625" customWidth="1"/>
    <col min="32" max="32" width="10.7109375" customWidth="1"/>
    <col min="33" max="33" width="13.85546875" customWidth="1"/>
    <col min="34" max="34" width="14" customWidth="1"/>
    <col min="36" max="36" width="12.140625" customWidth="1"/>
    <col min="37" max="37" width="10.5703125" customWidth="1"/>
    <col min="40" max="40" width="11.140625" customWidth="1"/>
    <col min="43" max="71" width="9.140625" style="7"/>
  </cols>
  <sheetData>
    <row r="2" spans="2:51" ht="31.5" x14ac:dyDescent="0.5">
      <c r="B2" s="188" t="s">
        <v>336</v>
      </c>
      <c r="D2" s="141"/>
    </row>
    <row r="3" spans="2:51" ht="23.25" x14ac:dyDescent="0.35">
      <c r="B3" s="766" t="s">
        <v>338</v>
      </c>
      <c r="D3" s="141"/>
    </row>
    <row r="4" spans="2:51" x14ac:dyDescent="0.25">
      <c r="C4" s="1172" t="s">
        <v>163</v>
      </c>
      <c r="D4" s="152" t="s">
        <v>101</v>
      </c>
      <c r="E4" s="152" t="s">
        <v>181</v>
      </c>
      <c r="F4" s="152"/>
      <c r="G4" s="266"/>
      <c r="H4" s="266"/>
      <c r="I4" s="266"/>
      <c r="J4" s="266"/>
      <c r="K4" s="266"/>
      <c r="L4" s="266"/>
      <c r="M4" s="261"/>
    </row>
    <row r="5" spans="2:51" x14ac:dyDescent="0.25">
      <c r="C5" s="1173"/>
      <c r="D5" s="17" t="s">
        <v>149</v>
      </c>
      <c r="E5" s="18">
        <v>0</v>
      </c>
      <c r="F5" s="7" t="s">
        <v>150</v>
      </c>
      <c r="G5" s="17"/>
      <c r="H5" s="17"/>
      <c r="I5" s="17"/>
      <c r="J5" s="17"/>
      <c r="K5" s="17"/>
      <c r="L5" s="17"/>
      <c r="M5" s="241"/>
    </row>
    <row r="6" spans="2:51" x14ac:dyDescent="0.25">
      <c r="C6" s="1173"/>
      <c r="D6" s="17" t="s">
        <v>152</v>
      </c>
      <c r="E6" s="18">
        <v>1000</v>
      </c>
      <c r="F6" s="7" t="s">
        <v>151</v>
      </c>
      <c r="G6" s="17"/>
      <c r="H6" s="17"/>
      <c r="I6" s="17"/>
      <c r="J6" s="17"/>
      <c r="K6" s="17"/>
      <c r="L6" s="17"/>
      <c r="M6" s="241"/>
    </row>
    <row r="7" spans="2:51" x14ac:dyDescent="0.25">
      <c r="C7" s="1173"/>
      <c r="D7" s="142" t="s">
        <v>153</v>
      </c>
      <c r="E7" s="18">
        <f>E6-E5</f>
        <v>1000</v>
      </c>
      <c r="F7" s="7" t="s">
        <v>154</v>
      </c>
      <c r="G7" s="17"/>
      <c r="H7" s="17"/>
      <c r="I7" s="17"/>
      <c r="J7" s="17"/>
      <c r="K7" s="17"/>
      <c r="L7" s="17"/>
      <c r="M7" s="241"/>
    </row>
    <row r="8" spans="2:51" x14ac:dyDescent="0.25">
      <c r="C8" s="1173"/>
      <c r="D8" s="142" t="s">
        <v>157</v>
      </c>
      <c r="E8" s="192"/>
      <c r="F8" s="8" t="s">
        <v>160</v>
      </c>
      <c r="G8" s="17"/>
      <c r="H8" s="17"/>
      <c r="I8" s="17"/>
      <c r="J8" s="17"/>
      <c r="K8" s="17"/>
      <c r="L8" s="17"/>
      <c r="M8" s="241"/>
    </row>
    <row r="9" spans="2:51" x14ac:dyDescent="0.25">
      <c r="C9" s="1173"/>
      <c r="D9" s="142" t="s">
        <v>158</v>
      </c>
      <c r="E9" s="192"/>
      <c r="F9" s="8" t="s">
        <v>161</v>
      </c>
      <c r="G9" s="17"/>
      <c r="H9" s="17"/>
      <c r="I9" s="17"/>
      <c r="J9" s="17"/>
      <c r="K9" s="17"/>
      <c r="L9" s="17"/>
      <c r="M9" s="241"/>
    </row>
    <row r="10" spans="2:51" x14ac:dyDescent="0.25">
      <c r="C10" s="1174"/>
      <c r="D10" s="267" t="s">
        <v>159</v>
      </c>
      <c r="E10" s="268"/>
      <c r="F10" s="269" t="s">
        <v>162</v>
      </c>
      <c r="G10" s="259"/>
      <c r="H10" s="259"/>
      <c r="I10" s="259"/>
      <c r="J10" s="259"/>
      <c r="K10" s="259"/>
      <c r="L10" s="259"/>
      <c r="M10" s="262"/>
      <c r="AE10" t="s">
        <v>239</v>
      </c>
    </row>
    <row r="11" spans="2:51" x14ac:dyDescent="0.25">
      <c r="C11" s="258"/>
      <c r="D11" s="142"/>
      <c r="E11" s="192"/>
      <c r="F11" s="8"/>
      <c r="G11" s="17"/>
      <c r="H11" s="17"/>
      <c r="I11" s="17"/>
      <c r="J11" s="17"/>
      <c r="K11" s="17"/>
      <c r="L11" s="17"/>
    </row>
    <row r="12" spans="2:51" x14ac:dyDescent="0.25">
      <c r="C12" s="1172" t="s">
        <v>167</v>
      </c>
      <c r="D12" s="152" t="s">
        <v>4</v>
      </c>
      <c r="E12" s="266" t="s">
        <v>211</v>
      </c>
      <c r="F12" s="152"/>
      <c r="G12" s="266"/>
      <c r="H12" s="273"/>
      <c r="I12" s="266"/>
      <c r="J12" s="261"/>
      <c r="K12" s="17"/>
      <c r="L12" s="17"/>
    </row>
    <row r="13" spans="2:51" x14ac:dyDescent="0.25">
      <c r="C13" s="1173"/>
      <c r="D13" s="17" t="s">
        <v>134</v>
      </c>
      <c r="E13" s="17" t="s">
        <v>3</v>
      </c>
      <c r="F13" s="7"/>
      <c r="G13" s="17"/>
      <c r="H13" s="191"/>
      <c r="I13" s="17"/>
      <c r="J13" s="241"/>
      <c r="K13" s="17"/>
      <c r="L13" s="17"/>
    </row>
    <row r="14" spans="2:51" x14ac:dyDescent="0.25">
      <c r="C14" s="1174"/>
      <c r="D14" s="259" t="s">
        <v>135</v>
      </c>
      <c r="E14" s="259" t="s">
        <v>2</v>
      </c>
      <c r="F14" s="247"/>
      <c r="G14" s="259"/>
      <c r="H14" s="274"/>
      <c r="I14" s="259"/>
      <c r="J14" s="262"/>
      <c r="K14" s="17"/>
      <c r="L14" s="17"/>
    </row>
    <row r="15" spans="2:51" ht="15.75" thickBot="1" x14ac:dyDescent="0.3">
      <c r="C15" s="258"/>
      <c r="D15" s="142"/>
      <c r="E15" s="192"/>
      <c r="F15" s="8"/>
      <c r="G15" s="17"/>
      <c r="H15" s="17"/>
      <c r="I15" s="17"/>
      <c r="J15" s="17"/>
      <c r="K15" s="17"/>
      <c r="L15" s="17"/>
    </row>
    <row r="16" spans="2:51" x14ac:dyDescent="0.25">
      <c r="C16" s="1175" t="s">
        <v>152</v>
      </c>
      <c r="D16" s="275" t="s">
        <v>164</v>
      </c>
      <c r="E16" s="276" t="s">
        <v>168</v>
      </c>
      <c r="F16" s="253" t="s">
        <v>166</v>
      </c>
      <c r="G16" s="253"/>
      <c r="H16" s="253"/>
      <c r="I16" s="251"/>
      <c r="AP16" s="112"/>
      <c r="AQ16" s="8"/>
      <c r="AR16" s="8"/>
      <c r="AS16" s="8"/>
      <c r="AT16" s="8"/>
      <c r="AU16" s="8"/>
      <c r="AV16" s="8"/>
      <c r="AW16" s="8"/>
      <c r="AX16" s="8"/>
      <c r="AY16" s="8"/>
    </row>
    <row r="17" spans="2:56" x14ac:dyDescent="0.25">
      <c r="C17" s="1176"/>
      <c r="D17" s="17" t="s">
        <v>139</v>
      </c>
      <c r="E17" s="256">
        <v>4</v>
      </c>
      <c r="F17" s="17" t="s">
        <v>140</v>
      </c>
      <c r="G17" s="17"/>
      <c r="H17" s="17"/>
      <c r="I17" s="197"/>
      <c r="AP17" s="112"/>
      <c r="AQ17" s="8"/>
      <c r="AR17" s="8"/>
      <c r="AS17" s="8"/>
      <c r="AT17" s="8"/>
      <c r="AU17" s="8"/>
      <c r="AV17" s="8"/>
      <c r="AW17" s="8"/>
      <c r="AX17" s="8"/>
      <c r="AY17" s="8"/>
    </row>
    <row r="18" spans="2:56" x14ac:dyDescent="0.25">
      <c r="C18" s="1176"/>
      <c r="D18" s="17" t="s">
        <v>5</v>
      </c>
      <c r="E18" s="18">
        <v>2</v>
      </c>
      <c r="F18" s="17" t="s">
        <v>143</v>
      </c>
      <c r="G18" s="17"/>
      <c r="H18" s="17"/>
      <c r="I18" s="197"/>
      <c r="AP18" s="112"/>
      <c r="AQ18" s="8"/>
      <c r="AR18" s="8"/>
      <c r="AS18" s="8"/>
      <c r="AT18" s="8"/>
      <c r="AU18" s="8"/>
      <c r="AV18" s="8"/>
      <c r="AW18" s="8"/>
      <c r="AX18" s="8"/>
      <c r="AY18" s="8"/>
    </row>
    <row r="19" spans="2:56" x14ac:dyDescent="0.25">
      <c r="C19" s="1176"/>
      <c r="D19" s="142" t="s">
        <v>155</v>
      </c>
      <c r="E19" s="18">
        <v>1</v>
      </c>
      <c r="F19" s="142" t="s">
        <v>183</v>
      </c>
      <c r="G19" s="17"/>
      <c r="H19" s="17"/>
      <c r="I19" s="197"/>
      <c r="AP19" s="112"/>
      <c r="AQ19" s="8"/>
      <c r="AR19" s="8"/>
      <c r="AS19" s="8"/>
      <c r="AT19" s="8"/>
      <c r="AU19" s="8"/>
      <c r="AV19" s="8"/>
      <c r="AW19" s="8"/>
      <c r="AX19" s="8"/>
      <c r="AY19" s="8"/>
    </row>
    <row r="20" spans="2:56" ht="15.75" thickBot="1" x14ac:dyDescent="0.3">
      <c r="C20" s="1177"/>
      <c r="D20" s="168" t="s">
        <v>141</v>
      </c>
      <c r="E20" s="277">
        <f>E18*E19*LN(E17)</f>
        <v>2.7725887222397811</v>
      </c>
      <c r="F20" s="168" t="s">
        <v>142</v>
      </c>
      <c r="G20" s="254"/>
      <c r="H20" s="254"/>
      <c r="I20" s="252"/>
      <c r="AP20" s="112"/>
      <c r="AQ20" s="8"/>
      <c r="AR20" s="8"/>
      <c r="AS20" s="8"/>
      <c r="AT20" s="8"/>
      <c r="AU20" s="8"/>
      <c r="AV20" s="8"/>
      <c r="AW20" s="8"/>
      <c r="AX20" s="8"/>
      <c r="AY20" s="8"/>
    </row>
    <row r="21" spans="2:56" x14ac:dyDescent="0.25">
      <c r="B21" s="7"/>
      <c r="AP21" s="112"/>
      <c r="AQ21" s="8"/>
      <c r="AR21" s="8"/>
      <c r="AS21" s="8"/>
      <c r="AT21" s="8"/>
      <c r="AU21" s="8"/>
      <c r="AV21" s="8"/>
      <c r="AW21" s="8"/>
      <c r="AX21" s="8"/>
      <c r="AY21" s="8"/>
    </row>
    <row r="22" spans="2:5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s="33"/>
      <c r="Y22" s="33"/>
      <c r="Z22" s="33"/>
      <c r="AA22" s="33"/>
      <c r="AB22"/>
      <c r="AC22"/>
      <c r="AD22"/>
      <c r="AE22"/>
      <c r="AF22"/>
      <c r="AG22"/>
      <c r="AH22"/>
      <c r="AI22"/>
      <c r="AJ22" s="8"/>
      <c r="AP22" s="8"/>
      <c r="AQ22" s="8"/>
      <c r="AR22" s="8"/>
      <c r="AS22" s="8"/>
      <c r="AT22" s="8"/>
      <c r="AU22" s="8"/>
      <c r="AV22" s="8"/>
      <c r="AW22" s="8"/>
      <c r="AX22" s="8"/>
      <c r="AY22" s="8"/>
    </row>
    <row r="23" spans="2:56" s="7" customFormat="1" ht="24.75" customHeight="1" x14ac:dyDescent="0.3">
      <c r="D23"/>
      <c r="E23" s="201" t="s">
        <v>12</v>
      </c>
      <c r="F23" s="202"/>
      <c r="G23" s="202"/>
      <c r="H23" s="203"/>
      <c r="I23" s="201" t="s">
        <v>13</v>
      </c>
      <c r="J23" s="202"/>
      <c r="K23" s="202"/>
      <c r="L23" s="202"/>
      <c r="M23" s="201" t="s">
        <v>228</v>
      </c>
      <c r="N23" s="202"/>
      <c r="O23" s="202"/>
      <c r="P23" s="11"/>
      <c r="Q23" s="201" t="s">
        <v>231</v>
      </c>
      <c r="R23" s="202"/>
      <c r="S23" s="202"/>
      <c r="T23" s="11"/>
      <c r="U23" s="201" t="s">
        <v>240</v>
      </c>
      <c r="V23" s="202"/>
      <c r="W23" s="202"/>
      <c r="X23" s="203"/>
      <c r="Y23" s="201" t="s">
        <v>241</v>
      </c>
      <c r="Z23" s="202"/>
      <c r="AA23" s="202"/>
      <c r="AB23" s="203"/>
      <c r="AC23" s="201" t="s">
        <v>199</v>
      </c>
      <c r="AD23" s="202"/>
      <c r="AE23" s="202"/>
      <c r="AF23" s="11"/>
      <c r="AG23" s="62" t="s">
        <v>36</v>
      </c>
      <c r="AH23" s="63" t="s">
        <v>35</v>
      </c>
      <c r="AP23" s="8"/>
      <c r="AQ23" s="195"/>
      <c r="AR23" s="1251"/>
      <c r="AS23" s="1251"/>
      <c r="AT23" s="481"/>
      <c r="AU23" s="8"/>
      <c r="AV23" s="8"/>
      <c r="AW23" s="143"/>
      <c r="AX23" s="245"/>
      <c r="AY23" s="143"/>
    </row>
    <row r="24" spans="2:56" s="7" customFormat="1" ht="60.75" thickBot="1" x14ac:dyDescent="0.3">
      <c r="C24" s="32"/>
      <c r="D24" s="117" t="s">
        <v>45</v>
      </c>
      <c r="E24" s="249" t="str">
        <f>"S("&amp;$E$5&amp;", 0)"</f>
        <v>S(0, 0)</v>
      </c>
      <c r="F24" s="178" t="str">
        <f>"S("&amp;$E$5&amp;", 1)"</f>
        <v>S(0, 1)</v>
      </c>
      <c r="G24" s="175" t="str">
        <f>"S("&amp;$E$6&amp;", 0)"</f>
        <v>S(1000, 0)</v>
      </c>
      <c r="H24" s="317" t="str">
        <f>"S("&amp;$E$6&amp;", 1)"</f>
        <v>S(1000, 1)</v>
      </c>
      <c r="I24" s="249" t="str">
        <f>"P"&amp;(RIGHT(E24,LEN(E24)-1))</f>
        <v>P(0, 0)</v>
      </c>
      <c r="J24" s="178" t="str">
        <f t="shared" ref="J24:L24" si="0">"P"&amp;(RIGHT(F24,LEN(F24)-1))</f>
        <v>P(0, 1)</v>
      </c>
      <c r="K24" s="175" t="str">
        <f>"P"&amp;(RIGHT(G24,LEN(G24)-1))</f>
        <v>P(1000, 0)</v>
      </c>
      <c r="L24" s="238" t="str">
        <f t="shared" si="0"/>
        <v>P(1000, 1)</v>
      </c>
      <c r="M24" s="520"/>
      <c r="N24" s="521" t="s">
        <v>209</v>
      </c>
      <c r="O24" s="522"/>
      <c r="P24" s="521" t="s">
        <v>210</v>
      </c>
      <c r="Q24" s="520" t="s">
        <v>242</v>
      </c>
      <c r="R24" s="521" t="s">
        <v>243</v>
      </c>
      <c r="S24" s="522" t="s">
        <v>244</v>
      </c>
      <c r="T24" s="521" t="s">
        <v>245</v>
      </c>
      <c r="U24" s="523" t="s">
        <v>205</v>
      </c>
      <c r="V24" s="521" t="s">
        <v>206</v>
      </c>
      <c r="W24" s="524" t="s">
        <v>207</v>
      </c>
      <c r="X24" s="525" t="s">
        <v>208</v>
      </c>
      <c r="Y24" s="523" t="s">
        <v>205</v>
      </c>
      <c r="Z24" s="521" t="s">
        <v>206</v>
      </c>
      <c r="AA24" s="524" t="s">
        <v>207</v>
      </c>
      <c r="AB24" s="525" t="s">
        <v>208</v>
      </c>
      <c r="AC24" s="249" t="str">
        <f>I24</f>
        <v>P(0, 0)</v>
      </c>
      <c r="AD24" s="178" t="str">
        <f>J24</f>
        <v>P(0, 1)</v>
      </c>
      <c r="AE24" s="175" t="str">
        <f>K24</f>
        <v>P(1000, 0)</v>
      </c>
      <c r="AF24" s="317" t="str">
        <f>L24</f>
        <v>P(1000, 1)</v>
      </c>
      <c r="AG24" s="296">
        <v>0</v>
      </c>
      <c r="AH24" s="43"/>
      <c r="AP24" s="8"/>
      <c r="AQ24" s="142"/>
      <c r="AR24" s="145"/>
      <c r="AS24" s="145"/>
      <c r="AT24" s="8"/>
      <c r="AU24" s="8"/>
      <c r="AV24" s="8"/>
      <c r="AW24" s="8"/>
      <c r="AX24" s="8"/>
      <c r="AY24" s="8"/>
    </row>
    <row r="25" spans="2:56" s="7" customFormat="1" ht="18" customHeight="1" thickTop="1" x14ac:dyDescent="0.25">
      <c r="D25" s="25">
        <v>1</v>
      </c>
      <c r="E25" s="318">
        <v>0</v>
      </c>
      <c r="F25" s="216">
        <v>0</v>
      </c>
      <c r="G25" s="215">
        <v>0</v>
      </c>
      <c r="H25" s="319">
        <v>0</v>
      </c>
      <c r="I25" s="328">
        <f t="shared" ref="I25:L49" si="1">EXP(E25/$E$18)/(EXP($E25/$E$18)+EXP($F25/$E$18)+EXP($G25/$E$18)+EXP($H25/$E$18))</f>
        <v>0.25</v>
      </c>
      <c r="J25" s="212">
        <f t="shared" si="1"/>
        <v>0.25</v>
      </c>
      <c r="K25" s="211">
        <f t="shared" si="1"/>
        <v>0.25</v>
      </c>
      <c r="L25" s="526">
        <f t="shared" si="1"/>
        <v>0.25</v>
      </c>
      <c r="M25" s="527">
        <f>1-N25</f>
        <v>0.5</v>
      </c>
      <c r="N25" s="528">
        <f>SUM(J25,L25)</f>
        <v>0.5</v>
      </c>
      <c r="O25" s="529">
        <f>1-P25</f>
        <v>0.5</v>
      </c>
      <c r="P25" s="530">
        <f>SUM(K25:L25)</f>
        <v>0.5</v>
      </c>
      <c r="Q25" s="527">
        <f>M25*$E$7</f>
        <v>500</v>
      </c>
      <c r="R25" s="528">
        <f>N25*$E$7</f>
        <v>500</v>
      </c>
      <c r="S25" s="529">
        <f>O25*1</f>
        <v>0.5</v>
      </c>
      <c r="T25" s="530">
        <f>P25*1</f>
        <v>0.5</v>
      </c>
      <c r="U25" s="527">
        <f>IFERROR( K25/SUM(I25,K25), 0)</f>
        <v>0.5</v>
      </c>
      <c r="V25" s="528">
        <f>IFERROR( L25/SUM(J25,L25), 0)</f>
        <v>0.5</v>
      </c>
      <c r="W25" s="529">
        <f t="shared" ref="W25:W50" si="2">IFERROR( J25/SUM(J25,I25), 0)</f>
        <v>0.5</v>
      </c>
      <c r="X25" s="530">
        <f>IFERROR( SUM(L25/SUM(K25:L25)), 0)</f>
        <v>0.5</v>
      </c>
      <c r="Y25" s="527">
        <f>$E$5+U25*$E$7</f>
        <v>500</v>
      </c>
      <c r="Z25" s="528">
        <f t="shared" ref="Z25:Z28" si="3">$E$5+V25*$E$7</f>
        <v>500</v>
      </c>
      <c r="AA25" s="529">
        <f>W25</f>
        <v>0.5</v>
      </c>
      <c r="AB25" s="530">
        <f t="shared" ref="AB25:AB28" si="4">X25</f>
        <v>0.5</v>
      </c>
      <c r="AC25" s="334">
        <f>SUM(Q25,S25)</f>
        <v>500.5</v>
      </c>
      <c r="AD25" s="237">
        <f>SUM(Q25,T25)</f>
        <v>500.5</v>
      </c>
      <c r="AE25" s="236">
        <f>SUM(R25,S25)</f>
        <v>500.5</v>
      </c>
      <c r="AF25" s="335">
        <f>SUM(R25,T25)</f>
        <v>500.5</v>
      </c>
      <c r="AG25" s="538">
        <f>$E$18*$E$19*LN(EXP($E25/$E$18) + EXP($F25/$E$18) + EXP($G25/$E$18) +EXP($H25/$E$18) )</f>
        <v>2.7725887222397811</v>
      </c>
      <c r="AH25" s="539">
        <f>(AG25-AG24)</f>
        <v>2.7725887222397811</v>
      </c>
      <c r="AP25" s="8"/>
      <c r="AQ25" s="196"/>
      <c r="AR25" s="8"/>
      <c r="AS25" s="8"/>
      <c r="AT25" s="8"/>
      <c r="AU25" s="8"/>
      <c r="AV25" s="8"/>
      <c r="AW25" s="8"/>
      <c r="AX25" s="8"/>
      <c r="AY25" s="8"/>
      <c r="AZ25" s="189"/>
      <c r="BA25" s="189"/>
      <c r="BD25" s="189"/>
    </row>
    <row r="26" spans="2:56" s="7" customFormat="1" ht="18.75" x14ac:dyDescent="0.3">
      <c r="D26" s="25">
        <v>2</v>
      </c>
      <c r="E26" s="320">
        <v>1</v>
      </c>
      <c r="F26" s="234">
        <v>1</v>
      </c>
      <c r="G26" s="233">
        <v>1</v>
      </c>
      <c r="H26" s="321">
        <v>1</v>
      </c>
      <c r="I26" s="330">
        <f t="shared" si="1"/>
        <v>0.25</v>
      </c>
      <c r="J26" s="230">
        <f t="shared" si="1"/>
        <v>0.25</v>
      </c>
      <c r="K26" s="229">
        <f t="shared" si="1"/>
        <v>0.25</v>
      </c>
      <c r="L26" s="228">
        <f t="shared" si="1"/>
        <v>0.25</v>
      </c>
      <c r="M26" s="491">
        <f t="shared" ref="M26:M49" si="5">1-N26</f>
        <v>0.5</v>
      </c>
      <c r="N26" s="515">
        <f t="shared" ref="N26:N49" si="6">SUM(J26,L26)</f>
        <v>0.5</v>
      </c>
      <c r="O26" s="514">
        <f t="shared" ref="O26:O49" si="7">1-P26</f>
        <v>0.5</v>
      </c>
      <c r="P26" s="477">
        <f t="shared" ref="P26:P49" si="8">SUM(K26:L26)</f>
        <v>0.5</v>
      </c>
      <c r="Q26" s="491">
        <f t="shared" ref="Q26:Q49" si="9">M26*$E$7</f>
        <v>500</v>
      </c>
      <c r="R26" s="515">
        <f t="shared" ref="R26:R50" si="10">N26*$E$7</f>
        <v>500</v>
      </c>
      <c r="S26" s="514">
        <f t="shared" ref="S26:S49" si="11">O26*1</f>
        <v>0.5</v>
      </c>
      <c r="T26" s="477">
        <f t="shared" ref="T26:T50" si="12">P26*1</f>
        <v>0.5</v>
      </c>
      <c r="U26" s="491">
        <f t="shared" ref="U26:U50" si="13">IFERROR( K26/SUM(I26,K26), 0)</f>
        <v>0.5</v>
      </c>
      <c r="V26" s="515">
        <f t="shared" ref="V26:V50" si="14">IFERROR( L26/SUM(J26,L26), 0)</f>
        <v>0.5</v>
      </c>
      <c r="W26" s="514">
        <f t="shared" si="2"/>
        <v>0.5</v>
      </c>
      <c r="X26" s="477">
        <f t="shared" ref="X26:X50" si="15">IFERROR( SUM(L26/SUM(K26:L26)), 0)</f>
        <v>0.5</v>
      </c>
      <c r="Y26" s="491">
        <f t="shared" ref="Y26:Y28" si="16">$E$5+U26*$E$7</f>
        <v>500</v>
      </c>
      <c r="Z26" s="515">
        <f t="shared" si="3"/>
        <v>500</v>
      </c>
      <c r="AA26" s="514">
        <f t="shared" ref="AA26:AA28" si="17">W26</f>
        <v>0.5</v>
      </c>
      <c r="AB26" s="477">
        <f t="shared" si="4"/>
        <v>0.5</v>
      </c>
      <c r="AC26" s="336">
        <f>SUM(Q26,S26)</f>
        <v>500.5</v>
      </c>
      <c r="AD26" s="219">
        <f>SUM(Q26,T26)</f>
        <v>500.5</v>
      </c>
      <c r="AE26" s="218">
        <f>SUM(R26,S26)</f>
        <v>500.5</v>
      </c>
      <c r="AF26" s="337">
        <f t="shared" ref="AF26:AF50" si="18">SUM(R26,T26)</f>
        <v>500.5</v>
      </c>
      <c r="AG26" s="540">
        <f>$E$18*$E$19*LN(EXP($E26/$E$18) + EXP($F26/$E$18) + EXP($G26/$E$18) +EXP($H26/$E$18) )</f>
        <v>3.7725887222397811</v>
      </c>
      <c r="AH26" s="541">
        <f>(AG26-AG25)</f>
        <v>1</v>
      </c>
      <c r="AP26" s="8"/>
      <c r="AQ26" s="196"/>
      <c r="AR26" s="8"/>
      <c r="AS26" s="8"/>
      <c r="AT26" s="482"/>
      <c r="AU26" s="8"/>
      <c r="AV26" s="8"/>
      <c r="AW26" s="8"/>
      <c r="AX26" s="245"/>
      <c r="AY26" s="8"/>
      <c r="AZ26" s="189"/>
      <c r="BA26" s="189"/>
    </row>
    <row r="27" spans="2:56" s="7" customFormat="1" ht="18.75" x14ac:dyDescent="0.3">
      <c r="C27" s="21"/>
      <c r="D27" s="25">
        <v>3</v>
      </c>
      <c r="E27" s="320">
        <v>2</v>
      </c>
      <c r="F27" s="234">
        <v>1</v>
      </c>
      <c r="G27" s="233">
        <v>2</v>
      </c>
      <c r="H27" s="321">
        <v>1</v>
      </c>
      <c r="I27" s="330">
        <f t="shared" si="1"/>
        <v>0.31122966560092724</v>
      </c>
      <c r="J27" s="230">
        <f t="shared" si="1"/>
        <v>0.1887703343990727</v>
      </c>
      <c r="K27" s="229">
        <f t="shared" si="1"/>
        <v>0.31122966560092724</v>
      </c>
      <c r="L27" s="228">
        <f t="shared" si="1"/>
        <v>0.1887703343990727</v>
      </c>
      <c r="M27" s="491">
        <f t="shared" si="5"/>
        <v>0.62245933120185459</v>
      </c>
      <c r="N27" s="515">
        <f t="shared" si="6"/>
        <v>0.37754066879814541</v>
      </c>
      <c r="O27" s="514">
        <f t="shared" si="7"/>
        <v>0.5</v>
      </c>
      <c r="P27" s="477">
        <f t="shared" si="8"/>
        <v>0.49999999999999994</v>
      </c>
      <c r="Q27" s="491">
        <f t="shared" si="9"/>
        <v>622.45933120185464</v>
      </c>
      <c r="R27" s="515">
        <f t="shared" si="10"/>
        <v>377.54066879814542</v>
      </c>
      <c r="S27" s="514">
        <f t="shared" si="11"/>
        <v>0.5</v>
      </c>
      <c r="T27" s="477">
        <f t="shared" si="12"/>
        <v>0.49999999999999994</v>
      </c>
      <c r="U27" s="491">
        <f t="shared" si="13"/>
        <v>0.5</v>
      </c>
      <c r="V27" s="515">
        <f t="shared" si="14"/>
        <v>0.5</v>
      </c>
      <c r="W27" s="514">
        <f t="shared" si="2"/>
        <v>0.37754066879814546</v>
      </c>
      <c r="X27" s="477">
        <f t="shared" si="15"/>
        <v>0.37754066879814546</v>
      </c>
      <c r="Y27" s="491">
        <f t="shared" si="16"/>
        <v>500</v>
      </c>
      <c r="Z27" s="515">
        <f t="shared" si="3"/>
        <v>500</v>
      </c>
      <c r="AA27" s="514">
        <f t="shared" si="17"/>
        <v>0.37754066879814546</v>
      </c>
      <c r="AB27" s="477">
        <f t="shared" si="4"/>
        <v>0.37754066879814546</v>
      </c>
      <c r="AC27" s="336">
        <f t="shared" ref="AC27:AC49" si="19">SUM(Q27,S27)</f>
        <v>622.95933120185464</v>
      </c>
      <c r="AD27" s="219">
        <f t="shared" ref="AD27:AD49" si="20">SUM(Q27,T27)</f>
        <v>622.95933120185464</v>
      </c>
      <c r="AE27" s="218">
        <f t="shared" ref="AE27:AE50" si="21">SUM(R27,S27)</f>
        <v>378.04066879814542</v>
      </c>
      <c r="AF27" s="337">
        <f t="shared" si="18"/>
        <v>378.04066879814542</v>
      </c>
      <c r="AG27" s="540">
        <f t="shared" ref="AG27:AG50" si="22">$E$18*$E$19*LN(EXP($E27/$E$18) + EXP($F27/$E$18) + EXP($G27/$E$18) +EXP($H27/$E$18) )</f>
        <v>4.3344483294801037</v>
      </c>
      <c r="AH27" s="541">
        <f t="shared" ref="AH27" si="23">(AG27-AG26)</f>
        <v>0.56185960724032258</v>
      </c>
      <c r="AP27" s="8"/>
      <c r="AQ27" s="196"/>
      <c r="AR27" s="8"/>
      <c r="AS27" s="8"/>
      <c r="AT27" s="482"/>
      <c r="AU27" s="8"/>
      <c r="AV27" s="8"/>
      <c r="AW27" s="8"/>
      <c r="AX27" s="245"/>
      <c r="AY27" s="8"/>
      <c r="AZ27" s="189"/>
      <c r="BA27" s="189"/>
    </row>
    <row r="28" spans="2:56" s="7" customFormat="1" ht="18.75" x14ac:dyDescent="0.3">
      <c r="C28" s="21"/>
      <c r="D28" s="25">
        <v>4</v>
      </c>
      <c r="E28" s="320">
        <v>4</v>
      </c>
      <c r="F28" s="234">
        <v>5</v>
      </c>
      <c r="G28" s="233">
        <v>6</v>
      </c>
      <c r="H28" s="321">
        <v>8</v>
      </c>
      <c r="I28" s="330">
        <f t="shared" si="1"/>
        <v>7.8394117216839712E-2</v>
      </c>
      <c r="J28" s="230">
        <f t="shared" si="1"/>
        <v>0.12925004855316277</v>
      </c>
      <c r="K28" s="229">
        <f t="shared" si="1"/>
        <v>0.21309730428862378</v>
      </c>
      <c r="L28" s="228">
        <f t="shared" si="1"/>
        <v>0.57925852994137372</v>
      </c>
      <c r="M28" s="491">
        <f t="shared" si="5"/>
        <v>0.29149142150546348</v>
      </c>
      <c r="N28" s="515">
        <f t="shared" si="6"/>
        <v>0.70850857849453652</v>
      </c>
      <c r="O28" s="514">
        <f t="shared" si="7"/>
        <v>0.20764416577000255</v>
      </c>
      <c r="P28" s="477">
        <f t="shared" si="8"/>
        <v>0.79235583422999745</v>
      </c>
      <c r="Q28" s="491">
        <f t="shared" si="9"/>
        <v>291.49142150546345</v>
      </c>
      <c r="R28" s="515">
        <f t="shared" si="10"/>
        <v>708.50857849453655</v>
      </c>
      <c r="S28" s="514">
        <f t="shared" si="11"/>
        <v>0.20764416577000255</v>
      </c>
      <c r="T28" s="477">
        <f t="shared" si="12"/>
        <v>0.79235583422999745</v>
      </c>
      <c r="U28" s="491">
        <f t="shared" si="13"/>
        <v>0.7310585786300049</v>
      </c>
      <c r="V28" s="515">
        <f t="shared" si="14"/>
        <v>0.81757447619364365</v>
      </c>
      <c r="W28" s="514">
        <f t="shared" si="2"/>
        <v>0.62245933120185459</v>
      </c>
      <c r="X28" s="477">
        <f t="shared" si="15"/>
        <v>0.7310585786300049</v>
      </c>
      <c r="Y28" s="491">
        <f t="shared" si="16"/>
        <v>731.05857863000494</v>
      </c>
      <c r="Z28" s="515">
        <f t="shared" si="3"/>
        <v>817.5744761936437</v>
      </c>
      <c r="AA28" s="514">
        <f t="shared" si="17"/>
        <v>0.62245933120185459</v>
      </c>
      <c r="AB28" s="477">
        <f t="shared" si="4"/>
        <v>0.7310585786300049</v>
      </c>
      <c r="AC28" s="336">
        <f t="shared" si="19"/>
        <v>291.69906567123343</v>
      </c>
      <c r="AD28" s="219">
        <f t="shared" si="20"/>
        <v>292.28377733969347</v>
      </c>
      <c r="AE28" s="218">
        <f t="shared" si="21"/>
        <v>708.71622266030658</v>
      </c>
      <c r="AF28" s="337">
        <f t="shared" si="18"/>
        <v>709.30093432876652</v>
      </c>
      <c r="AG28" s="540">
        <f t="shared" si="22"/>
        <v>9.092012779881145</v>
      </c>
      <c r="AH28" s="541">
        <f>(AG28-AG27)</f>
        <v>4.7575644504010413</v>
      </c>
      <c r="AP28" s="8"/>
      <c r="AQ28" s="196"/>
      <c r="AR28" s="8"/>
      <c r="AS28" s="8"/>
      <c r="AT28" s="482"/>
      <c r="AU28" s="8"/>
      <c r="AV28" s="8"/>
      <c r="AW28" s="8"/>
      <c r="AX28" s="245"/>
      <c r="AY28" s="8"/>
      <c r="AZ28" s="189"/>
      <c r="BA28" s="189"/>
    </row>
    <row r="29" spans="2:56" s="7" customFormat="1" ht="18.75" x14ac:dyDescent="0.3">
      <c r="C29" s="21"/>
      <c r="D29" s="25">
        <v>5</v>
      </c>
      <c r="E29" s="320">
        <v>5</v>
      </c>
      <c r="F29" s="234">
        <v>7</v>
      </c>
      <c r="G29" s="233">
        <v>6</v>
      </c>
      <c r="H29" s="321">
        <v>6</v>
      </c>
      <c r="I29" s="330">
        <f t="shared" si="1"/>
        <v>0.14253695659655094</v>
      </c>
      <c r="J29" s="230">
        <f t="shared" si="1"/>
        <v>0.38745561900026004</v>
      </c>
      <c r="K29" s="229">
        <f t="shared" si="1"/>
        <v>0.23500371220159449</v>
      </c>
      <c r="L29" s="228">
        <f t="shared" si="1"/>
        <v>0.23500371220159449</v>
      </c>
      <c r="M29" s="491">
        <f t="shared" si="5"/>
        <v>0.37754066879814552</v>
      </c>
      <c r="N29" s="515">
        <f t="shared" si="6"/>
        <v>0.62245933120185448</v>
      </c>
      <c r="O29" s="514">
        <f t="shared" si="7"/>
        <v>0.52999257559681101</v>
      </c>
      <c r="P29" s="477">
        <f t="shared" si="8"/>
        <v>0.47000742440318899</v>
      </c>
      <c r="Q29" s="491">
        <f t="shared" si="9"/>
        <v>377.54066879814553</v>
      </c>
      <c r="R29" s="515">
        <f t="shared" si="10"/>
        <v>622.45933120185452</v>
      </c>
      <c r="S29" s="514">
        <f t="shared" si="11"/>
        <v>0.52999257559681101</v>
      </c>
      <c r="T29" s="477">
        <f t="shared" si="12"/>
        <v>0.47000742440318899</v>
      </c>
      <c r="U29" s="491">
        <f t="shared" si="13"/>
        <v>0.62245933120185459</v>
      </c>
      <c r="V29" s="515">
        <f t="shared" si="14"/>
        <v>0.37754066879814552</v>
      </c>
      <c r="W29" s="514">
        <f t="shared" si="2"/>
        <v>0.73105857863000479</v>
      </c>
      <c r="X29" s="477">
        <f t="shared" si="15"/>
        <v>0.5</v>
      </c>
      <c r="Y29" s="491">
        <f t="shared" ref="Y29:Y50" si="24">$E$5+U29*$E$7</f>
        <v>622.45933120185464</v>
      </c>
      <c r="Z29" s="515">
        <f t="shared" ref="Z29:Z50" si="25">$E$5+V29*$E$7</f>
        <v>377.54066879814553</v>
      </c>
      <c r="AA29" s="514">
        <f t="shared" ref="AA29:AA50" si="26">W29</f>
        <v>0.73105857863000479</v>
      </c>
      <c r="AB29" s="477">
        <f t="shared" ref="AB29:AB50" si="27">X29</f>
        <v>0.5</v>
      </c>
      <c r="AC29" s="336">
        <f t="shared" si="19"/>
        <v>378.07066137374233</v>
      </c>
      <c r="AD29" s="219">
        <f t="shared" si="20"/>
        <v>378.01067622254874</v>
      </c>
      <c r="AE29" s="218">
        <f t="shared" si="21"/>
        <v>622.98932377745132</v>
      </c>
      <c r="AF29" s="337">
        <f t="shared" si="18"/>
        <v>622.92933862625773</v>
      </c>
      <c r="AG29" s="540">
        <f t="shared" si="22"/>
        <v>8.8963079367204259</v>
      </c>
      <c r="AH29" s="541">
        <f t="shared" ref="AH29:AH49" si="28">(AG29-AG28)</f>
        <v>-0.19570484316071912</v>
      </c>
      <c r="AP29" s="8"/>
      <c r="AQ29" s="196"/>
      <c r="AR29" s="8"/>
      <c r="AS29" s="8"/>
      <c r="AT29" s="482"/>
      <c r="AU29" s="8"/>
      <c r="AV29" s="8"/>
      <c r="AW29" s="8"/>
      <c r="AX29" s="245"/>
      <c r="AY29" s="8"/>
      <c r="AZ29" s="189"/>
      <c r="BA29" s="189"/>
    </row>
    <row r="30" spans="2:56" s="7" customFormat="1" ht="18.75" x14ac:dyDescent="0.3">
      <c r="C30" s="21"/>
      <c r="D30" s="25">
        <v>6</v>
      </c>
      <c r="E30" s="320">
        <v>6</v>
      </c>
      <c r="F30" s="234">
        <v>8</v>
      </c>
      <c r="G30" s="233">
        <v>12</v>
      </c>
      <c r="H30" s="321">
        <v>6</v>
      </c>
      <c r="I30" s="330">
        <f t="shared" si="1"/>
        <v>4.031637265264288E-2</v>
      </c>
      <c r="J30" s="230">
        <f t="shared" si="1"/>
        <v>0.10959126317106233</v>
      </c>
      <c r="K30" s="229">
        <f t="shared" si="1"/>
        <v>0.80977599152365198</v>
      </c>
      <c r="L30" s="228">
        <f t="shared" si="1"/>
        <v>4.031637265264288E-2</v>
      </c>
      <c r="M30" s="491">
        <f t="shared" si="5"/>
        <v>0.85009236417629475</v>
      </c>
      <c r="N30" s="515">
        <f t="shared" si="6"/>
        <v>0.1499076358237052</v>
      </c>
      <c r="O30" s="514">
        <f t="shared" si="7"/>
        <v>0.14990763582370514</v>
      </c>
      <c r="P30" s="477">
        <f t="shared" si="8"/>
        <v>0.85009236417629486</v>
      </c>
      <c r="Q30" s="491">
        <f t="shared" si="9"/>
        <v>850.09236417629472</v>
      </c>
      <c r="R30" s="515">
        <f t="shared" si="10"/>
        <v>149.90763582370519</v>
      </c>
      <c r="S30" s="514">
        <f t="shared" si="11"/>
        <v>0.14990763582370514</v>
      </c>
      <c r="T30" s="477">
        <f t="shared" si="12"/>
        <v>0.85009236417629486</v>
      </c>
      <c r="U30" s="491">
        <f t="shared" si="13"/>
        <v>0.95257412682243325</v>
      </c>
      <c r="V30" s="515">
        <f t="shared" si="14"/>
        <v>0.26894142136999516</v>
      </c>
      <c r="W30" s="514">
        <f t="shared" si="2"/>
        <v>0.7310585786300049</v>
      </c>
      <c r="X30" s="477">
        <f t="shared" si="15"/>
        <v>4.7425873177566788E-2</v>
      </c>
      <c r="Y30" s="491">
        <f t="shared" si="24"/>
        <v>952.5741268224333</v>
      </c>
      <c r="Z30" s="515">
        <f t="shared" si="25"/>
        <v>268.94142136999517</v>
      </c>
      <c r="AA30" s="514">
        <f t="shared" si="26"/>
        <v>0.7310585786300049</v>
      </c>
      <c r="AB30" s="477">
        <f t="shared" si="27"/>
        <v>4.7425873177566788E-2</v>
      </c>
      <c r="AC30" s="336">
        <f t="shared" si="19"/>
        <v>850.24227181211847</v>
      </c>
      <c r="AD30" s="219">
        <f t="shared" si="20"/>
        <v>850.94245654047097</v>
      </c>
      <c r="AE30" s="218">
        <f t="shared" si="21"/>
        <v>150.05754345952889</v>
      </c>
      <c r="AF30" s="337">
        <f t="shared" si="18"/>
        <v>150.7577281878815</v>
      </c>
      <c r="AG30" s="540">
        <f t="shared" si="22"/>
        <v>12.421995246476351</v>
      </c>
      <c r="AH30" s="541">
        <f t="shared" si="28"/>
        <v>3.5256873097559254</v>
      </c>
      <c r="AP30" s="8"/>
      <c r="AQ30" s="196"/>
      <c r="AR30" s="8"/>
      <c r="AS30" s="8"/>
      <c r="AT30" s="482"/>
      <c r="AU30" s="8"/>
      <c r="AV30" s="8"/>
      <c r="AW30" s="8"/>
      <c r="AX30" s="245"/>
      <c r="AY30" s="8"/>
      <c r="AZ30" s="189"/>
      <c r="BA30" s="189"/>
    </row>
    <row r="31" spans="2:56" s="7" customFormat="1" ht="18.75" x14ac:dyDescent="0.3">
      <c r="C31" s="21"/>
      <c r="D31" s="25">
        <v>7</v>
      </c>
      <c r="E31" s="320">
        <v>2</v>
      </c>
      <c r="F31" s="234">
        <v>10</v>
      </c>
      <c r="G31" s="233">
        <v>11</v>
      </c>
      <c r="H31" s="321">
        <v>10</v>
      </c>
      <c r="I31" s="330">
        <f t="shared" si="1"/>
        <v>4.9946699038782441E-3</v>
      </c>
      <c r="J31" s="230">
        <f t="shared" si="1"/>
        <v>0.27269973677797449</v>
      </c>
      <c r="K31" s="229">
        <f t="shared" si="1"/>
        <v>0.4496058565401726</v>
      </c>
      <c r="L31" s="228">
        <f t="shared" si="1"/>
        <v>0.27269973677797449</v>
      </c>
      <c r="M31" s="491">
        <f t="shared" si="5"/>
        <v>0.45460052644405102</v>
      </c>
      <c r="N31" s="515">
        <f t="shared" si="6"/>
        <v>0.54539947355594898</v>
      </c>
      <c r="O31" s="514">
        <f t="shared" si="7"/>
        <v>0.27769440668185297</v>
      </c>
      <c r="P31" s="477">
        <f t="shared" si="8"/>
        <v>0.72230559331814703</v>
      </c>
      <c r="Q31" s="491">
        <f t="shared" si="9"/>
        <v>454.60052644405101</v>
      </c>
      <c r="R31" s="515">
        <f t="shared" si="10"/>
        <v>545.39947355594893</v>
      </c>
      <c r="S31" s="514">
        <f t="shared" si="11"/>
        <v>0.27769440668185297</v>
      </c>
      <c r="T31" s="477">
        <f t="shared" si="12"/>
        <v>0.72230559331814703</v>
      </c>
      <c r="U31" s="491">
        <f t="shared" si="13"/>
        <v>0.98901305736940681</v>
      </c>
      <c r="V31" s="515">
        <f t="shared" si="14"/>
        <v>0.5</v>
      </c>
      <c r="W31" s="514">
        <f t="shared" si="2"/>
        <v>0.98201379003790834</v>
      </c>
      <c r="X31" s="477">
        <f t="shared" si="15"/>
        <v>0.37754066879814546</v>
      </c>
      <c r="Y31" s="491">
        <f t="shared" si="24"/>
        <v>989.01305736940685</v>
      </c>
      <c r="Z31" s="515">
        <f t="shared" si="25"/>
        <v>500</v>
      </c>
      <c r="AA31" s="514">
        <f t="shared" si="26"/>
        <v>0.98201379003790834</v>
      </c>
      <c r="AB31" s="477">
        <f t="shared" si="27"/>
        <v>0.37754066879814546</v>
      </c>
      <c r="AC31" s="336">
        <f t="shared" si="19"/>
        <v>454.87822085073287</v>
      </c>
      <c r="AD31" s="219">
        <f t="shared" si="20"/>
        <v>455.32283203736915</v>
      </c>
      <c r="AE31" s="218">
        <f t="shared" si="21"/>
        <v>545.67716796263073</v>
      </c>
      <c r="AF31" s="337">
        <f t="shared" si="18"/>
        <v>546.12177914926713</v>
      </c>
      <c r="AG31" s="540">
        <f t="shared" si="22"/>
        <v>12.598767908750023</v>
      </c>
      <c r="AH31" s="541">
        <f t="shared" si="28"/>
        <v>0.17677266227367205</v>
      </c>
      <c r="AP31" s="8"/>
      <c r="AQ31" s="196"/>
      <c r="AR31" s="8"/>
      <c r="AS31" s="8"/>
      <c r="AT31" s="482"/>
      <c r="AU31" s="8"/>
      <c r="AV31" s="8"/>
      <c r="AW31" s="8"/>
      <c r="AX31" s="245"/>
      <c r="AY31" s="8"/>
      <c r="AZ31" s="189"/>
      <c r="BA31" s="189"/>
    </row>
    <row r="32" spans="2:56" s="7" customFormat="1" ht="18.75" x14ac:dyDescent="0.3">
      <c r="C32" s="21"/>
      <c r="D32" s="25">
        <v>8</v>
      </c>
      <c r="E32" s="320">
        <v>3</v>
      </c>
      <c r="F32" s="234">
        <v>12</v>
      </c>
      <c r="G32" s="233">
        <f t="shared" ref="G32" si="29">G31</f>
        <v>11</v>
      </c>
      <c r="H32" s="321">
        <f t="shared" ref="H32" si="30">H31</f>
        <v>10</v>
      </c>
      <c r="I32" s="330">
        <f t="shared" si="1"/>
        <v>5.5950086567610746E-3</v>
      </c>
      <c r="J32" s="230">
        <f t="shared" si="1"/>
        <v>0.50364662888321787</v>
      </c>
      <c r="K32" s="229">
        <f t="shared" si="1"/>
        <v>0.30547712207858196</v>
      </c>
      <c r="L32" s="228">
        <f t="shared" si="1"/>
        <v>0.18528124038143898</v>
      </c>
      <c r="M32" s="491">
        <f t="shared" si="5"/>
        <v>0.31107213073534312</v>
      </c>
      <c r="N32" s="515">
        <f t="shared" si="6"/>
        <v>0.68892786926465688</v>
      </c>
      <c r="O32" s="514">
        <f t="shared" si="7"/>
        <v>0.50924163753997909</v>
      </c>
      <c r="P32" s="477">
        <f t="shared" si="8"/>
        <v>0.49075836246002091</v>
      </c>
      <c r="Q32" s="491">
        <f t="shared" si="9"/>
        <v>311.07213073534314</v>
      </c>
      <c r="R32" s="515">
        <f t="shared" si="10"/>
        <v>688.92786926465692</v>
      </c>
      <c r="S32" s="514">
        <f t="shared" si="11"/>
        <v>0.50924163753997909</v>
      </c>
      <c r="T32" s="477">
        <f t="shared" si="12"/>
        <v>0.49075836246002091</v>
      </c>
      <c r="U32" s="491">
        <f t="shared" si="13"/>
        <v>0.98201379003790856</v>
      </c>
      <c r="V32" s="515">
        <f t="shared" si="14"/>
        <v>0.2689414213699951</v>
      </c>
      <c r="W32" s="514">
        <f t="shared" si="2"/>
        <v>0.98901305736940681</v>
      </c>
      <c r="X32" s="477">
        <f t="shared" si="15"/>
        <v>0.37754066879814546</v>
      </c>
      <c r="Y32" s="491">
        <f t="shared" si="24"/>
        <v>982.01379003790851</v>
      </c>
      <c r="Z32" s="515">
        <f t="shared" si="25"/>
        <v>268.94142136999511</v>
      </c>
      <c r="AA32" s="514">
        <f t="shared" si="26"/>
        <v>0.98901305736940681</v>
      </c>
      <c r="AB32" s="477">
        <f t="shared" si="27"/>
        <v>0.37754066879814546</v>
      </c>
      <c r="AC32" s="336">
        <f t="shared" si="19"/>
        <v>311.5813723728831</v>
      </c>
      <c r="AD32" s="219">
        <f t="shared" si="20"/>
        <v>311.56288909780318</v>
      </c>
      <c r="AE32" s="218">
        <f t="shared" si="21"/>
        <v>689.43711090219688</v>
      </c>
      <c r="AF32" s="337">
        <f t="shared" si="18"/>
        <v>689.41862762711696</v>
      </c>
      <c r="AG32" s="540">
        <f t="shared" si="22"/>
        <v>13.371760779975594</v>
      </c>
      <c r="AH32" s="541">
        <f t="shared" si="28"/>
        <v>0.77299287122557025</v>
      </c>
      <c r="AP32" s="8"/>
      <c r="AQ32" s="196"/>
      <c r="AR32" s="8"/>
      <c r="AS32" s="8"/>
      <c r="AT32" s="482"/>
      <c r="AU32" s="8"/>
      <c r="AV32" s="8"/>
      <c r="AW32" s="8"/>
      <c r="AX32" s="245"/>
      <c r="AY32" s="8"/>
      <c r="AZ32" s="189"/>
      <c r="BA32" s="189"/>
    </row>
    <row r="33" spans="3:53" s="7" customFormat="1" ht="18.75" x14ac:dyDescent="0.3">
      <c r="C33" s="21"/>
      <c r="D33" s="25">
        <v>9</v>
      </c>
      <c r="E33" s="320">
        <v>3</v>
      </c>
      <c r="F33" s="234">
        <v>13</v>
      </c>
      <c r="G33" s="233">
        <v>13</v>
      </c>
      <c r="H33" s="321">
        <v>12</v>
      </c>
      <c r="I33" s="330">
        <f t="shared" si="1"/>
        <v>2.5783599059737831E-3</v>
      </c>
      <c r="J33" s="230">
        <f t="shared" si="1"/>
        <v>0.38266253894899155</v>
      </c>
      <c r="K33" s="229">
        <f t="shared" si="1"/>
        <v>0.38266253894899155</v>
      </c>
      <c r="L33" s="228">
        <f t="shared" si="1"/>
        <v>0.23209656219604313</v>
      </c>
      <c r="M33" s="491">
        <f t="shared" si="5"/>
        <v>0.38524089885496537</v>
      </c>
      <c r="N33" s="515">
        <f t="shared" si="6"/>
        <v>0.61475910114503463</v>
      </c>
      <c r="O33" s="514">
        <f t="shared" si="7"/>
        <v>0.38524089885496537</v>
      </c>
      <c r="P33" s="477">
        <f t="shared" si="8"/>
        <v>0.61475910114503463</v>
      </c>
      <c r="Q33" s="491">
        <f t="shared" si="9"/>
        <v>385.24089885496539</v>
      </c>
      <c r="R33" s="515">
        <f t="shared" si="10"/>
        <v>614.75910114503461</v>
      </c>
      <c r="S33" s="514">
        <f t="shared" si="11"/>
        <v>0.38524089885496537</v>
      </c>
      <c r="T33" s="477">
        <f t="shared" si="12"/>
        <v>0.61475910114503463</v>
      </c>
      <c r="U33" s="491">
        <f t="shared" si="13"/>
        <v>0.99330714907571516</v>
      </c>
      <c r="V33" s="515">
        <f t="shared" si="14"/>
        <v>0.37754066879814546</v>
      </c>
      <c r="W33" s="514">
        <f t="shared" si="2"/>
        <v>0.99330714907571516</v>
      </c>
      <c r="X33" s="477">
        <f t="shared" si="15"/>
        <v>0.37754066879814546</v>
      </c>
      <c r="Y33" s="491">
        <f t="shared" si="24"/>
        <v>993.30714907571519</v>
      </c>
      <c r="Z33" s="515">
        <f t="shared" si="25"/>
        <v>377.54066879814548</v>
      </c>
      <c r="AA33" s="514">
        <f t="shared" si="26"/>
        <v>0.99330714907571516</v>
      </c>
      <c r="AB33" s="477">
        <f t="shared" si="27"/>
        <v>0.37754066879814546</v>
      </c>
      <c r="AC33" s="336">
        <f t="shared" si="19"/>
        <v>385.62613975382038</v>
      </c>
      <c r="AD33" s="219">
        <f t="shared" si="20"/>
        <v>385.85565795611041</v>
      </c>
      <c r="AE33" s="218">
        <f t="shared" si="21"/>
        <v>615.14434204388954</v>
      </c>
      <c r="AF33" s="337">
        <f t="shared" si="18"/>
        <v>615.37386024617967</v>
      </c>
      <c r="AG33" s="540">
        <f t="shared" si="22"/>
        <v>14.921203555095151</v>
      </c>
      <c r="AH33" s="541">
        <f t="shared" si="28"/>
        <v>1.549442775119557</v>
      </c>
      <c r="AP33" s="8"/>
      <c r="AQ33" s="196"/>
      <c r="AR33" s="8"/>
      <c r="AS33" s="8"/>
      <c r="AT33" s="482"/>
      <c r="AU33" s="8"/>
      <c r="AV33" s="8"/>
      <c r="AW33" s="8"/>
      <c r="AX33" s="245"/>
      <c r="AY33" s="8"/>
      <c r="AZ33" s="189"/>
      <c r="BA33" s="189"/>
    </row>
    <row r="34" spans="3:53" s="7" customFormat="1" ht="18.75" x14ac:dyDescent="0.3">
      <c r="C34" s="21"/>
      <c r="D34" s="25">
        <v>10</v>
      </c>
      <c r="E34" s="320">
        <v>4</v>
      </c>
      <c r="F34" s="234">
        <v>12</v>
      </c>
      <c r="G34" s="233">
        <v>12</v>
      </c>
      <c r="H34" s="321">
        <v>11</v>
      </c>
      <c r="I34" s="330">
        <f t="shared" si="1"/>
        <v>6.9777948135452926E-3</v>
      </c>
      <c r="J34" s="230">
        <f t="shared" si="1"/>
        <v>0.38097468813044161</v>
      </c>
      <c r="K34" s="229">
        <f t="shared" si="1"/>
        <v>0.38097468813044161</v>
      </c>
      <c r="L34" s="228">
        <f t="shared" si="1"/>
        <v>0.23107282892557152</v>
      </c>
      <c r="M34" s="491">
        <f t="shared" si="5"/>
        <v>0.38795248294398688</v>
      </c>
      <c r="N34" s="515">
        <f t="shared" si="6"/>
        <v>0.61204751705601312</v>
      </c>
      <c r="O34" s="514">
        <f t="shared" si="7"/>
        <v>0.38795248294398688</v>
      </c>
      <c r="P34" s="477">
        <f t="shared" si="8"/>
        <v>0.61204751705601312</v>
      </c>
      <c r="Q34" s="491">
        <f t="shared" si="9"/>
        <v>387.95248294398687</v>
      </c>
      <c r="R34" s="515">
        <f t="shared" si="10"/>
        <v>612.04751705601313</v>
      </c>
      <c r="S34" s="514">
        <f t="shared" si="11"/>
        <v>0.38795248294398688</v>
      </c>
      <c r="T34" s="477">
        <f t="shared" si="12"/>
        <v>0.61204751705601312</v>
      </c>
      <c r="U34" s="491">
        <f t="shared" si="13"/>
        <v>0.98201379003790845</v>
      </c>
      <c r="V34" s="515">
        <f t="shared" si="14"/>
        <v>0.37754066879814541</v>
      </c>
      <c r="W34" s="514">
        <f t="shared" si="2"/>
        <v>0.98201379003790845</v>
      </c>
      <c r="X34" s="477">
        <f t="shared" si="15"/>
        <v>0.37754066879814541</v>
      </c>
      <c r="Y34" s="491">
        <f t="shared" si="24"/>
        <v>982.01379003790851</v>
      </c>
      <c r="Z34" s="515">
        <f t="shared" si="25"/>
        <v>377.54066879814542</v>
      </c>
      <c r="AA34" s="514">
        <f t="shared" si="26"/>
        <v>0.98201379003790845</v>
      </c>
      <c r="AB34" s="477">
        <f t="shared" si="27"/>
        <v>0.37754066879814541</v>
      </c>
      <c r="AC34" s="336">
        <f t="shared" si="19"/>
        <v>388.34043542693087</v>
      </c>
      <c r="AD34" s="219">
        <f t="shared" si="20"/>
        <v>388.56453046104286</v>
      </c>
      <c r="AE34" s="218">
        <f t="shared" si="21"/>
        <v>612.43546953895714</v>
      </c>
      <c r="AF34" s="337">
        <f t="shared" si="18"/>
        <v>612.65956457306913</v>
      </c>
      <c r="AG34" s="540">
        <f t="shared" si="22"/>
        <v>13.930044682831067</v>
      </c>
      <c r="AH34" s="541">
        <f t="shared" si="28"/>
        <v>-0.99115887226408361</v>
      </c>
      <c r="AP34" s="8"/>
      <c r="AQ34" s="196"/>
      <c r="AR34" s="8"/>
      <c r="AS34" s="8"/>
      <c r="AT34" s="482"/>
      <c r="AU34" s="8"/>
      <c r="AV34" s="8"/>
      <c r="AW34" s="8"/>
      <c r="AX34" s="245"/>
      <c r="AY34" s="8"/>
      <c r="AZ34" s="189"/>
      <c r="BA34" s="189"/>
    </row>
    <row r="35" spans="3:53" s="7" customFormat="1" ht="18.75" x14ac:dyDescent="0.3">
      <c r="C35" s="21"/>
      <c r="D35" s="25">
        <v>11</v>
      </c>
      <c r="E35" s="320">
        <v>6</v>
      </c>
      <c r="F35" s="234">
        <v>10</v>
      </c>
      <c r="G35" s="233">
        <v>12</v>
      </c>
      <c r="H35" s="321">
        <v>10</v>
      </c>
      <c r="I35" s="330">
        <f t="shared" si="1"/>
        <v>2.7883386786011224E-2</v>
      </c>
      <c r="J35" s="230">
        <f t="shared" si="1"/>
        <v>0.20603190919001854</v>
      </c>
      <c r="K35" s="229">
        <f t="shared" si="1"/>
        <v>0.56005279483395154</v>
      </c>
      <c r="L35" s="228">
        <f t="shared" si="1"/>
        <v>0.20603190919001854</v>
      </c>
      <c r="M35" s="491">
        <f t="shared" si="5"/>
        <v>0.58793618161996286</v>
      </c>
      <c r="N35" s="515">
        <f t="shared" si="6"/>
        <v>0.41206381838003708</v>
      </c>
      <c r="O35" s="514">
        <f t="shared" si="7"/>
        <v>0.23391529597602989</v>
      </c>
      <c r="P35" s="477">
        <f t="shared" si="8"/>
        <v>0.76608470402397011</v>
      </c>
      <c r="Q35" s="491">
        <f t="shared" si="9"/>
        <v>587.93618161996289</v>
      </c>
      <c r="R35" s="515">
        <f t="shared" si="10"/>
        <v>412.06381838003711</v>
      </c>
      <c r="S35" s="514">
        <f t="shared" si="11"/>
        <v>0.23391529597602989</v>
      </c>
      <c r="T35" s="477">
        <f t="shared" si="12"/>
        <v>0.76608470402397011</v>
      </c>
      <c r="U35" s="491">
        <f t="shared" si="13"/>
        <v>0.95257412682243325</v>
      </c>
      <c r="V35" s="515">
        <f t="shared" si="14"/>
        <v>0.5</v>
      </c>
      <c r="W35" s="514">
        <f t="shared" si="2"/>
        <v>0.88079707797788243</v>
      </c>
      <c r="X35" s="477">
        <f t="shared" si="15"/>
        <v>0.2689414213699951</v>
      </c>
      <c r="Y35" s="491">
        <f t="shared" si="24"/>
        <v>952.5741268224333</v>
      </c>
      <c r="Z35" s="515">
        <f t="shared" si="25"/>
        <v>500</v>
      </c>
      <c r="AA35" s="514">
        <f t="shared" si="26"/>
        <v>0.88079707797788243</v>
      </c>
      <c r="AB35" s="477">
        <f t="shared" si="27"/>
        <v>0.2689414213699951</v>
      </c>
      <c r="AC35" s="336">
        <f t="shared" si="19"/>
        <v>588.17009691593887</v>
      </c>
      <c r="AD35" s="219">
        <f t="shared" si="20"/>
        <v>588.70226632398692</v>
      </c>
      <c r="AE35" s="218">
        <f t="shared" si="21"/>
        <v>412.29773367601314</v>
      </c>
      <c r="AF35" s="337">
        <f t="shared" si="18"/>
        <v>412.82990308406107</v>
      </c>
      <c r="AG35" s="540">
        <f t="shared" si="22"/>
        <v>13.159448446414984</v>
      </c>
      <c r="AH35" s="541">
        <f t="shared" si="28"/>
        <v>-0.77059623641608255</v>
      </c>
      <c r="AP35" s="8"/>
      <c r="AQ35" s="196"/>
      <c r="AR35" s="8"/>
      <c r="AS35" s="8"/>
      <c r="AT35" s="482"/>
      <c r="AU35" s="8"/>
      <c r="AV35" s="8"/>
      <c r="AW35" s="8"/>
      <c r="AX35" s="245"/>
      <c r="AY35" s="8"/>
      <c r="AZ35" s="189"/>
      <c r="BA35" s="189"/>
    </row>
    <row r="36" spans="3:53" s="7" customFormat="1" ht="18.75" x14ac:dyDescent="0.3">
      <c r="C36" s="21"/>
      <c r="D36" s="25">
        <v>12</v>
      </c>
      <c r="E36" s="320">
        <v>6</v>
      </c>
      <c r="F36" s="234">
        <v>8</v>
      </c>
      <c r="G36" s="233">
        <v>12.3</v>
      </c>
      <c r="H36" s="321">
        <v>4</v>
      </c>
      <c r="I36" s="330">
        <f t="shared" si="1"/>
        <v>3.6466769891295929E-2</v>
      </c>
      <c r="J36" s="230">
        <f t="shared" si="1"/>
        <v>9.9126957938107163E-2</v>
      </c>
      <c r="K36" s="229">
        <f t="shared" si="1"/>
        <v>0.85099089724165955</v>
      </c>
      <c r="L36" s="228">
        <f t="shared" si="1"/>
        <v>1.3415374928937527E-2</v>
      </c>
      <c r="M36" s="491">
        <f t="shared" si="5"/>
        <v>0.88745766713295526</v>
      </c>
      <c r="N36" s="515">
        <f t="shared" si="6"/>
        <v>0.11254233286704469</v>
      </c>
      <c r="O36" s="514">
        <f t="shared" si="7"/>
        <v>0.13559372782940293</v>
      </c>
      <c r="P36" s="477">
        <f t="shared" si="8"/>
        <v>0.86440627217059707</v>
      </c>
      <c r="Q36" s="491">
        <f t="shared" si="9"/>
        <v>887.45766713295529</v>
      </c>
      <c r="R36" s="515">
        <f t="shared" si="10"/>
        <v>112.54233286704469</v>
      </c>
      <c r="S36" s="514">
        <f t="shared" si="11"/>
        <v>0.13559372782940293</v>
      </c>
      <c r="T36" s="477">
        <f t="shared" si="12"/>
        <v>0.86440627217059707</v>
      </c>
      <c r="U36" s="491">
        <f t="shared" si="13"/>
        <v>0.95890872179953501</v>
      </c>
      <c r="V36" s="515">
        <f t="shared" si="14"/>
        <v>0.11920292202211756</v>
      </c>
      <c r="W36" s="514">
        <f t="shared" si="2"/>
        <v>0.7310585786300049</v>
      </c>
      <c r="X36" s="477">
        <f t="shared" si="15"/>
        <v>1.5519756578408888E-2</v>
      </c>
      <c r="Y36" s="491">
        <f t="shared" si="24"/>
        <v>958.90872179953499</v>
      </c>
      <c r="Z36" s="515">
        <f t="shared" si="25"/>
        <v>119.20292202211756</v>
      </c>
      <c r="AA36" s="514">
        <f t="shared" si="26"/>
        <v>0.7310585786300049</v>
      </c>
      <c r="AB36" s="477">
        <f t="shared" si="27"/>
        <v>1.5519756578408888E-2</v>
      </c>
      <c r="AC36" s="336">
        <f t="shared" si="19"/>
        <v>887.59326086078465</v>
      </c>
      <c r="AD36" s="219">
        <f t="shared" si="20"/>
        <v>888.32207340512593</v>
      </c>
      <c r="AE36" s="218">
        <f t="shared" si="21"/>
        <v>112.67792659487409</v>
      </c>
      <c r="AF36" s="337">
        <f t="shared" si="18"/>
        <v>113.40673913921529</v>
      </c>
      <c r="AG36" s="540">
        <f t="shared" si="22"/>
        <v>12.622707694018525</v>
      </c>
      <c r="AH36" s="541">
        <f t="shared" si="28"/>
        <v>-0.5367407523964598</v>
      </c>
      <c r="AP36" s="8"/>
      <c r="AQ36" s="196"/>
      <c r="AR36" s="8"/>
      <c r="AS36" s="8"/>
      <c r="AT36" s="482"/>
      <c r="AU36" s="8"/>
      <c r="AV36" s="8"/>
      <c r="AW36" s="8"/>
      <c r="AX36" s="245"/>
      <c r="AY36" s="8"/>
      <c r="AZ36" s="189"/>
      <c r="BA36" s="189"/>
    </row>
    <row r="37" spans="3:53" s="7" customFormat="1" ht="18.75" x14ac:dyDescent="0.3">
      <c r="C37" s="21"/>
      <c r="D37" s="25">
        <v>13</v>
      </c>
      <c r="E37" s="320">
        <v>8</v>
      </c>
      <c r="F37" s="234">
        <v>6</v>
      </c>
      <c r="G37" s="233">
        <v>12.6</v>
      </c>
      <c r="H37" s="321">
        <v>6</v>
      </c>
      <c r="I37" s="330">
        <f t="shared" si="1"/>
        <v>8.5397524309266393E-2</v>
      </c>
      <c r="J37" s="230">
        <f t="shared" si="1"/>
        <v>3.1415993520317584E-2</v>
      </c>
      <c r="K37" s="229">
        <f t="shared" si="1"/>
        <v>0.85177048865009841</v>
      </c>
      <c r="L37" s="228">
        <f t="shared" si="1"/>
        <v>3.1415993520317584E-2</v>
      </c>
      <c r="M37" s="491">
        <f t="shared" si="5"/>
        <v>0.9371680129593648</v>
      </c>
      <c r="N37" s="515">
        <f t="shared" si="6"/>
        <v>6.2831987040635168E-2</v>
      </c>
      <c r="O37" s="514">
        <f t="shared" si="7"/>
        <v>0.11681351782958405</v>
      </c>
      <c r="P37" s="477">
        <f t="shared" si="8"/>
        <v>0.88318648217041595</v>
      </c>
      <c r="Q37" s="491">
        <f t="shared" si="9"/>
        <v>937.16801295936477</v>
      </c>
      <c r="R37" s="515">
        <f t="shared" si="10"/>
        <v>62.83198704063517</v>
      </c>
      <c r="S37" s="514">
        <f t="shared" si="11"/>
        <v>0.11681351782958405</v>
      </c>
      <c r="T37" s="477">
        <f t="shared" si="12"/>
        <v>0.88318648217041595</v>
      </c>
      <c r="U37" s="491">
        <f t="shared" si="13"/>
        <v>0.90887703898514383</v>
      </c>
      <c r="V37" s="515">
        <f t="shared" si="14"/>
        <v>0.5</v>
      </c>
      <c r="W37" s="514">
        <f t="shared" si="2"/>
        <v>0.26894142136999516</v>
      </c>
      <c r="X37" s="477">
        <f t="shared" si="15"/>
        <v>3.5571189272636181E-2</v>
      </c>
      <c r="Y37" s="491">
        <f t="shared" si="24"/>
        <v>908.87703898514383</v>
      </c>
      <c r="Z37" s="515">
        <f t="shared" si="25"/>
        <v>500</v>
      </c>
      <c r="AA37" s="514">
        <f t="shared" si="26"/>
        <v>0.26894142136999516</v>
      </c>
      <c r="AB37" s="477">
        <f t="shared" si="27"/>
        <v>3.5571189272636181E-2</v>
      </c>
      <c r="AC37" s="336">
        <f t="shared" si="19"/>
        <v>937.28482647719431</v>
      </c>
      <c r="AD37" s="219">
        <f t="shared" si="20"/>
        <v>938.05119944153523</v>
      </c>
      <c r="AE37" s="218">
        <f t="shared" si="21"/>
        <v>62.948800558464754</v>
      </c>
      <c r="AF37" s="337">
        <f t="shared" si="18"/>
        <v>63.715173522805586</v>
      </c>
      <c r="AG37" s="540">
        <f t="shared" si="22"/>
        <v>12.92087633592133</v>
      </c>
      <c r="AH37" s="541">
        <f t="shared" si="28"/>
        <v>0.29816864190280512</v>
      </c>
      <c r="AP37" s="8"/>
      <c r="AQ37" s="196"/>
      <c r="AR37" s="8"/>
      <c r="AS37" s="8"/>
      <c r="AT37" s="482"/>
      <c r="AU37" s="8"/>
      <c r="AV37" s="8"/>
      <c r="AW37" s="8"/>
      <c r="AX37" s="245"/>
      <c r="AY37" s="8"/>
      <c r="AZ37" s="189"/>
      <c r="BA37" s="189"/>
    </row>
    <row r="38" spans="3:53" s="7" customFormat="1" ht="18.75" x14ac:dyDescent="0.3">
      <c r="C38" s="21"/>
      <c r="D38" s="25">
        <v>14</v>
      </c>
      <c r="E38" s="320">
        <v>8</v>
      </c>
      <c r="F38" s="234">
        <v>7</v>
      </c>
      <c r="G38" s="233">
        <v>13</v>
      </c>
      <c r="H38" s="321">
        <v>6</v>
      </c>
      <c r="I38" s="330">
        <f t="shared" si="1"/>
        <v>7.0636912961311721E-2</v>
      </c>
      <c r="J38" s="230">
        <f t="shared" si="1"/>
        <v>4.2843453418488261E-2</v>
      </c>
      <c r="K38" s="229">
        <f t="shared" si="1"/>
        <v>0.86053376555391692</v>
      </c>
      <c r="L38" s="228">
        <f t="shared" si="1"/>
        <v>2.5985868066283169E-2</v>
      </c>
      <c r="M38" s="491">
        <f t="shared" si="5"/>
        <v>0.93117067851522861</v>
      </c>
      <c r="N38" s="515">
        <f t="shared" si="6"/>
        <v>6.882932148477143E-2</v>
      </c>
      <c r="O38" s="514">
        <f t="shared" si="7"/>
        <v>0.11348036637979986</v>
      </c>
      <c r="P38" s="477">
        <f t="shared" si="8"/>
        <v>0.88651963362020014</v>
      </c>
      <c r="Q38" s="491">
        <f t="shared" si="9"/>
        <v>931.17067851522859</v>
      </c>
      <c r="R38" s="515">
        <f t="shared" si="10"/>
        <v>68.829321484771427</v>
      </c>
      <c r="S38" s="514">
        <f t="shared" si="11"/>
        <v>0.11348036637979986</v>
      </c>
      <c r="T38" s="477">
        <f t="shared" si="12"/>
        <v>0.88651963362020014</v>
      </c>
      <c r="U38" s="491">
        <f t="shared" si="13"/>
        <v>0.92414181997875644</v>
      </c>
      <c r="V38" s="515">
        <f t="shared" si="14"/>
        <v>0.37754066879814546</v>
      </c>
      <c r="W38" s="514">
        <f t="shared" si="2"/>
        <v>0.37754066879814541</v>
      </c>
      <c r="X38" s="477">
        <f t="shared" si="15"/>
        <v>2.9312230751356319E-2</v>
      </c>
      <c r="Y38" s="491">
        <f t="shared" si="24"/>
        <v>924.14181997875642</v>
      </c>
      <c r="Z38" s="515">
        <f t="shared" si="25"/>
        <v>377.54066879814548</v>
      </c>
      <c r="AA38" s="514">
        <f t="shared" si="26"/>
        <v>0.37754066879814541</v>
      </c>
      <c r="AB38" s="477">
        <f t="shared" si="27"/>
        <v>2.9312230751356319E-2</v>
      </c>
      <c r="AC38" s="336">
        <f t="shared" si="19"/>
        <v>931.28415888160839</v>
      </c>
      <c r="AD38" s="219">
        <f t="shared" si="20"/>
        <v>932.05719814884878</v>
      </c>
      <c r="AE38" s="218">
        <f t="shared" si="21"/>
        <v>68.942801851151231</v>
      </c>
      <c r="AF38" s="337">
        <f t="shared" si="18"/>
        <v>69.715841118391623</v>
      </c>
      <c r="AG38" s="540">
        <f t="shared" si="22"/>
        <v>13.300404849284066</v>
      </c>
      <c r="AH38" s="541">
        <f t="shared" si="28"/>
        <v>0.37952851336273596</v>
      </c>
      <c r="AP38" s="8"/>
      <c r="AQ38" s="196"/>
      <c r="AR38" s="8"/>
      <c r="AS38" s="8"/>
      <c r="AT38" s="482"/>
      <c r="AU38" s="8"/>
      <c r="AV38" s="8"/>
      <c r="AW38" s="8"/>
      <c r="AX38" s="245"/>
      <c r="AY38" s="8"/>
      <c r="AZ38" s="189"/>
      <c r="BA38" s="189"/>
    </row>
    <row r="39" spans="3:53" s="7" customFormat="1" ht="18.75" x14ac:dyDescent="0.3">
      <c r="C39" s="21"/>
      <c r="D39" s="25">
        <v>15</v>
      </c>
      <c r="E39" s="320">
        <v>7</v>
      </c>
      <c r="F39" s="234">
        <v>9</v>
      </c>
      <c r="G39" s="233">
        <v>14</v>
      </c>
      <c r="H39" s="321">
        <v>7</v>
      </c>
      <c r="I39" s="330">
        <f t="shared" si="1"/>
        <v>2.6431438293293905E-2</v>
      </c>
      <c r="J39" s="230">
        <f t="shared" si="1"/>
        <v>7.1848098412697389E-2</v>
      </c>
      <c r="K39" s="229">
        <f t="shared" si="1"/>
        <v>0.8752890250007147</v>
      </c>
      <c r="L39" s="228">
        <f t="shared" si="1"/>
        <v>2.6431438293293905E-2</v>
      </c>
      <c r="M39" s="491">
        <f t="shared" si="5"/>
        <v>0.90172046329400868</v>
      </c>
      <c r="N39" s="515">
        <f t="shared" si="6"/>
        <v>9.8279536705991294E-2</v>
      </c>
      <c r="O39" s="514">
        <f t="shared" si="7"/>
        <v>9.8279536705991433E-2</v>
      </c>
      <c r="P39" s="477">
        <f t="shared" si="8"/>
        <v>0.90172046329400857</v>
      </c>
      <c r="Q39" s="491">
        <f t="shared" si="9"/>
        <v>901.72046329400871</v>
      </c>
      <c r="R39" s="515">
        <f t="shared" si="10"/>
        <v>98.279536705991291</v>
      </c>
      <c r="S39" s="514">
        <f t="shared" si="11"/>
        <v>9.8279536705991433E-2</v>
      </c>
      <c r="T39" s="477">
        <f t="shared" si="12"/>
        <v>0.90172046329400857</v>
      </c>
      <c r="U39" s="491">
        <f t="shared" si="13"/>
        <v>0.97068776924864375</v>
      </c>
      <c r="V39" s="515">
        <f t="shared" si="14"/>
        <v>0.2689414213699951</v>
      </c>
      <c r="W39" s="514">
        <f t="shared" si="2"/>
        <v>0.7310585786300049</v>
      </c>
      <c r="X39" s="477">
        <f t="shared" si="15"/>
        <v>2.9312230751356319E-2</v>
      </c>
      <c r="Y39" s="491">
        <f t="shared" si="24"/>
        <v>970.6877692486438</v>
      </c>
      <c r="Z39" s="515">
        <f t="shared" si="25"/>
        <v>268.94142136999511</v>
      </c>
      <c r="AA39" s="514">
        <f t="shared" si="26"/>
        <v>0.7310585786300049</v>
      </c>
      <c r="AB39" s="477">
        <f t="shared" si="27"/>
        <v>2.9312230751356319E-2</v>
      </c>
      <c r="AC39" s="336">
        <f t="shared" si="19"/>
        <v>901.81874283071465</v>
      </c>
      <c r="AD39" s="219">
        <f t="shared" si="20"/>
        <v>902.62218375730276</v>
      </c>
      <c r="AE39" s="218">
        <f t="shared" si="21"/>
        <v>98.377816242697278</v>
      </c>
      <c r="AF39" s="337">
        <f t="shared" si="18"/>
        <v>99.181257169285303</v>
      </c>
      <c r="AG39" s="540">
        <f t="shared" si="22"/>
        <v>14.26640226575949</v>
      </c>
      <c r="AH39" s="541">
        <f t="shared" si="28"/>
        <v>0.96599741647542459</v>
      </c>
      <c r="AP39" s="8"/>
      <c r="AQ39" s="196"/>
      <c r="AR39" s="8"/>
      <c r="AS39" s="8"/>
      <c r="AT39" s="482"/>
      <c r="AU39" s="8"/>
      <c r="AV39" s="8"/>
      <c r="AW39" s="8"/>
      <c r="AX39" s="245"/>
      <c r="AY39" s="8"/>
      <c r="AZ39" s="189"/>
      <c r="BA39" s="189"/>
    </row>
    <row r="40" spans="3:53" s="7" customFormat="1" ht="18.75" x14ac:dyDescent="0.3">
      <c r="C40" s="21"/>
      <c r="D40" s="25">
        <v>16</v>
      </c>
      <c r="E40" s="320">
        <v>7</v>
      </c>
      <c r="F40" s="234">
        <v>9</v>
      </c>
      <c r="G40" s="233">
        <v>15</v>
      </c>
      <c r="H40" s="321">
        <v>8</v>
      </c>
      <c r="I40" s="330">
        <f t="shared" si="1"/>
        <v>1.667635197718351E-2</v>
      </c>
      <c r="J40" s="230">
        <f t="shared" si="1"/>
        <v>4.5331024544565009E-2</v>
      </c>
      <c r="K40" s="229">
        <f t="shared" si="1"/>
        <v>0.91049796725578691</v>
      </c>
      <c r="L40" s="228">
        <f t="shared" si="1"/>
        <v>2.7494656222464591E-2</v>
      </c>
      <c r="M40" s="491">
        <f t="shared" si="5"/>
        <v>0.92717431923297045</v>
      </c>
      <c r="N40" s="515">
        <f t="shared" si="6"/>
        <v>7.2825680767029596E-2</v>
      </c>
      <c r="O40" s="514">
        <f t="shared" si="7"/>
        <v>6.2007376521748481E-2</v>
      </c>
      <c r="P40" s="477">
        <f t="shared" si="8"/>
        <v>0.93799262347825152</v>
      </c>
      <c r="Q40" s="491">
        <f t="shared" si="9"/>
        <v>927.17431923297045</v>
      </c>
      <c r="R40" s="515">
        <f t="shared" si="10"/>
        <v>72.825680767029596</v>
      </c>
      <c r="S40" s="514">
        <f t="shared" si="11"/>
        <v>6.2007376521748481E-2</v>
      </c>
      <c r="T40" s="477">
        <f t="shared" si="12"/>
        <v>0.93799262347825152</v>
      </c>
      <c r="U40" s="491">
        <f t="shared" si="13"/>
        <v>0.98201379003790845</v>
      </c>
      <c r="V40" s="515">
        <f t="shared" si="14"/>
        <v>0.37754066879814546</v>
      </c>
      <c r="W40" s="514">
        <f t="shared" si="2"/>
        <v>0.7310585786300049</v>
      </c>
      <c r="X40" s="477">
        <f t="shared" si="15"/>
        <v>2.9312230751356316E-2</v>
      </c>
      <c r="Y40" s="491">
        <f t="shared" si="24"/>
        <v>982.01379003790851</v>
      </c>
      <c r="Z40" s="515">
        <f t="shared" si="25"/>
        <v>377.54066879814548</v>
      </c>
      <c r="AA40" s="514">
        <f t="shared" si="26"/>
        <v>0.7310585786300049</v>
      </c>
      <c r="AB40" s="477">
        <f t="shared" si="27"/>
        <v>2.9312230751356316E-2</v>
      </c>
      <c r="AC40" s="336">
        <f t="shared" si="19"/>
        <v>927.23632660949215</v>
      </c>
      <c r="AD40" s="219">
        <f t="shared" si="20"/>
        <v>928.11231185644874</v>
      </c>
      <c r="AE40" s="218">
        <f t="shared" si="21"/>
        <v>72.887688143551344</v>
      </c>
      <c r="AF40" s="337">
        <f t="shared" si="18"/>
        <v>73.763673390507847</v>
      </c>
      <c r="AG40" s="540">
        <f t="shared" si="22"/>
        <v>15.187527224750271</v>
      </c>
      <c r="AH40" s="541">
        <f t="shared" si="28"/>
        <v>0.92112495899078084</v>
      </c>
      <c r="AP40" s="8"/>
      <c r="AQ40" s="196"/>
      <c r="AR40" s="8"/>
      <c r="AS40" s="8"/>
      <c r="AT40" s="482"/>
      <c r="AU40" s="8"/>
      <c r="AV40" s="8"/>
      <c r="AW40" s="8"/>
      <c r="AX40" s="245"/>
      <c r="AY40" s="8"/>
      <c r="AZ40" s="189"/>
      <c r="BA40" s="189"/>
    </row>
    <row r="41" spans="3:53" s="7" customFormat="1" ht="18.75" x14ac:dyDescent="0.3">
      <c r="C41" s="21"/>
      <c r="D41" s="25">
        <v>17</v>
      </c>
      <c r="E41" s="320">
        <v>9</v>
      </c>
      <c r="F41" s="234">
        <v>13</v>
      </c>
      <c r="G41" s="233">
        <v>15</v>
      </c>
      <c r="H41" s="321">
        <v>12</v>
      </c>
      <c r="I41" s="330">
        <f t="shared" si="1"/>
        <v>3.0343228559416225E-2</v>
      </c>
      <c r="J41" s="230">
        <f t="shared" si="1"/>
        <v>0.22420781804820114</v>
      </c>
      <c r="K41" s="229">
        <f t="shared" si="1"/>
        <v>0.60946003759887712</v>
      </c>
      <c r="L41" s="228">
        <f t="shared" si="1"/>
        <v>0.13598891579350553</v>
      </c>
      <c r="M41" s="491">
        <f t="shared" si="5"/>
        <v>0.6398032661582933</v>
      </c>
      <c r="N41" s="515">
        <f t="shared" si="6"/>
        <v>0.3601967338417067</v>
      </c>
      <c r="O41" s="514">
        <f t="shared" si="7"/>
        <v>0.25455104660761729</v>
      </c>
      <c r="P41" s="477">
        <f t="shared" si="8"/>
        <v>0.74544895339238271</v>
      </c>
      <c r="Q41" s="491">
        <f t="shared" si="9"/>
        <v>639.80326615829335</v>
      </c>
      <c r="R41" s="515">
        <f t="shared" si="10"/>
        <v>360.1967338417067</v>
      </c>
      <c r="S41" s="514">
        <f t="shared" si="11"/>
        <v>0.25455104660761729</v>
      </c>
      <c r="T41" s="477">
        <f t="shared" si="12"/>
        <v>0.74544895339238271</v>
      </c>
      <c r="U41" s="491">
        <f t="shared" si="13"/>
        <v>0.95257412682243325</v>
      </c>
      <c r="V41" s="515">
        <f t="shared" si="14"/>
        <v>0.37754066879814541</v>
      </c>
      <c r="W41" s="514">
        <f t="shared" si="2"/>
        <v>0.88079707797788254</v>
      </c>
      <c r="X41" s="477">
        <f t="shared" si="15"/>
        <v>0.18242552380635635</v>
      </c>
      <c r="Y41" s="491">
        <f t="shared" si="24"/>
        <v>952.5741268224333</v>
      </c>
      <c r="Z41" s="515">
        <f t="shared" si="25"/>
        <v>377.54066879814542</v>
      </c>
      <c r="AA41" s="514">
        <f t="shared" si="26"/>
        <v>0.88079707797788254</v>
      </c>
      <c r="AB41" s="477">
        <f t="shared" si="27"/>
        <v>0.18242552380635635</v>
      </c>
      <c r="AC41" s="336">
        <f t="shared" si="19"/>
        <v>640.05781720490097</v>
      </c>
      <c r="AD41" s="219">
        <f t="shared" si="20"/>
        <v>640.54871511168574</v>
      </c>
      <c r="AE41" s="218">
        <f t="shared" si="21"/>
        <v>360.45128488831432</v>
      </c>
      <c r="AF41" s="337">
        <f t="shared" si="18"/>
        <v>360.94218279509909</v>
      </c>
      <c r="AG41" s="540">
        <f t="shared" si="22"/>
        <v>15.990363796171712</v>
      </c>
      <c r="AH41" s="541">
        <f t="shared" si="28"/>
        <v>0.80283657142144094</v>
      </c>
      <c r="AQ41" s="196"/>
      <c r="AT41" s="184"/>
      <c r="AX41" s="186"/>
      <c r="AZ41" s="189"/>
      <c r="BA41" s="189"/>
    </row>
    <row r="42" spans="3:53" s="7" customFormat="1" ht="18.75" x14ac:dyDescent="0.3">
      <c r="C42" s="21"/>
      <c r="D42" s="25">
        <v>18</v>
      </c>
      <c r="E42" s="320">
        <v>10</v>
      </c>
      <c r="F42" s="234">
        <v>13</v>
      </c>
      <c r="G42" s="233">
        <v>15</v>
      </c>
      <c r="H42" s="321">
        <v>12</v>
      </c>
      <c r="I42" s="330">
        <f t="shared" si="1"/>
        <v>4.9061779666647355E-2</v>
      </c>
      <c r="J42" s="230">
        <f t="shared" si="1"/>
        <v>0.21987964170334776</v>
      </c>
      <c r="K42" s="229">
        <f t="shared" si="1"/>
        <v>0.59769483449029581</v>
      </c>
      <c r="L42" s="228">
        <f t="shared" si="1"/>
        <v>0.13336374413970897</v>
      </c>
      <c r="M42" s="491">
        <f t="shared" si="5"/>
        <v>0.6467566141569433</v>
      </c>
      <c r="N42" s="515">
        <f t="shared" si="6"/>
        <v>0.3532433858430567</v>
      </c>
      <c r="O42" s="514">
        <f t="shared" si="7"/>
        <v>0.26894142136999521</v>
      </c>
      <c r="P42" s="477">
        <f t="shared" si="8"/>
        <v>0.73105857863000479</v>
      </c>
      <c r="Q42" s="491">
        <f t="shared" si="9"/>
        <v>646.75661415694333</v>
      </c>
      <c r="R42" s="515">
        <f t="shared" si="10"/>
        <v>353.24338584305673</v>
      </c>
      <c r="S42" s="514">
        <f t="shared" si="11"/>
        <v>0.26894142136999521</v>
      </c>
      <c r="T42" s="477">
        <f t="shared" si="12"/>
        <v>0.73105857863000479</v>
      </c>
      <c r="U42" s="491">
        <f t="shared" si="13"/>
        <v>0.92414181997875644</v>
      </c>
      <c r="V42" s="515">
        <f t="shared" si="14"/>
        <v>0.37754066879814546</v>
      </c>
      <c r="W42" s="514">
        <f t="shared" si="2"/>
        <v>0.81757447619364365</v>
      </c>
      <c r="X42" s="477">
        <f t="shared" si="15"/>
        <v>0.18242552380635635</v>
      </c>
      <c r="Y42" s="491">
        <f t="shared" si="24"/>
        <v>924.14181997875642</v>
      </c>
      <c r="Z42" s="515">
        <f t="shared" si="25"/>
        <v>377.54066879814548</v>
      </c>
      <c r="AA42" s="514">
        <f t="shared" si="26"/>
        <v>0.81757447619364365</v>
      </c>
      <c r="AB42" s="477">
        <f t="shared" si="27"/>
        <v>0.18242552380635635</v>
      </c>
      <c r="AC42" s="336">
        <f t="shared" si="19"/>
        <v>647.02555557831329</v>
      </c>
      <c r="AD42" s="219">
        <f t="shared" si="20"/>
        <v>647.48767273557337</v>
      </c>
      <c r="AE42" s="218">
        <f t="shared" si="21"/>
        <v>353.51232726442674</v>
      </c>
      <c r="AF42" s="337">
        <f t="shared" si="18"/>
        <v>353.97444442168671</v>
      </c>
      <c r="AG42" s="540">
        <f t="shared" si="22"/>
        <v>16.029349931001949</v>
      </c>
      <c r="AH42" s="541">
        <f t="shared" si="28"/>
        <v>3.8986134830237162E-2</v>
      </c>
      <c r="AQ42" s="196"/>
      <c r="AT42" s="184"/>
      <c r="AX42" s="186"/>
      <c r="AZ42" s="189"/>
      <c r="BA42" s="189"/>
    </row>
    <row r="43" spans="3:53" s="7" customFormat="1" ht="18.75" x14ac:dyDescent="0.3">
      <c r="C43" s="21"/>
      <c r="D43" s="25">
        <v>19</v>
      </c>
      <c r="E43" s="320">
        <v>11</v>
      </c>
      <c r="F43" s="234">
        <v>12</v>
      </c>
      <c r="G43" s="233">
        <v>16</v>
      </c>
      <c r="H43" s="321">
        <v>11</v>
      </c>
      <c r="I43" s="330">
        <f t="shared" si="1"/>
        <v>6.3166344805694344E-2</v>
      </c>
      <c r="J43" s="230">
        <f t="shared" si="1"/>
        <v>0.10414369627352682</v>
      </c>
      <c r="K43" s="229">
        <f t="shared" si="1"/>
        <v>0.76952361411508452</v>
      </c>
      <c r="L43" s="228">
        <f t="shared" si="1"/>
        <v>6.3166344805694344E-2</v>
      </c>
      <c r="M43" s="491">
        <f t="shared" si="5"/>
        <v>0.83268995892077879</v>
      </c>
      <c r="N43" s="515">
        <f t="shared" si="6"/>
        <v>0.16731004107922115</v>
      </c>
      <c r="O43" s="514">
        <f t="shared" si="7"/>
        <v>0.16731004107922109</v>
      </c>
      <c r="P43" s="477">
        <f t="shared" si="8"/>
        <v>0.83268995892077891</v>
      </c>
      <c r="Q43" s="491">
        <f t="shared" si="9"/>
        <v>832.68995892077885</v>
      </c>
      <c r="R43" s="515">
        <f t="shared" si="10"/>
        <v>167.31004107922115</v>
      </c>
      <c r="S43" s="514">
        <f t="shared" si="11"/>
        <v>0.16731004107922109</v>
      </c>
      <c r="T43" s="477">
        <f t="shared" si="12"/>
        <v>0.83268995892077891</v>
      </c>
      <c r="U43" s="491">
        <f t="shared" si="13"/>
        <v>0.92414181997875644</v>
      </c>
      <c r="V43" s="515">
        <f t="shared" si="14"/>
        <v>0.37754066879814546</v>
      </c>
      <c r="W43" s="514">
        <f t="shared" si="2"/>
        <v>0.62245933120185459</v>
      </c>
      <c r="X43" s="477">
        <f t="shared" si="15"/>
        <v>7.5858180021243546E-2</v>
      </c>
      <c r="Y43" s="491">
        <f t="shared" si="24"/>
        <v>924.14181997875642</v>
      </c>
      <c r="Z43" s="515">
        <f t="shared" si="25"/>
        <v>377.54066879814548</v>
      </c>
      <c r="AA43" s="514">
        <f t="shared" si="26"/>
        <v>0.62245933120185459</v>
      </c>
      <c r="AB43" s="477">
        <f t="shared" si="27"/>
        <v>7.5858180021243546E-2</v>
      </c>
      <c r="AC43" s="336">
        <f t="shared" si="19"/>
        <v>832.85726896185804</v>
      </c>
      <c r="AD43" s="219">
        <f t="shared" si="20"/>
        <v>833.52264887969966</v>
      </c>
      <c r="AE43" s="218">
        <f t="shared" si="21"/>
        <v>167.47735112030037</v>
      </c>
      <c r="AF43" s="337">
        <f t="shared" si="18"/>
        <v>168.14273103814193</v>
      </c>
      <c r="AG43" s="540">
        <f t="shared" si="22"/>
        <v>16.523967277130222</v>
      </c>
      <c r="AH43" s="541">
        <f t="shared" si="28"/>
        <v>0.49461734612827257</v>
      </c>
      <c r="AQ43" s="196"/>
      <c r="AT43" s="184"/>
      <c r="AX43" s="186"/>
      <c r="AZ43" s="189"/>
      <c r="BA43" s="189"/>
    </row>
    <row r="44" spans="3:53" s="7" customFormat="1" ht="18.75" x14ac:dyDescent="0.3">
      <c r="C44" s="21"/>
      <c r="D44" s="25">
        <v>20</v>
      </c>
      <c r="E44" s="320">
        <v>9</v>
      </c>
      <c r="F44" s="234">
        <v>15</v>
      </c>
      <c r="G44" s="233">
        <v>15.1</v>
      </c>
      <c r="H44" s="321">
        <v>12</v>
      </c>
      <c r="I44" s="330">
        <f t="shared" si="1"/>
        <v>2.1421271174387569E-2</v>
      </c>
      <c r="J44" s="230">
        <f t="shared" si="1"/>
        <v>0.43025773311477722</v>
      </c>
      <c r="K44" s="229">
        <f t="shared" si="1"/>
        <v>0.45231751881583454</v>
      </c>
      <c r="L44" s="228">
        <f t="shared" si="1"/>
        <v>9.600347689500062E-2</v>
      </c>
      <c r="M44" s="491">
        <f t="shared" si="5"/>
        <v>0.47373878999022212</v>
      </c>
      <c r="N44" s="515">
        <f t="shared" si="6"/>
        <v>0.52626121000977788</v>
      </c>
      <c r="O44" s="514">
        <f t="shared" si="7"/>
        <v>0.45167900428916485</v>
      </c>
      <c r="P44" s="477">
        <f t="shared" si="8"/>
        <v>0.54832099571083515</v>
      </c>
      <c r="Q44" s="491">
        <f t="shared" si="9"/>
        <v>473.73878999022213</v>
      </c>
      <c r="R44" s="515">
        <f t="shared" si="10"/>
        <v>526.26121000977787</v>
      </c>
      <c r="S44" s="514">
        <f t="shared" si="11"/>
        <v>0.45167900428916485</v>
      </c>
      <c r="T44" s="477">
        <f t="shared" si="12"/>
        <v>0.54832099571083515</v>
      </c>
      <c r="U44" s="491">
        <f t="shared" si="13"/>
        <v>0.95478252651671247</v>
      </c>
      <c r="V44" s="515">
        <f t="shared" si="14"/>
        <v>0.18242552380635632</v>
      </c>
      <c r="W44" s="514">
        <f t="shared" si="2"/>
        <v>0.95257412682243325</v>
      </c>
      <c r="X44" s="477">
        <f>IFERROR( SUM(L44/SUM(K44:L44)), 0)</f>
        <v>0.17508626816403983</v>
      </c>
      <c r="Y44" s="491">
        <f t="shared" si="24"/>
        <v>954.78252651671244</v>
      </c>
      <c r="Z44" s="515">
        <f t="shared" si="25"/>
        <v>182.42552380635632</v>
      </c>
      <c r="AA44" s="514">
        <f t="shared" si="26"/>
        <v>0.95257412682243325</v>
      </c>
      <c r="AB44" s="477">
        <f t="shared" si="27"/>
        <v>0.17508626816403983</v>
      </c>
      <c r="AC44" s="336">
        <f t="shared" si="19"/>
        <v>474.19046899451132</v>
      </c>
      <c r="AD44" s="219">
        <f t="shared" si="20"/>
        <v>474.28711098593294</v>
      </c>
      <c r="AE44" s="218">
        <f t="shared" si="21"/>
        <v>526.71288901406706</v>
      </c>
      <c r="AF44" s="337">
        <f t="shared" si="18"/>
        <v>526.80953100548868</v>
      </c>
      <c r="AG44" s="540">
        <f t="shared" si="22"/>
        <v>16.686741741027777</v>
      </c>
      <c r="AH44" s="541">
        <f t="shared" si="28"/>
        <v>0.16277446389755568</v>
      </c>
      <c r="AQ44" s="196"/>
      <c r="AT44" s="184"/>
      <c r="AX44" s="186"/>
      <c r="AZ44" s="189"/>
      <c r="BA44" s="189"/>
    </row>
    <row r="45" spans="3:53" s="7" customFormat="1" ht="18.75" x14ac:dyDescent="0.3">
      <c r="C45" s="21"/>
      <c r="D45" s="25">
        <v>21</v>
      </c>
      <c r="E45" s="320">
        <v>10</v>
      </c>
      <c r="F45" s="234">
        <v>13</v>
      </c>
      <c r="G45" s="233">
        <v>17</v>
      </c>
      <c r="H45" s="321">
        <v>12</v>
      </c>
      <c r="I45" s="330">
        <f t="shared" si="1"/>
        <v>2.4204036430882751E-2</v>
      </c>
      <c r="J45" s="230">
        <f t="shared" si="1"/>
        <v>0.10847496553035156</v>
      </c>
      <c r="K45" s="229">
        <f t="shared" si="1"/>
        <v>0.80152760563333636</v>
      </c>
      <c r="L45" s="228">
        <f t="shared" si="1"/>
        <v>6.5793392405429307E-2</v>
      </c>
      <c r="M45" s="491">
        <f t="shared" si="5"/>
        <v>0.82573164206421912</v>
      </c>
      <c r="N45" s="515">
        <f t="shared" si="6"/>
        <v>0.17426835793578088</v>
      </c>
      <c r="O45" s="514">
        <f t="shared" si="7"/>
        <v>0.13267900196123428</v>
      </c>
      <c r="P45" s="477">
        <f t="shared" si="8"/>
        <v>0.86732099803876572</v>
      </c>
      <c r="Q45" s="491">
        <f t="shared" si="9"/>
        <v>825.73164206421916</v>
      </c>
      <c r="R45" s="515">
        <f t="shared" si="10"/>
        <v>174.26835793578087</v>
      </c>
      <c r="S45" s="514">
        <f t="shared" si="11"/>
        <v>0.13267900196123428</v>
      </c>
      <c r="T45" s="477">
        <f t="shared" si="12"/>
        <v>0.86732099803876572</v>
      </c>
      <c r="U45" s="491">
        <f t="shared" si="13"/>
        <v>0.97068776924864364</v>
      </c>
      <c r="V45" s="515">
        <f t="shared" si="14"/>
        <v>0.37754066879814541</v>
      </c>
      <c r="W45" s="514">
        <f t="shared" si="2"/>
        <v>0.81757447619364365</v>
      </c>
      <c r="X45" s="477">
        <f t="shared" si="15"/>
        <v>7.5858180021243546E-2</v>
      </c>
      <c r="Y45" s="491">
        <f t="shared" si="24"/>
        <v>970.68776924864369</v>
      </c>
      <c r="Z45" s="515">
        <f t="shared" si="25"/>
        <v>377.54066879814542</v>
      </c>
      <c r="AA45" s="514">
        <f t="shared" si="26"/>
        <v>0.81757447619364365</v>
      </c>
      <c r="AB45" s="477">
        <f t="shared" si="27"/>
        <v>7.5858180021243546E-2</v>
      </c>
      <c r="AC45" s="336">
        <f t="shared" si="19"/>
        <v>825.86432106618042</v>
      </c>
      <c r="AD45" s="219">
        <f t="shared" si="20"/>
        <v>826.59896306225789</v>
      </c>
      <c r="AE45" s="218">
        <f t="shared" si="21"/>
        <v>174.40103693774211</v>
      </c>
      <c r="AF45" s="337">
        <f t="shared" si="18"/>
        <v>175.13567893381963</v>
      </c>
      <c r="AG45" s="540">
        <f t="shared" si="22"/>
        <v>17.442471730127206</v>
      </c>
      <c r="AH45" s="541">
        <f t="shared" si="28"/>
        <v>0.75572998909942868</v>
      </c>
      <c r="AQ45" s="196"/>
      <c r="AT45" s="184"/>
      <c r="AX45" s="186"/>
      <c r="AZ45" s="189"/>
      <c r="BA45" s="189"/>
    </row>
    <row r="46" spans="3:53" s="7" customFormat="1" ht="18.75" x14ac:dyDescent="0.3">
      <c r="C46" s="21"/>
      <c r="D46" s="25">
        <v>22</v>
      </c>
      <c r="E46" s="320">
        <v>11</v>
      </c>
      <c r="F46" s="234">
        <v>12</v>
      </c>
      <c r="G46" s="233">
        <v>13</v>
      </c>
      <c r="H46" s="321">
        <v>12</v>
      </c>
      <c r="I46" s="330">
        <f t="shared" si="1"/>
        <v>0.14253695659655094</v>
      </c>
      <c r="J46" s="230">
        <f t="shared" si="1"/>
        <v>0.23500371220159449</v>
      </c>
      <c r="K46" s="229">
        <f t="shared" si="1"/>
        <v>0.38745561900026004</v>
      </c>
      <c r="L46" s="228">
        <f t="shared" si="1"/>
        <v>0.23500371220159449</v>
      </c>
      <c r="M46" s="491">
        <f t="shared" si="5"/>
        <v>0.52999257559681101</v>
      </c>
      <c r="N46" s="515">
        <f t="shared" si="6"/>
        <v>0.47000742440318899</v>
      </c>
      <c r="O46" s="514">
        <f t="shared" si="7"/>
        <v>0.37754066879814552</v>
      </c>
      <c r="P46" s="477">
        <f t="shared" si="8"/>
        <v>0.62245933120185448</v>
      </c>
      <c r="Q46" s="491">
        <f t="shared" si="9"/>
        <v>529.99257559681098</v>
      </c>
      <c r="R46" s="515">
        <f t="shared" si="10"/>
        <v>470.00742440318896</v>
      </c>
      <c r="S46" s="514">
        <f t="shared" si="11"/>
        <v>0.37754066879814552</v>
      </c>
      <c r="T46" s="477">
        <f t="shared" si="12"/>
        <v>0.62245933120185448</v>
      </c>
      <c r="U46" s="491">
        <f t="shared" si="13"/>
        <v>0.73105857863000479</v>
      </c>
      <c r="V46" s="515">
        <f t="shared" si="14"/>
        <v>0.5</v>
      </c>
      <c r="W46" s="514">
        <f t="shared" si="2"/>
        <v>0.62245933120185459</v>
      </c>
      <c r="X46" s="477">
        <f t="shared" si="15"/>
        <v>0.37754066879814552</v>
      </c>
      <c r="Y46" s="491">
        <f t="shared" si="24"/>
        <v>731.05857863000483</v>
      </c>
      <c r="Z46" s="515">
        <f t="shared" si="25"/>
        <v>500</v>
      </c>
      <c r="AA46" s="514">
        <f t="shared" si="26"/>
        <v>0.62245933120185459</v>
      </c>
      <c r="AB46" s="477">
        <f t="shared" si="27"/>
        <v>0.37754066879814552</v>
      </c>
      <c r="AC46" s="336">
        <f t="shared" si="19"/>
        <v>530.37011626560911</v>
      </c>
      <c r="AD46" s="219">
        <f t="shared" si="20"/>
        <v>530.61503492801285</v>
      </c>
      <c r="AE46" s="218">
        <f t="shared" si="21"/>
        <v>470.3849650719871</v>
      </c>
      <c r="AF46" s="337">
        <f t="shared" si="18"/>
        <v>470.62988373439083</v>
      </c>
      <c r="AG46" s="540">
        <f t="shared" si="22"/>
        <v>14.896307936720426</v>
      </c>
      <c r="AH46" s="541">
        <f t="shared" si="28"/>
        <v>-2.5461637934067802</v>
      </c>
      <c r="AQ46" s="196"/>
      <c r="AT46" s="184"/>
      <c r="AX46" s="186"/>
      <c r="AZ46" s="189"/>
      <c r="BA46" s="189"/>
    </row>
    <row r="47" spans="3:53" s="7" customFormat="1" ht="18.75" x14ac:dyDescent="0.3">
      <c r="C47" s="21"/>
      <c r="D47" s="25">
        <v>23</v>
      </c>
      <c r="E47" s="320">
        <v>9</v>
      </c>
      <c r="F47" s="234">
        <v>6</v>
      </c>
      <c r="G47" s="233">
        <v>12</v>
      </c>
      <c r="H47" s="321">
        <v>4</v>
      </c>
      <c r="I47" s="330">
        <f t="shared" si="1"/>
        <v>0.17280396571445034</v>
      </c>
      <c r="J47" s="230">
        <f t="shared" si="1"/>
        <v>3.8557776544149082E-2</v>
      </c>
      <c r="K47" s="229">
        <f t="shared" si="1"/>
        <v>0.77445364445352571</v>
      </c>
      <c r="L47" s="228">
        <f t="shared" si="1"/>
        <v>1.418461328787491E-2</v>
      </c>
      <c r="M47" s="491">
        <f t="shared" si="5"/>
        <v>0.94725761016797605</v>
      </c>
      <c r="N47" s="515">
        <f t="shared" si="6"/>
        <v>5.2742389832023992E-2</v>
      </c>
      <c r="O47" s="514">
        <f t="shared" si="7"/>
        <v>0.21136174225859938</v>
      </c>
      <c r="P47" s="477">
        <f t="shared" si="8"/>
        <v>0.78863825774140062</v>
      </c>
      <c r="Q47" s="491">
        <f t="shared" si="9"/>
        <v>947.25761016797605</v>
      </c>
      <c r="R47" s="515">
        <f t="shared" si="10"/>
        <v>52.742389832023989</v>
      </c>
      <c r="S47" s="514">
        <f t="shared" si="11"/>
        <v>0.21136174225859938</v>
      </c>
      <c r="T47" s="477">
        <f t="shared" si="12"/>
        <v>0.78863825774140062</v>
      </c>
      <c r="U47" s="491">
        <f t="shared" si="13"/>
        <v>0.81757447619364365</v>
      </c>
      <c r="V47" s="515">
        <f t="shared" si="14"/>
        <v>0.2689414213699951</v>
      </c>
      <c r="W47" s="514">
        <f t="shared" si="2"/>
        <v>0.18242552380635635</v>
      </c>
      <c r="X47" s="477">
        <f t="shared" si="15"/>
        <v>1.7986209962091559E-2</v>
      </c>
      <c r="Y47" s="491">
        <f t="shared" si="24"/>
        <v>817.5744761936437</v>
      </c>
      <c r="Z47" s="515">
        <f t="shared" si="25"/>
        <v>268.94142136999511</v>
      </c>
      <c r="AA47" s="514">
        <f t="shared" si="26"/>
        <v>0.18242552380635635</v>
      </c>
      <c r="AB47" s="477">
        <f t="shared" si="27"/>
        <v>1.7986209962091559E-2</v>
      </c>
      <c r="AC47" s="336">
        <f t="shared" si="19"/>
        <v>947.4689719102347</v>
      </c>
      <c r="AD47" s="219">
        <f t="shared" si="20"/>
        <v>948.04624842571741</v>
      </c>
      <c r="AE47" s="218">
        <f t="shared" si="21"/>
        <v>52.953751574282585</v>
      </c>
      <c r="AF47" s="337">
        <f t="shared" si="18"/>
        <v>53.531028089765393</v>
      </c>
      <c r="AG47" s="540">
        <f t="shared" si="22"/>
        <v>12.511194946278241</v>
      </c>
      <c r="AH47" s="541">
        <f t="shared" si="28"/>
        <v>-2.3851129904421846</v>
      </c>
      <c r="AQ47" s="196"/>
      <c r="AT47" s="184"/>
      <c r="AX47" s="186"/>
      <c r="AZ47" s="189"/>
      <c r="BA47" s="189"/>
    </row>
    <row r="48" spans="3:53" s="7" customFormat="1" ht="18.75" x14ac:dyDescent="0.3">
      <c r="C48" s="21"/>
      <c r="D48" s="25">
        <v>24</v>
      </c>
      <c r="E48" s="320">
        <v>9</v>
      </c>
      <c r="F48" s="234">
        <v>8</v>
      </c>
      <c r="G48" s="233">
        <v>14</v>
      </c>
      <c r="H48" s="321">
        <v>5</v>
      </c>
      <c r="I48" s="330">
        <f t="shared" si="1"/>
        <v>7.1816586681135289E-2</v>
      </c>
      <c r="J48" s="230">
        <f t="shared" si="1"/>
        <v>4.3558961698018511E-2</v>
      </c>
      <c r="K48" s="229">
        <f t="shared" si="1"/>
        <v>0.8749051335212682</v>
      </c>
      <c r="L48" s="228">
        <f t="shared" si="1"/>
        <v>9.7193180995781923E-3</v>
      </c>
      <c r="M48" s="491">
        <f t="shared" si="5"/>
        <v>0.94672172020240331</v>
      </c>
      <c r="N48" s="515">
        <f t="shared" si="6"/>
        <v>5.3278279797596702E-2</v>
      </c>
      <c r="O48" s="514">
        <f t="shared" si="7"/>
        <v>0.11537554837915365</v>
      </c>
      <c r="P48" s="477">
        <f t="shared" si="8"/>
        <v>0.88462445162084635</v>
      </c>
      <c r="Q48" s="491">
        <f t="shared" si="9"/>
        <v>946.72172020240328</v>
      </c>
      <c r="R48" s="515">
        <f t="shared" si="10"/>
        <v>53.278279797596703</v>
      </c>
      <c r="S48" s="514">
        <f t="shared" si="11"/>
        <v>0.11537554837915365</v>
      </c>
      <c r="T48" s="477">
        <f t="shared" si="12"/>
        <v>0.88462445162084635</v>
      </c>
      <c r="U48" s="491">
        <f t="shared" si="13"/>
        <v>0.92414181997875644</v>
      </c>
      <c r="V48" s="515">
        <f t="shared" si="14"/>
        <v>0.18242552380635635</v>
      </c>
      <c r="W48" s="514">
        <f>IFERROR( J48/SUM(J48,I48), 0)</f>
        <v>0.37754066879814546</v>
      </c>
      <c r="X48" s="477">
        <f t="shared" si="15"/>
        <v>1.0986942630593181E-2</v>
      </c>
      <c r="Y48" s="491">
        <f t="shared" si="24"/>
        <v>924.14181997875642</v>
      </c>
      <c r="Z48" s="515">
        <f t="shared" si="25"/>
        <v>182.42552380635635</v>
      </c>
      <c r="AA48" s="514">
        <f t="shared" si="26"/>
        <v>0.37754066879814546</v>
      </c>
      <c r="AB48" s="477">
        <f t="shared" si="27"/>
        <v>1.0986942630593181E-2</v>
      </c>
      <c r="AC48" s="336">
        <f t="shared" si="19"/>
        <v>946.8370957507824</v>
      </c>
      <c r="AD48" s="219">
        <f t="shared" si="20"/>
        <v>947.60634465402416</v>
      </c>
      <c r="AE48" s="218">
        <f t="shared" si="21"/>
        <v>53.393655345975858</v>
      </c>
      <c r="AF48" s="337">
        <f t="shared" si="18"/>
        <v>54.162904249217547</v>
      </c>
      <c r="AG48" s="540">
        <f t="shared" si="22"/>
        <v>14.26727963467021</v>
      </c>
      <c r="AH48" s="541">
        <f t="shared" si="28"/>
        <v>1.7560846883919687</v>
      </c>
      <c r="AQ48" s="196"/>
      <c r="AT48" s="184"/>
      <c r="AX48" s="186"/>
      <c r="AZ48" s="189"/>
      <c r="BA48" s="189"/>
    </row>
    <row r="49" spans="2:53" s="7" customFormat="1" ht="19.5" thickBot="1" x14ac:dyDescent="0.35">
      <c r="C49" s="21"/>
      <c r="D49" s="25">
        <v>25</v>
      </c>
      <c r="E49" s="322">
        <v>10</v>
      </c>
      <c r="F49" s="226">
        <v>3</v>
      </c>
      <c r="G49" s="225">
        <v>12</v>
      </c>
      <c r="H49" s="323">
        <v>3</v>
      </c>
      <c r="I49" s="332">
        <f t="shared" si="1"/>
        <v>0.26464291790486838</v>
      </c>
      <c r="J49" s="222">
        <f t="shared" si="1"/>
        <v>7.9915236619744669E-3</v>
      </c>
      <c r="K49" s="221">
        <f t="shared" si="1"/>
        <v>0.71937403477118256</v>
      </c>
      <c r="L49" s="220">
        <f t="shared" si="1"/>
        <v>7.9915236619744669E-3</v>
      </c>
      <c r="M49" s="492">
        <f t="shared" si="5"/>
        <v>0.98401695267605105</v>
      </c>
      <c r="N49" s="531">
        <f t="shared" si="6"/>
        <v>1.5983047323948934E-2</v>
      </c>
      <c r="O49" s="522">
        <f t="shared" si="7"/>
        <v>0.27263444156684302</v>
      </c>
      <c r="P49" s="478">
        <f t="shared" si="8"/>
        <v>0.72736555843315698</v>
      </c>
      <c r="Q49" s="492">
        <f t="shared" si="9"/>
        <v>984.01695267605101</v>
      </c>
      <c r="R49" s="531">
        <f t="shared" si="10"/>
        <v>15.983047323948934</v>
      </c>
      <c r="S49" s="522">
        <f t="shared" si="11"/>
        <v>0.27263444156684302</v>
      </c>
      <c r="T49" s="478">
        <f t="shared" si="12"/>
        <v>0.72736555843315698</v>
      </c>
      <c r="U49" s="492">
        <f t="shared" si="13"/>
        <v>0.7310585786300049</v>
      </c>
      <c r="V49" s="531">
        <f t="shared" si="14"/>
        <v>0.5</v>
      </c>
      <c r="W49" s="522">
        <f t="shared" si="2"/>
        <v>2.9312230751356312E-2</v>
      </c>
      <c r="X49" s="478">
        <f t="shared" si="15"/>
        <v>1.098694263059318E-2</v>
      </c>
      <c r="Y49" s="492">
        <f t="shared" si="24"/>
        <v>731.05857863000494</v>
      </c>
      <c r="Z49" s="531">
        <f t="shared" si="25"/>
        <v>500</v>
      </c>
      <c r="AA49" s="522">
        <f t="shared" si="26"/>
        <v>2.9312230751356312E-2</v>
      </c>
      <c r="AB49" s="478">
        <f t="shared" si="27"/>
        <v>1.098694263059318E-2</v>
      </c>
      <c r="AC49" s="338">
        <f t="shared" si="19"/>
        <v>984.28958711761788</v>
      </c>
      <c r="AD49" s="285">
        <f t="shared" si="20"/>
        <v>984.74431823448413</v>
      </c>
      <c r="AE49" s="286">
        <f t="shared" si="21"/>
        <v>16.255681765515778</v>
      </c>
      <c r="AF49" s="339">
        <f t="shared" si="18"/>
        <v>16.710412882382091</v>
      </c>
      <c r="AG49" s="542">
        <f t="shared" si="22"/>
        <v>12.658747682534385</v>
      </c>
      <c r="AH49" s="543">
        <f t="shared" si="28"/>
        <v>-1.6085319521358254</v>
      </c>
      <c r="AQ49" s="196"/>
      <c r="AT49" s="184"/>
      <c r="AX49" s="186"/>
      <c r="AZ49" s="189"/>
      <c r="BA49" s="189"/>
    </row>
    <row r="50" spans="2:53" s="7" customFormat="1" ht="16.5" thickTop="1" thickBot="1" x14ac:dyDescent="0.3">
      <c r="D50" s="25" t="s">
        <v>97</v>
      </c>
      <c r="E50" s="324">
        <f>E49</f>
        <v>10</v>
      </c>
      <c r="F50" s="325">
        <f t="shared" ref="F50:H50" si="31">F49</f>
        <v>3</v>
      </c>
      <c r="G50" s="326">
        <f t="shared" si="31"/>
        <v>12</v>
      </c>
      <c r="H50" s="327">
        <f t="shared" si="31"/>
        <v>3</v>
      </c>
      <c r="I50" s="473">
        <f>F54*F53</f>
        <v>0.25</v>
      </c>
      <c r="J50" s="474">
        <f>F53*E54</f>
        <v>0</v>
      </c>
      <c r="K50" s="474">
        <f>E53*F54</f>
        <v>0.75</v>
      </c>
      <c r="L50" s="474">
        <f>E53*E54</f>
        <v>0</v>
      </c>
      <c r="M50" s="493">
        <f>1-N50</f>
        <v>1</v>
      </c>
      <c r="N50" s="516">
        <f>SUM(J50,L50)</f>
        <v>0</v>
      </c>
      <c r="O50" s="517">
        <f>1-P50</f>
        <v>0.25</v>
      </c>
      <c r="P50" s="479">
        <f>SUM(K50:L50)</f>
        <v>0.75</v>
      </c>
      <c r="Q50" s="493">
        <f>M50*$E$7</f>
        <v>1000</v>
      </c>
      <c r="R50" s="516">
        <f t="shared" si="10"/>
        <v>0</v>
      </c>
      <c r="S50" s="517">
        <f>O50*1</f>
        <v>0.25</v>
      </c>
      <c r="T50" s="479">
        <f t="shared" si="12"/>
        <v>0.75</v>
      </c>
      <c r="U50" s="493">
        <f t="shared" si="13"/>
        <v>0.75</v>
      </c>
      <c r="V50" s="516">
        <f t="shared" si="14"/>
        <v>0</v>
      </c>
      <c r="W50" s="517">
        <f t="shared" si="2"/>
        <v>0</v>
      </c>
      <c r="X50" s="479">
        <f t="shared" si="15"/>
        <v>0</v>
      </c>
      <c r="Y50" s="493">
        <f t="shared" si="24"/>
        <v>750</v>
      </c>
      <c r="Z50" s="516">
        <f t="shared" si="25"/>
        <v>0</v>
      </c>
      <c r="AA50" s="517">
        <f t="shared" si="26"/>
        <v>0</v>
      </c>
      <c r="AB50" s="479">
        <f t="shared" si="27"/>
        <v>0</v>
      </c>
      <c r="AC50" s="281">
        <f>SUM(Q50,S50)</f>
        <v>1000.25</v>
      </c>
      <c r="AD50" s="282">
        <f>SUM(Q50,T50)</f>
        <v>1000.75</v>
      </c>
      <c r="AE50" s="283">
        <f t="shared" si="21"/>
        <v>0.25</v>
      </c>
      <c r="AF50" s="284">
        <f t="shared" si="18"/>
        <v>0.75</v>
      </c>
      <c r="AG50" s="540">
        <f t="shared" si="22"/>
        <v>12.658747682534385</v>
      </c>
      <c r="AH50" s="28" t="s">
        <v>109</v>
      </c>
      <c r="AW50" s="8"/>
      <c r="AX50" s="8"/>
      <c r="AZ50" s="189"/>
      <c r="BA50" s="189"/>
    </row>
    <row r="51" spans="2:53" s="7" customFormat="1" ht="15.75" thickBot="1" x14ac:dyDescent="0.3">
      <c r="C51"/>
      <c r="D51"/>
      <c r="E51" s="33"/>
      <c r="F51" s="33"/>
      <c r="G51" s="33"/>
      <c r="H51" s="33"/>
      <c r="I51" s="33"/>
      <c r="J51" s="33"/>
      <c r="K51" s="33"/>
      <c r="L51" s="33"/>
      <c r="M51" s="33"/>
      <c r="N51" s="33"/>
      <c r="O51" s="33"/>
      <c r="P51" s="33"/>
      <c r="Q51" s="33"/>
      <c r="R51" s="33"/>
      <c r="S51" s="33"/>
      <c r="T51" s="33"/>
      <c r="AG51" s="544">
        <f>SUMPRODUCT(E50:H50,I50:L50)</f>
        <v>11.5</v>
      </c>
      <c r="AH51" s="463" t="s">
        <v>110</v>
      </c>
      <c r="AK51" s="33"/>
      <c r="AL51" s="33"/>
      <c r="AM51" s="33"/>
      <c r="AN51" s="33"/>
    </row>
    <row r="52" spans="2:53" s="7" customFormat="1" ht="15.75" thickBot="1" x14ac:dyDescent="0.3">
      <c r="C52" s="1"/>
      <c r="D52" s="152" t="s">
        <v>174</v>
      </c>
      <c r="E52" s="289" t="s">
        <v>154</v>
      </c>
      <c r="F52" s="239" t="s">
        <v>171</v>
      </c>
      <c r="G52" s="142"/>
      <c r="H52" s="17"/>
      <c r="I52" s="17"/>
      <c r="J52" s="17"/>
      <c r="K52" s="17"/>
      <c r="L52" s="17"/>
      <c r="M52" s="17"/>
      <c r="N52" s="17"/>
      <c r="Q52" s="17"/>
      <c r="R52" s="17"/>
      <c r="S52" s="209"/>
      <c r="T52" s="17"/>
      <c r="AG52" s="544">
        <f>AG50-AG51</f>
        <v>1.1587476825343845</v>
      </c>
      <c r="AH52" s="162" t="s">
        <v>102</v>
      </c>
      <c r="AK52" s="17"/>
      <c r="AL52" s="17"/>
      <c r="AM52" s="17"/>
      <c r="AN52" s="17"/>
    </row>
    <row r="53" spans="2:53" s="7" customFormat="1" ht="15.75" thickBot="1" x14ac:dyDescent="0.3">
      <c r="C53" s="5" t="s">
        <v>172</v>
      </c>
      <c r="D53" s="536">
        <v>750</v>
      </c>
      <c r="E53" s="535">
        <f>(D53-E5)/(E6-E5)</f>
        <v>0.75</v>
      </c>
      <c r="F53" s="534">
        <f>1-E53</f>
        <v>0.25</v>
      </c>
      <c r="H53" s="33"/>
      <c r="J53" s="33"/>
      <c r="K53" s="33"/>
      <c r="L53" s="162">
        <f>SUM(I48:L48)</f>
        <v>1.0000000000000002</v>
      </c>
      <c r="M53" s="17"/>
      <c r="N53" s="17"/>
      <c r="P53" s="162">
        <f>SUM(M48:P48)</f>
        <v>2</v>
      </c>
      <c r="Q53" s="17"/>
      <c r="R53" s="17"/>
      <c r="S53" s="209"/>
      <c r="T53" s="162">
        <f>SUM(Q48:T48)</f>
        <v>1001</v>
      </c>
      <c r="X53" s="162"/>
      <c r="AB53" s="162"/>
      <c r="AC53" s="162">
        <f>SUM(AC48:AF48)</f>
        <v>2002</v>
      </c>
      <c r="AG53" s="545">
        <f>AG25-AG52</f>
        <v>1.6138410397053966</v>
      </c>
      <c r="AH53" s="546" t="s">
        <v>103</v>
      </c>
      <c r="AK53" s="17"/>
      <c r="AL53" s="17"/>
      <c r="AM53" s="17"/>
      <c r="AN53" s="17"/>
      <c r="AU53" s="8"/>
      <c r="AV53" s="8"/>
      <c r="AW53" s="8"/>
      <c r="AX53" s="28"/>
      <c r="AY53" s="28"/>
    </row>
    <row r="54" spans="2:53" ht="15.75" thickBot="1" x14ac:dyDescent="0.3">
      <c r="C54" s="290" t="s">
        <v>173</v>
      </c>
      <c r="D54" s="537">
        <v>0</v>
      </c>
      <c r="E54" s="532">
        <f>D54</f>
        <v>0</v>
      </c>
      <c r="F54" s="533">
        <f>1-E54</f>
        <v>1</v>
      </c>
      <c r="G54" s="17"/>
      <c r="L54" s="162">
        <f t="shared" ref="L54:L55" si="32">SUM(I49:L49)</f>
        <v>0.99999999999999989</v>
      </c>
      <c r="P54" s="162">
        <f t="shared" ref="P54:P55" si="33">SUM(M49:P49)</f>
        <v>2</v>
      </c>
      <c r="S54" s="209"/>
      <c r="T54" s="162">
        <f t="shared" ref="T54:T55" si="34">SUM(Q49:T49)</f>
        <v>1000.9999999999999</v>
      </c>
      <c r="X54" s="162"/>
      <c r="Z54" s="190"/>
      <c r="AB54" s="162"/>
      <c r="AC54" s="162">
        <f>SUM(AC49:AF49)</f>
        <v>2002</v>
      </c>
    </row>
    <row r="55" spans="2:53" x14ac:dyDescent="0.25">
      <c r="C55" s="142"/>
      <c r="D55" s="556"/>
      <c r="E55" s="483"/>
      <c r="F55" s="28"/>
      <c r="G55" s="142"/>
      <c r="L55" s="162">
        <f t="shared" si="32"/>
        <v>1</v>
      </c>
      <c r="P55" s="162">
        <f t="shared" si="33"/>
        <v>2</v>
      </c>
      <c r="S55" s="209"/>
      <c r="T55" s="162">
        <f t="shared" si="34"/>
        <v>1001</v>
      </c>
      <c r="X55" s="162"/>
      <c r="Z55" s="190"/>
      <c r="AB55" s="162"/>
      <c r="AC55" s="162">
        <f>SUM(AC50:AF50)</f>
        <v>2002</v>
      </c>
    </row>
    <row r="56" spans="2:53" x14ac:dyDescent="0.25">
      <c r="C56" s="142"/>
      <c r="D56" s="556"/>
      <c r="E56" s="483"/>
      <c r="F56" s="28"/>
      <c r="G56" s="142"/>
      <c r="S56" s="209"/>
      <c r="Z56" s="190"/>
      <c r="AB56" s="162"/>
      <c r="AC56" s="162"/>
    </row>
    <row r="57" spans="2:53" x14ac:dyDescent="0.25">
      <c r="C57" s="142"/>
      <c r="D57" s="556"/>
      <c r="E57" s="483"/>
      <c r="F57" s="28"/>
      <c r="G57" s="142"/>
      <c r="S57" s="209"/>
      <c r="Z57" s="190"/>
      <c r="AB57" s="162"/>
      <c r="AC57" s="162"/>
    </row>
    <row r="58" spans="2:53" x14ac:dyDescent="0.25">
      <c r="C58" s="17"/>
      <c r="D58" s="209"/>
      <c r="E58" s="17"/>
      <c r="F58" s="7"/>
      <c r="G58" s="17"/>
      <c r="Q58" s="190"/>
      <c r="AB58" s="162"/>
    </row>
    <row r="59" spans="2:53" x14ac:dyDescent="0.25">
      <c r="B59" s="1" t="s">
        <v>246</v>
      </c>
      <c r="C59" s="266"/>
      <c r="D59" s="547"/>
      <c r="E59" s="266"/>
      <c r="F59" s="152"/>
      <c r="G59" s="266"/>
      <c r="H59" s="266"/>
      <c r="I59" s="266"/>
      <c r="J59" s="266"/>
      <c r="K59" s="266"/>
      <c r="L59" s="266"/>
      <c r="M59" s="266"/>
      <c r="N59" s="266"/>
      <c r="O59" s="266"/>
      <c r="P59" s="266"/>
      <c r="Q59" s="547"/>
      <c r="R59" s="266"/>
      <c r="S59" s="266"/>
      <c r="T59" s="266"/>
      <c r="U59" s="266"/>
      <c r="V59" s="266"/>
      <c r="W59" s="266"/>
      <c r="X59" s="261"/>
    </row>
    <row r="60" spans="2:53" x14ac:dyDescent="0.25">
      <c r="B60" s="5"/>
      <c r="C60" s="7"/>
      <c r="D60" s="7"/>
      <c r="E60" s="17"/>
      <c r="F60" s="17"/>
      <c r="G60" s="209"/>
      <c r="H60" s="209"/>
      <c r="I60" s="17"/>
      <c r="J60" s="280"/>
      <c r="K60" s="17"/>
      <c r="L60" s="280"/>
      <c r="M60" s="17"/>
      <c r="N60" s="280"/>
      <c r="O60" s="17"/>
      <c r="P60" s="280"/>
      <c r="Q60" s="17"/>
      <c r="R60" s="209"/>
      <c r="S60" s="17"/>
      <c r="T60" s="17"/>
      <c r="U60" s="17"/>
      <c r="V60" s="17"/>
      <c r="W60" s="17"/>
      <c r="X60" s="241"/>
    </row>
    <row r="61" spans="2:53" ht="15.75" thickBot="1" x14ac:dyDescent="0.3">
      <c r="B61" s="5"/>
      <c r="C61" s="7"/>
      <c r="D61" s="7" t="s">
        <v>12</v>
      </c>
      <c r="E61" s="17"/>
      <c r="F61" s="17"/>
      <c r="G61" s="209"/>
      <c r="H61" s="17" t="s">
        <v>193</v>
      </c>
      <c r="I61" s="17"/>
      <c r="J61" s="17"/>
      <c r="K61" s="17" t="s">
        <v>194</v>
      </c>
      <c r="L61" s="17"/>
      <c r="M61" s="548">
        <f>K62/SUM(K62:L62)</f>
        <v>0.5</v>
      </c>
      <c r="N61" s="17"/>
      <c r="O61" s="17"/>
      <c r="P61" s="1252" t="s">
        <v>197</v>
      </c>
      <c r="Q61" s="17"/>
      <c r="R61" s="17"/>
      <c r="S61" s="17"/>
      <c r="T61" s="17"/>
      <c r="U61" s="17"/>
      <c r="V61" s="17"/>
      <c r="W61" s="17"/>
      <c r="X61" s="241"/>
      <c r="AB61" s="33"/>
    </row>
    <row r="62" spans="2:53" s="8" customFormat="1" x14ac:dyDescent="0.25">
      <c r="B62" s="549">
        <v>1</v>
      </c>
      <c r="D62" s="384">
        <v>1</v>
      </c>
      <c r="E62" s="385">
        <v>1</v>
      </c>
      <c r="F62" s="28">
        <f>SUM(D62:E62)</f>
        <v>2</v>
      </c>
      <c r="H62" s="384">
        <f>EXP(D62)</f>
        <v>2.7182818284590451</v>
      </c>
      <c r="I62" s="385">
        <f>EXP(E62)</f>
        <v>2.7182818284590451</v>
      </c>
      <c r="J62" s="142"/>
      <c r="K62" s="388">
        <f>EXP(D62/$E$18)/(EXP($D62/$E$18)+EXP($E62/$E$18)+EXP($D63/$E$18)+EXP($E63/$E$18))</f>
        <v>0.25</v>
      </c>
      <c r="L62" s="389">
        <f>EXP(E62/$E$18)/(EXP($D62/$E$18)+EXP($E62/$E$18)+EXP($D63/$E$18)+EXP($E63/$E$18))</f>
        <v>0.25</v>
      </c>
      <c r="M62" s="390">
        <f>SUM(K62:L62)</f>
        <v>0.5</v>
      </c>
      <c r="O62" s="142"/>
      <c r="P62" s="1253"/>
      <c r="X62" s="550"/>
      <c r="AB62" s="142"/>
    </row>
    <row r="63" spans="2:53" s="8" customFormat="1" ht="15.75" thickBot="1" x14ac:dyDescent="0.3">
      <c r="B63" s="549"/>
      <c r="D63" s="386">
        <v>1</v>
      </c>
      <c r="E63" s="327">
        <v>1</v>
      </c>
      <c r="F63" s="387">
        <f>SUM(D63:E63)</f>
        <v>2</v>
      </c>
      <c r="H63" s="386">
        <f>EXP(D63)</f>
        <v>2.7182818284590451</v>
      </c>
      <c r="I63" s="327">
        <f>EXP(E63)</f>
        <v>2.7182818284590451</v>
      </c>
      <c r="J63" s="142"/>
      <c r="K63" s="391">
        <f>EXP(D63/$E$18)/(EXP($D62/$E$18)+EXP($E62/$E$18)+EXP($D63/$E$18)+EXP($E63/$E$18))</f>
        <v>0.25</v>
      </c>
      <c r="L63" s="392">
        <f>EXP(E63/$E$18)/(EXP($D62/$E$18)+EXP($E62/$E$18)+EXP($D63/$E$18)+EXP($E63/$E$18))</f>
        <v>0.25</v>
      </c>
      <c r="M63" s="393">
        <f>SUM(K63:L63)</f>
        <v>0.5</v>
      </c>
      <c r="N63" s="382"/>
      <c r="O63" s="142"/>
      <c r="P63" s="1253"/>
      <c r="X63" s="550"/>
      <c r="AB63" s="142"/>
    </row>
    <row r="64" spans="2:53" s="8" customFormat="1" x14ac:dyDescent="0.25">
      <c r="B64" s="549"/>
      <c r="D64" s="381">
        <f>SUM(D62:D63)</f>
        <v>2</v>
      </c>
      <c r="E64" s="381">
        <f>SUM(E62:E63)</f>
        <v>2</v>
      </c>
      <c r="F64" s="381"/>
      <c r="H64" s="383"/>
      <c r="I64" s="142"/>
      <c r="J64" s="142"/>
      <c r="K64" s="394">
        <f>SUM(K62:K63)</f>
        <v>0.5</v>
      </c>
      <c r="L64" s="394">
        <f>SUM(L62:L63)</f>
        <v>0.5</v>
      </c>
      <c r="M64" s="394"/>
      <c r="N64" s="382"/>
      <c r="O64" s="142"/>
      <c r="P64" s="1254"/>
      <c r="X64" s="550"/>
      <c r="AB64" s="142"/>
    </row>
    <row r="65" spans="2:28" s="8" customFormat="1" x14ac:dyDescent="0.25">
      <c r="B65" s="549"/>
      <c r="D65" s="381"/>
      <c r="E65" s="381"/>
      <c r="F65" s="381"/>
      <c r="H65" s="383"/>
      <c r="I65" s="142"/>
      <c r="J65" s="142"/>
      <c r="K65" s="382"/>
      <c r="L65" s="382"/>
      <c r="M65" s="382"/>
      <c r="N65" s="382"/>
      <c r="O65" s="142"/>
      <c r="X65" s="550"/>
      <c r="AB65" s="142"/>
    </row>
    <row r="66" spans="2:28" ht="15.75" thickBot="1" x14ac:dyDescent="0.3">
      <c r="B66" s="5"/>
      <c r="C66" s="7"/>
      <c r="D66" s="17"/>
      <c r="E66" s="17"/>
      <c r="F66" s="17"/>
      <c r="G66" s="17"/>
      <c r="H66" s="17"/>
      <c r="I66" s="17"/>
      <c r="J66" s="17"/>
      <c r="K66" s="17"/>
      <c r="L66" s="17"/>
      <c r="M66" s="280">
        <f>K67/SUM(K67:L67)</f>
        <v>0.5</v>
      </c>
      <c r="N66" s="17" t="b">
        <f>M66=M61</f>
        <v>1</v>
      </c>
      <c r="O66" s="17"/>
      <c r="P66" s="1252" t="s">
        <v>195</v>
      </c>
      <c r="Q66" s="17"/>
      <c r="R66" s="915" t="s">
        <v>190</v>
      </c>
      <c r="S66" s="17"/>
      <c r="T66" s="17"/>
      <c r="U66" s="17"/>
      <c r="V66" s="17"/>
      <c r="W66" s="17"/>
      <c r="X66" s="241"/>
    </row>
    <row r="67" spans="2:28" x14ac:dyDescent="0.25">
      <c r="B67" s="549">
        <v>2</v>
      </c>
      <c r="C67" s="8"/>
      <c r="D67" s="384">
        <f>D62</f>
        <v>1</v>
      </c>
      <c r="E67" s="385">
        <f t="shared" ref="E67:E68" si="35">E62</f>
        <v>1</v>
      </c>
      <c r="F67" s="28">
        <f>SUM(D67:E67)</f>
        <v>2</v>
      </c>
      <c r="G67" s="17"/>
      <c r="H67" s="384">
        <f>EXP(D67)</f>
        <v>2.7182818284590451</v>
      </c>
      <c r="I67" s="385">
        <f>EXP(E67)</f>
        <v>2.7182818284590451</v>
      </c>
      <c r="J67" s="17"/>
      <c r="K67" s="404">
        <f>K62+(K62/SUM(K62:L62))*O67</f>
        <v>0.27500000000000002</v>
      </c>
      <c r="L67" s="402">
        <f>L62+(L62/SUM(K62:L62))*O67</f>
        <v>0.27500000000000002</v>
      </c>
      <c r="M67" s="914">
        <v>0.55000000000000004</v>
      </c>
      <c r="N67" s="8" t="b">
        <f>SUM(K67:L67)=M67</f>
        <v>1</v>
      </c>
      <c r="O67" s="548">
        <f>M67-M62</f>
        <v>5.0000000000000044E-2</v>
      </c>
      <c r="P67" s="1253"/>
      <c r="Q67" s="17"/>
      <c r="R67" s="17"/>
      <c r="S67" s="17"/>
      <c r="T67" s="17"/>
      <c r="U67" s="17"/>
      <c r="V67" s="17"/>
      <c r="W67" s="17"/>
      <c r="X67" s="241"/>
      <c r="AB67" s="33"/>
    </row>
    <row r="68" spans="2:28" ht="15.75" thickBot="1" x14ac:dyDescent="0.3">
      <c r="B68" s="549"/>
      <c r="C68" s="8"/>
      <c r="D68" s="386">
        <f t="shared" ref="D68" si="36">D63</f>
        <v>1</v>
      </c>
      <c r="E68" s="327">
        <f t="shared" si="35"/>
        <v>1</v>
      </c>
      <c r="F68" s="387">
        <f>SUM(D68:E68)</f>
        <v>2</v>
      </c>
      <c r="G68" s="17"/>
      <c r="H68" s="386">
        <f>EXP(D68)</f>
        <v>2.7182818284590451</v>
      </c>
      <c r="I68" s="327">
        <f>EXP(E68)</f>
        <v>2.7182818284590451</v>
      </c>
      <c r="J68" s="17"/>
      <c r="K68" s="405">
        <f>K63+(K63/SUM(K63:L63))*O68</f>
        <v>0.22499999999999998</v>
      </c>
      <c r="L68" s="406">
        <f>L63+(L63/SUM(K63:L63))*O68</f>
        <v>0.22499999999999998</v>
      </c>
      <c r="M68" s="390">
        <f>M63+O68</f>
        <v>0.44999999999999996</v>
      </c>
      <c r="N68" s="8" t="b">
        <f>SUM(K68:L68)=M68</f>
        <v>1</v>
      </c>
      <c r="O68" s="548">
        <f>-1*O67</f>
        <v>-5.0000000000000044E-2</v>
      </c>
      <c r="P68" s="1253"/>
      <c r="Q68" s="17"/>
      <c r="R68" s="17"/>
      <c r="S68" s="17"/>
      <c r="T68" s="17"/>
      <c r="U68" s="17"/>
      <c r="V68" s="17"/>
      <c r="W68" s="17"/>
      <c r="X68" s="241"/>
      <c r="AB68" s="33"/>
    </row>
    <row r="69" spans="2:28" x14ac:dyDescent="0.25">
      <c r="B69" s="549"/>
      <c r="C69" s="8"/>
      <c r="D69" s="381">
        <f>SUM(D67:D68)</f>
        <v>2</v>
      </c>
      <c r="E69" s="381">
        <f>SUM(E67:E68)</f>
        <v>2</v>
      </c>
      <c r="F69" s="381"/>
      <c r="G69" s="17"/>
      <c r="H69" s="17"/>
      <c r="I69" s="17"/>
      <c r="J69" s="17"/>
      <c r="K69" s="394">
        <f>SUM(K67:K68)</f>
        <v>0.5</v>
      </c>
      <c r="L69" s="394">
        <f>SUM(L67:L68)</f>
        <v>0.5</v>
      </c>
      <c r="M69" s="394"/>
      <c r="N69" s="382" t="b">
        <f>K69=K64</f>
        <v>1</v>
      </c>
      <c r="O69" s="17"/>
      <c r="P69" s="1254"/>
      <c r="Q69" s="17"/>
      <c r="R69" s="17"/>
      <c r="S69" s="17"/>
      <c r="T69" s="17"/>
      <c r="U69" s="17"/>
      <c r="V69" s="17"/>
      <c r="W69" s="17"/>
      <c r="X69" s="241"/>
      <c r="AB69" s="33"/>
    </row>
    <row r="70" spans="2:28" x14ac:dyDescent="0.25">
      <c r="B70" s="5"/>
      <c r="C70" s="7"/>
      <c r="D70" s="17"/>
      <c r="E70" s="17"/>
      <c r="F70" s="17"/>
      <c r="G70" s="17"/>
      <c r="H70" s="17"/>
      <c r="I70" s="17"/>
      <c r="J70" s="17"/>
      <c r="K70" s="17"/>
      <c r="L70" s="17"/>
      <c r="M70" s="17"/>
      <c r="N70" s="17"/>
      <c r="O70" s="17"/>
      <c r="P70" s="17"/>
      <c r="Q70" s="17"/>
      <c r="R70" s="17"/>
      <c r="S70" s="17"/>
      <c r="T70" s="17"/>
      <c r="U70" s="17"/>
      <c r="V70" s="17"/>
      <c r="W70" s="17"/>
      <c r="X70" s="241"/>
      <c r="AB70" s="33"/>
    </row>
    <row r="71" spans="2:28" ht="15.75" thickBot="1" x14ac:dyDescent="0.3">
      <c r="B71" s="5"/>
      <c r="C71" s="7"/>
      <c r="D71" s="17"/>
      <c r="E71" s="17"/>
      <c r="F71" s="17"/>
      <c r="G71" s="17"/>
      <c r="H71" s="17"/>
      <c r="I71" s="17"/>
      <c r="J71" s="17"/>
      <c r="K71" s="17"/>
      <c r="L71" s="17"/>
      <c r="M71" s="548">
        <f>K72/SUM(K72:L72)</f>
        <v>0.5</v>
      </c>
      <c r="N71" s="518">
        <f>M66/M71</f>
        <v>1</v>
      </c>
      <c r="O71" s="17"/>
      <c r="P71" s="1252" t="s">
        <v>196</v>
      </c>
      <c r="Q71" s="17"/>
      <c r="R71" s="17"/>
      <c r="S71" s="17"/>
      <c r="T71" s="17"/>
      <c r="U71" s="17"/>
      <c r="V71" s="17"/>
      <c r="W71" s="17"/>
      <c r="X71" s="241"/>
      <c r="AB71" s="33"/>
    </row>
    <row r="72" spans="2:28" x14ac:dyDescent="0.25">
      <c r="B72" s="549">
        <v>3</v>
      </c>
      <c r="C72" s="8"/>
      <c r="D72" s="395">
        <v>1.4013357524397883</v>
      </c>
      <c r="E72" s="399">
        <v>1.4013357524397883</v>
      </c>
      <c r="F72" s="28">
        <f>SUM(D72:E72)</f>
        <v>2.8026715048795765</v>
      </c>
      <c r="G72" s="17"/>
      <c r="H72" s="384">
        <f>EXP(D72)</f>
        <v>4.0606203294195504</v>
      </c>
      <c r="I72" s="385">
        <f>EXP(E72)</f>
        <v>4.0606203294195504</v>
      </c>
      <c r="J72" s="17"/>
      <c r="K72" s="388">
        <f>EXP(D72/$E$18)/(EXP($D72/$E$18)+EXP($E72/$E$18)+EXP($D73/$E$18)+EXP($E73/$E$18))</f>
        <v>0.27499964865177878</v>
      </c>
      <c r="L72" s="389">
        <f>EXP(E72/$E$18)/(EXP($D72/$E$18)+EXP($E72/$E$18)+EXP($D73/$E$18)+EXP($E73/$E$18))</f>
        <v>0.27499964865177878</v>
      </c>
      <c r="M72" s="390">
        <f>SUM(K72:L72)</f>
        <v>0.54999929730355757</v>
      </c>
      <c r="N72" s="518">
        <f>M67/M72</f>
        <v>1.0000012776315277</v>
      </c>
      <c r="O72" s="17"/>
      <c r="P72" s="1253"/>
      <c r="Q72" s="17"/>
      <c r="R72" s="17"/>
      <c r="S72" s="17"/>
      <c r="T72" s="17"/>
      <c r="U72" s="17"/>
      <c r="V72" s="17"/>
      <c r="W72" s="17"/>
      <c r="X72" s="241"/>
      <c r="AB72" s="33"/>
    </row>
    <row r="73" spans="2:28" ht="15.75" thickBot="1" x14ac:dyDescent="0.3">
      <c r="B73" s="549"/>
      <c r="C73" s="8"/>
      <c r="D73" s="400">
        <v>1.0000000797395387</v>
      </c>
      <c r="E73" s="401">
        <v>1</v>
      </c>
      <c r="F73" s="387">
        <f>SUM(D73:E73)</f>
        <v>2.0000000797395385</v>
      </c>
      <c r="G73" s="17"/>
      <c r="H73" s="386">
        <f>EXP(D73)</f>
        <v>2.7182820452135932</v>
      </c>
      <c r="I73" s="327">
        <f>EXP(E73)</f>
        <v>2.7182818284590451</v>
      </c>
      <c r="J73" s="17"/>
      <c r="K73" s="391">
        <f>EXP(D73/$E$18)/(EXP($D72/$E$18)+EXP($E72/$E$18)+EXP($D73/$E$18)+EXP($E73/$E$18))</f>
        <v>0.22500035583357725</v>
      </c>
      <c r="L73" s="392">
        <f>EXP(E73/$E$18)/(EXP($D72/$E$18)+EXP($E72/$E$18)+EXP($D73/$E$18)+EXP($E73/$E$18))</f>
        <v>0.22500034686286513</v>
      </c>
      <c r="M73" s="393">
        <f>SUM(K73:L73)</f>
        <v>0.45000070269644238</v>
      </c>
      <c r="N73" s="518">
        <f>M68/M73</f>
        <v>0.99999843845478864</v>
      </c>
      <c r="O73" s="17"/>
      <c r="P73" s="1253"/>
      <c r="Q73" s="17"/>
      <c r="R73" s="17"/>
      <c r="S73" s="17"/>
      <c r="T73" s="17"/>
      <c r="U73" s="17"/>
      <c r="V73" s="17"/>
      <c r="W73" s="17"/>
      <c r="X73" s="241"/>
      <c r="AB73" s="33"/>
    </row>
    <row r="74" spans="2:28" x14ac:dyDescent="0.25">
      <c r="B74" s="549"/>
      <c r="C74" s="8"/>
      <c r="D74" s="381">
        <f>SUM(D72:D73)</f>
        <v>2.4013358321793268</v>
      </c>
      <c r="E74" s="381">
        <f>SUM(E72:E73)</f>
        <v>2.4013357524397883</v>
      </c>
      <c r="F74" s="381"/>
      <c r="G74" s="17"/>
      <c r="H74" s="17"/>
      <c r="I74" s="17"/>
      <c r="J74" s="17"/>
      <c r="K74" s="394">
        <f>SUM(K72:K73)</f>
        <v>0.50000000448535609</v>
      </c>
      <c r="L74" s="394">
        <f>SUM(L72:L73)</f>
        <v>0.49999999551464391</v>
      </c>
      <c r="M74" s="394"/>
      <c r="N74" s="519">
        <f>K74/K69</f>
        <v>1.0000000089707122</v>
      </c>
      <c r="O74" s="17"/>
      <c r="P74" s="1254"/>
      <c r="Q74" s="17"/>
      <c r="R74" s="17"/>
      <c r="S74" s="17"/>
      <c r="T74" s="17"/>
      <c r="U74" s="17"/>
      <c r="V74" s="17"/>
      <c r="W74" s="17"/>
      <c r="X74" s="241"/>
      <c r="AB74" s="33"/>
    </row>
    <row r="75" spans="2:28" x14ac:dyDescent="0.25">
      <c r="B75" s="5"/>
      <c r="C75" s="7"/>
      <c r="D75" s="7"/>
      <c r="E75" s="17"/>
      <c r="F75" s="17"/>
      <c r="G75" s="17"/>
      <c r="H75" s="17"/>
      <c r="I75" s="17"/>
      <c r="J75" s="17"/>
      <c r="K75" s="17"/>
      <c r="L75" s="17"/>
      <c r="M75" s="17"/>
      <c r="N75" s="17"/>
      <c r="O75" s="17"/>
      <c r="P75" s="17"/>
      <c r="Q75" s="17"/>
      <c r="R75" s="17"/>
      <c r="S75" s="17"/>
      <c r="T75" s="17"/>
      <c r="U75" s="17"/>
      <c r="V75" s="17"/>
      <c r="W75" s="17"/>
      <c r="X75" s="241"/>
      <c r="AB75" s="33"/>
    </row>
    <row r="76" spans="2:28" ht="15.75" thickBot="1" x14ac:dyDescent="0.3">
      <c r="B76" s="5"/>
      <c r="C76" s="7"/>
      <c r="D76" s="7"/>
      <c r="E76" s="17"/>
      <c r="F76" s="17"/>
      <c r="G76" s="17"/>
      <c r="H76" s="17"/>
      <c r="I76" s="17"/>
      <c r="J76" s="17"/>
      <c r="K76" s="17"/>
      <c r="L76" s="17"/>
      <c r="M76" s="17"/>
      <c r="N76" s="17"/>
      <c r="O76" s="17"/>
      <c r="P76" s="17"/>
      <c r="Q76" s="17"/>
      <c r="R76" s="17"/>
      <c r="S76" s="17"/>
      <c r="T76" s="17"/>
      <c r="U76" s="17"/>
      <c r="V76" s="17"/>
      <c r="W76" s="17"/>
      <c r="X76" s="241"/>
    </row>
    <row r="77" spans="2:28" ht="15.75" thickBot="1" x14ac:dyDescent="0.3">
      <c r="B77" s="5"/>
      <c r="C77" s="7"/>
      <c r="D77" s="7"/>
      <c r="E77" s="17"/>
      <c r="F77" s="17"/>
      <c r="G77" s="17"/>
      <c r="H77" s="17"/>
      <c r="I77" s="17"/>
      <c r="J77" s="396" t="s">
        <v>36</v>
      </c>
      <c r="K77" s="397" t="s">
        <v>177</v>
      </c>
      <c r="L77" s="17"/>
      <c r="M77" s="17"/>
      <c r="N77" s="17"/>
      <c r="O77" s="17"/>
      <c r="P77" s="17"/>
      <c r="Q77" s="17"/>
      <c r="R77" s="17"/>
      <c r="S77" s="17"/>
      <c r="T77" s="17"/>
      <c r="U77" s="17"/>
      <c r="V77" s="17"/>
      <c r="W77" s="17"/>
      <c r="X77" s="241"/>
    </row>
    <row r="78" spans="2:28" ht="15.75" thickTop="1" x14ac:dyDescent="0.25">
      <c r="B78" s="5"/>
      <c r="C78" s="7"/>
      <c r="D78" s="7"/>
      <c r="E78" s="17"/>
      <c r="F78" s="17"/>
      <c r="G78" s="17"/>
      <c r="H78" s="17"/>
      <c r="I78" s="17">
        <v>2</v>
      </c>
      <c r="J78" s="82">
        <f>$E$18*$E$7*LN(EXP($D67/$E$18) + EXP($E67/$E$18) + EXP($D68/$E$18) +EXP($E68/$E$18) )</f>
        <v>3772.588722239781</v>
      </c>
      <c r="K78" s="208" t="s">
        <v>191</v>
      </c>
      <c r="L78" s="17"/>
      <c r="M78" s="17"/>
      <c r="N78" s="17"/>
      <c r="O78" s="17"/>
      <c r="P78" s="17"/>
      <c r="Q78" s="17"/>
      <c r="R78" s="17"/>
      <c r="S78" s="17"/>
      <c r="T78" s="17"/>
      <c r="U78" s="17"/>
      <c r="V78" s="17"/>
      <c r="W78" s="17"/>
      <c r="X78" s="241"/>
    </row>
    <row r="79" spans="2:28" ht="15.75" thickBot="1" x14ac:dyDescent="0.3">
      <c r="B79" s="5"/>
      <c r="C79" s="7"/>
      <c r="D79" s="552"/>
      <c r="E79" s="553"/>
      <c r="F79" s="17"/>
      <c r="G79" s="17"/>
      <c r="H79" s="17"/>
      <c r="I79" s="17">
        <v>3</v>
      </c>
      <c r="J79" s="83">
        <f>$E$18*$E$7*LN(EXP($D72/$E$18) + EXP($E72/$E$18) + EXP($D73/$E$18) +EXP($E73/$E$18) )</f>
        <v>3983.3066703323429</v>
      </c>
      <c r="K79" s="398">
        <f>J79-J78</f>
        <v>210.71794809256198</v>
      </c>
      <c r="L79" s="17"/>
      <c r="M79" s="17" t="s">
        <v>192</v>
      </c>
      <c r="N79" s="17"/>
      <c r="O79" s="17"/>
      <c r="P79" s="17"/>
      <c r="Q79" s="17"/>
      <c r="R79" s="17"/>
      <c r="S79" s="17"/>
      <c r="T79" s="17"/>
      <c r="U79" s="17"/>
      <c r="V79" s="17"/>
      <c r="W79" s="17"/>
      <c r="X79" s="241"/>
    </row>
    <row r="80" spans="2:28" x14ac:dyDescent="0.25">
      <c r="B80" s="5"/>
      <c r="C80" s="7"/>
      <c r="D80" s="7"/>
      <c r="E80" s="17"/>
      <c r="F80" s="17"/>
      <c r="G80" s="17"/>
      <c r="H80" s="17"/>
      <c r="I80" s="17"/>
      <c r="J80" s="17"/>
      <c r="K80" s="17"/>
      <c r="L80" s="17"/>
      <c r="M80" s="17" t="s">
        <v>198</v>
      </c>
      <c r="N80" s="17"/>
      <c r="O80" s="17"/>
      <c r="P80" s="17"/>
      <c r="Q80" s="17"/>
      <c r="R80" s="17"/>
      <c r="S80" s="17"/>
      <c r="T80" s="17"/>
      <c r="U80" s="17"/>
      <c r="V80" s="17"/>
      <c r="W80" s="17"/>
      <c r="X80" s="241"/>
    </row>
    <row r="81" spans="2:24" x14ac:dyDescent="0.25">
      <c r="B81" s="5"/>
      <c r="C81" s="7"/>
      <c r="D81" s="7"/>
      <c r="E81" s="17"/>
      <c r="F81" s="17"/>
      <c r="G81" s="17"/>
      <c r="H81" s="17"/>
      <c r="I81" s="17"/>
      <c r="J81" s="17"/>
      <c r="K81" s="17"/>
      <c r="L81" s="17"/>
      <c r="M81" s="17" t="s">
        <v>200</v>
      </c>
      <c r="N81" s="17" t="s">
        <v>201</v>
      </c>
      <c r="O81" s="17"/>
      <c r="P81" s="17"/>
      <c r="Q81" s="17"/>
      <c r="R81" s="17"/>
      <c r="S81" s="17"/>
      <c r="T81" s="17"/>
      <c r="U81" s="17"/>
      <c r="V81" s="17"/>
      <c r="W81" s="17"/>
      <c r="X81" s="241"/>
    </row>
    <row r="82" spans="2:24" x14ac:dyDescent="0.25">
      <c r="B82" s="5"/>
      <c r="C82" s="7"/>
      <c r="D82" s="7"/>
      <c r="E82" s="17"/>
      <c r="F82" s="17"/>
      <c r="G82" s="17"/>
      <c r="H82" s="17"/>
      <c r="I82" s="17"/>
      <c r="J82" s="17"/>
      <c r="K82" s="17"/>
      <c r="L82" s="17"/>
      <c r="M82" s="17" t="s">
        <v>202</v>
      </c>
      <c r="N82" s="17" t="s">
        <v>203</v>
      </c>
      <c r="O82" s="17"/>
      <c r="P82" s="17"/>
      <c r="Q82" s="17"/>
      <c r="R82" s="17"/>
      <c r="S82" s="17"/>
      <c r="T82" s="17"/>
      <c r="U82" s="17"/>
      <c r="V82" s="17"/>
      <c r="W82" s="17"/>
      <c r="X82" s="241"/>
    </row>
    <row r="83" spans="2:24" x14ac:dyDescent="0.25">
      <c r="B83" s="5"/>
      <c r="C83" s="7"/>
      <c r="D83" s="7"/>
      <c r="E83" s="17"/>
      <c r="F83" s="17"/>
      <c r="G83" s="17"/>
      <c r="H83" s="17"/>
      <c r="I83" s="17"/>
      <c r="J83" s="17"/>
      <c r="K83" s="17"/>
      <c r="L83" s="17"/>
      <c r="M83" s="17"/>
      <c r="N83" s="17" t="s">
        <v>204</v>
      </c>
      <c r="O83" s="17"/>
      <c r="P83" s="17"/>
      <c r="Q83" s="17"/>
      <c r="R83" s="17"/>
      <c r="S83" s="17"/>
      <c r="T83" s="17"/>
      <c r="U83" s="17"/>
      <c r="V83" s="17"/>
      <c r="W83" s="17"/>
      <c r="X83" s="241"/>
    </row>
    <row r="84" spans="2:24" x14ac:dyDescent="0.25">
      <c r="B84" s="5"/>
      <c r="C84" s="7"/>
      <c r="D84" s="7"/>
      <c r="E84" s="17"/>
      <c r="F84" s="17"/>
      <c r="G84" s="17"/>
      <c r="H84" s="17"/>
      <c r="I84" s="17"/>
      <c r="J84" s="17"/>
      <c r="K84" s="17"/>
      <c r="L84" s="17"/>
      <c r="M84" s="17"/>
      <c r="N84" s="17"/>
      <c r="O84" s="17"/>
      <c r="P84" s="17"/>
      <c r="Q84" s="17"/>
      <c r="R84" s="17"/>
      <c r="S84" s="17"/>
      <c r="T84" s="17"/>
      <c r="U84" s="17"/>
      <c r="V84" s="17"/>
      <c r="W84" s="17"/>
      <c r="X84" s="241"/>
    </row>
    <row r="85" spans="2:24" x14ac:dyDescent="0.25">
      <c r="B85" s="5"/>
      <c r="C85" s="7"/>
      <c r="D85" s="7"/>
      <c r="E85" s="17"/>
      <c r="F85" s="17"/>
      <c r="G85" s="17"/>
      <c r="H85" s="17"/>
      <c r="I85" s="17"/>
      <c r="J85" s="17"/>
      <c r="K85" s="17"/>
      <c r="L85" s="17"/>
      <c r="M85" s="17"/>
      <c r="N85" s="17"/>
      <c r="O85" s="17"/>
      <c r="P85" s="17"/>
      <c r="Q85" s="17"/>
      <c r="R85" s="17"/>
      <c r="S85" s="17"/>
      <c r="T85" s="17"/>
      <c r="U85" s="17"/>
      <c r="V85" s="17"/>
      <c r="W85" s="17"/>
      <c r="X85" s="241"/>
    </row>
    <row r="86" spans="2:24" x14ac:dyDescent="0.25">
      <c r="B86" s="5"/>
      <c r="C86" s="7"/>
      <c r="D86" s="7"/>
      <c r="E86" s="17"/>
      <c r="F86" s="17"/>
      <c r="G86" s="17"/>
      <c r="H86" s="17"/>
      <c r="I86" s="17"/>
      <c r="J86" s="17"/>
      <c r="K86" s="17"/>
      <c r="L86" s="17"/>
      <c r="M86" s="17"/>
      <c r="N86" s="17"/>
      <c r="O86" s="17"/>
      <c r="P86" s="17"/>
      <c r="Q86" s="17"/>
      <c r="R86" s="17"/>
      <c r="S86" s="17"/>
      <c r="T86" s="17"/>
      <c r="U86" s="17"/>
      <c r="V86" s="17"/>
      <c r="W86" s="17"/>
      <c r="X86" s="241"/>
    </row>
    <row r="87" spans="2:24" x14ac:dyDescent="0.25">
      <c r="B87" s="5"/>
      <c r="C87" s="7"/>
      <c r="D87" s="17"/>
      <c r="E87" s="17"/>
      <c r="F87" s="17"/>
      <c r="G87" s="17"/>
      <c r="H87" s="17"/>
      <c r="I87" s="17"/>
      <c r="J87" s="17"/>
      <c r="K87" s="17"/>
      <c r="L87" s="17"/>
      <c r="M87" s="17"/>
      <c r="N87" s="17"/>
      <c r="O87" s="17"/>
      <c r="P87" s="17"/>
      <c r="Q87" s="17"/>
      <c r="R87" s="17"/>
      <c r="S87" s="17"/>
      <c r="T87" s="17"/>
      <c r="U87" s="17"/>
      <c r="V87" s="17"/>
      <c r="W87" s="17"/>
      <c r="X87" s="241"/>
    </row>
    <row r="88" spans="2:24" x14ac:dyDescent="0.25">
      <c r="B88" s="5"/>
      <c r="C88" s="7"/>
      <c r="D88" s="280"/>
      <c r="E88" s="552"/>
      <c r="F88" s="17"/>
      <c r="G88" s="17"/>
      <c r="H88" s="17"/>
      <c r="I88" s="17"/>
      <c r="J88" s="17"/>
      <c r="K88" s="17"/>
      <c r="L88" s="17"/>
      <c r="M88" s="17"/>
      <c r="N88" s="17"/>
      <c r="O88" s="17"/>
      <c r="P88" s="17"/>
      <c r="Q88" s="17"/>
      <c r="R88" s="17"/>
      <c r="S88" s="17"/>
      <c r="T88" s="17"/>
      <c r="U88" s="17"/>
      <c r="V88" s="17"/>
      <c r="W88" s="17"/>
      <c r="X88" s="241"/>
    </row>
    <row r="89" spans="2:24" x14ac:dyDescent="0.25">
      <c r="B89" s="5"/>
      <c r="C89" s="7"/>
      <c r="D89" s="17"/>
      <c r="E89" s="554"/>
      <c r="F89" s="17"/>
      <c r="G89" s="17"/>
      <c r="H89" s="17"/>
      <c r="I89" s="17"/>
      <c r="J89" s="17"/>
      <c r="K89" s="17"/>
      <c r="L89" s="17"/>
      <c r="M89" s="17"/>
      <c r="N89" s="17"/>
      <c r="O89" s="17"/>
      <c r="P89" s="17"/>
      <c r="Q89" s="17"/>
      <c r="R89" s="17"/>
      <c r="S89" s="17"/>
      <c r="T89" s="17"/>
      <c r="U89" s="17"/>
      <c r="V89" s="17"/>
      <c r="W89" s="17"/>
      <c r="X89" s="241"/>
    </row>
    <row r="90" spans="2:24" x14ac:dyDescent="0.25">
      <c r="B90" s="5"/>
      <c r="C90" s="7"/>
      <c r="D90" s="17"/>
      <c r="E90" s="17"/>
      <c r="F90" s="17"/>
      <c r="G90" s="17"/>
      <c r="H90" s="17"/>
      <c r="I90" s="17"/>
      <c r="J90" s="17"/>
      <c r="K90" s="17"/>
      <c r="L90" s="17"/>
      <c r="M90" s="17"/>
      <c r="N90" s="17"/>
      <c r="O90" s="17"/>
      <c r="P90" s="17"/>
      <c r="Q90" s="17"/>
      <c r="R90" s="17"/>
      <c r="S90" s="17"/>
      <c r="T90" s="17"/>
      <c r="U90" s="17"/>
      <c r="V90" s="17"/>
      <c r="W90" s="17"/>
      <c r="X90" s="241"/>
    </row>
    <row r="91" spans="2:24" x14ac:dyDescent="0.25">
      <c r="B91" s="5"/>
      <c r="C91" s="7"/>
      <c r="D91" s="548"/>
      <c r="E91" s="555"/>
      <c r="F91" s="17"/>
      <c r="G91" s="17"/>
      <c r="H91" s="17"/>
      <c r="I91" s="17"/>
      <c r="J91" s="17"/>
      <c r="K91" s="17"/>
      <c r="L91" s="17"/>
      <c r="M91" s="17"/>
      <c r="N91" s="17"/>
      <c r="O91" s="17"/>
      <c r="P91" s="17"/>
      <c r="Q91" s="17"/>
      <c r="R91" s="17"/>
      <c r="S91" s="17"/>
      <c r="T91" s="17"/>
      <c r="U91" s="17"/>
      <c r="V91" s="17"/>
      <c r="W91" s="17"/>
      <c r="X91" s="241"/>
    </row>
    <row r="92" spans="2:24" x14ac:dyDescent="0.25">
      <c r="B92" s="5"/>
      <c r="C92" s="7"/>
      <c r="D92" s="17"/>
      <c r="E92" s="17"/>
      <c r="F92" s="17"/>
      <c r="G92" s="17"/>
      <c r="H92" s="17"/>
      <c r="I92" s="17"/>
      <c r="J92" s="17"/>
      <c r="K92" s="17"/>
      <c r="L92" s="17"/>
      <c r="M92" s="17"/>
      <c r="N92" s="17"/>
      <c r="O92" s="17"/>
      <c r="P92" s="17"/>
      <c r="Q92" s="17"/>
      <c r="R92" s="17"/>
      <c r="S92" s="17"/>
      <c r="T92" s="17"/>
      <c r="U92" s="17"/>
      <c r="V92" s="17"/>
      <c r="W92" s="17"/>
      <c r="X92" s="241"/>
    </row>
    <row r="93" spans="2:24" x14ac:dyDescent="0.25">
      <c r="B93" s="5"/>
      <c r="C93" s="7"/>
      <c r="D93" s="17"/>
      <c r="E93" s="17"/>
      <c r="F93" s="17"/>
      <c r="G93" s="17"/>
      <c r="H93" s="17"/>
      <c r="I93" s="17"/>
      <c r="J93" s="17"/>
      <c r="K93" s="17"/>
      <c r="L93" s="17"/>
      <c r="M93" s="17"/>
      <c r="N93" s="17"/>
      <c r="O93" s="17"/>
      <c r="P93" s="17"/>
      <c r="Q93" s="17"/>
      <c r="R93" s="17"/>
      <c r="S93" s="17"/>
      <c r="T93" s="17"/>
      <c r="U93" s="17"/>
      <c r="V93" s="17"/>
      <c r="W93" s="17"/>
      <c r="X93" s="241"/>
    </row>
    <row r="94" spans="2:24" x14ac:dyDescent="0.25">
      <c r="B94" s="2"/>
      <c r="C94" s="247"/>
      <c r="D94" s="291"/>
      <c r="E94" s="259"/>
      <c r="F94" s="259"/>
      <c r="G94" s="259"/>
      <c r="H94" s="259"/>
      <c r="I94" s="259"/>
      <c r="J94" s="259"/>
      <c r="K94" s="259"/>
      <c r="L94" s="259"/>
      <c r="M94" s="259"/>
      <c r="N94" s="259"/>
      <c r="O94" s="259"/>
      <c r="P94" s="259"/>
      <c r="Q94" s="259"/>
      <c r="R94" s="259"/>
      <c r="S94" s="259"/>
      <c r="T94" s="259"/>
      <c r="U94" s="259"/>
      <c r="V94" s="259"/>
      <c r="W94" s="259"/>
      <c r="X94" s="262"/>
    </row>
  </sheetData>
  <dataConsolidate/>
  <mergeCells count="7">
    <mergeCell ref="AR23:AS23"/>
    <mergeCell ref="P66:P69"/>
    <mergeCell ref="P71:P74"/>
    <mergeCell ref="P61:P64"/>
    <mergeCell ref="C4:C10"/>
    <mergeCell ref="C12:C14"/>
    <mergeCell ref="C16:C2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2" tint="-0.499984740745262"/>
  </sheetPr>
  <dimension ref="A2:BB103"/>
  <sheetViews>
    <sheetView topLeftCell="A28" zoomScale="70" zoomScaleNormal="70" workbookViewId="0">
      <selection activeCell="U74" sqref="U74"/>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customWidth="1"/>
    <col min="12" max="13" width="13.42578125" customWidth="1"/>
    <col min="14" max="17" width="15" customWidth="1"/>
    <col min="18" max="18" width="11.5703125" style="86" customWidth="1"/>
    <col min="19" max="20" width="15.42578125" customWidth="1"/>
    <col min="21" max="21" width="8" bestFit="1" customWidth="1"/>
    <col min="22" max="22" width="18.85546875" bestFit="1" customWidth="1"/>
    <col min="24" max="24" width="14.42578125" customWidth="1"/>
    <col min="25" max="25" width="12.28515625" bestFit="1" customWidth="1"/>
    <col min="26" max="27" width="14.140625" customWidth="1"/>
    <col min="28" max="28" width="16"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08" t="s">
        <v>387</v>
      </c>
      <c r="D2" s="808"/>
      <c r="H2" s="17"/>
      <c r="I2" s="17"/>
      <c r="J2" s="17"/>
      <c r="P2" s="33"/>
    </row>
    <row r="3" spans="2:31" x14ac:dyDescent="0.25">
      <c r="B3" s="7"/>
      <c r="C3" s="7"/>
      <c r="D3" s="7"/>
      <c r="E3" s="7"/>
      <c r="F3" s="17"/>
      <c r="G3" s="241"/>
      <c r="H3" s="191"/>
      <c r="I3" s="17"/>
      <c r="J3" s="17"/>
      <c r="K3"/>
      <c r="P3" s="33"/>
    </row>
    <row r="4" spans="2:31" x14ac:dyDescent="0.25">
      <c r="B4" s="7"/>
      <c r="C4" s="1172" t="s">
        <v>163</v>
      </c>
      <c r="D4" s="152" t="s">
        <v>4</v>
      </c>
      <c r="E4" s="266" t="s">
        <v>145</v>
      </c>
      <c r="F4" s="152"/>
      <c r="G4" s="266"/>
      <c r="H4" s="273"/>
      <c r="I4" s="261"/>
      <c r="J4" s="191"/>
      <c r="K4"/>
      <c r="N4" s="33"/>
      <c r="O4" s="33"/>
      <c r="P4" s="33"/>
      <c r="AB4" s="7"/>
      <c r="AC4" s="7"/>
      <c r="AD4" s="807"/>
    </row>
    <row r="5" spans="2:31" x14ac:dyDescent="0.25">
      <c r="B5" s="7"/>
      <c r="C5" s="1173"/>
      <c r="D5" s="17" t="s">
        <v>134</v>
      </c>
      <c r="E5" s="17" t="s">
        <v>3</v>
      </c>
      <c r="F5" s="7"/>
      <c r="G5" s="17"/>
      <c r="H5" s="191"/>
      <c r="I5" s="241"/>
      <c r="J5" s="191"/>
      <c r="K5"/>
      <c r="N5" s="33"/>
      <c r="O5" s="33"/>
      <c r="P5" s="33"/>
      <c r="AB5" s="7"/>
      <c r="AC5" s="314"/>
      <c r="AD5" s="809"/>
    </row>
    <row r="6" spans="2:31" x14ac:dyDescent="0.25">
      <c r="B6" s="7"/>
      <c r="C6" s="1174"/>
      <c r="D6" s="259" t="s">
        <v>135</v>
      </c>
      <c r="E6" s="259" t="s">
        <v>2</v>
      </c>
      <c r="F6" s="247"/>
      <c r="G6" s="259"/>
      <c r="H6" s="274"/>
      <c r="I6" s="262"/>
      <c r="J6" s="191"/>
      <c r="K6"/>
      <c r="N6" s="33"/>
      <c r="O6" s="33"/>
      <c r="P6" s="33"/>
      <c r="AB6" s="7"/>
      <c r="AC6" s="7"/>
      <c r="AD6" s="807"/>
    </row>
    <row r="7" spans="2:31" ht="15.75" thickBot="1" x14ac:dyDescent="0.3">
      <c r="B7" s="7"/>
      <c r="C7" s="272"/>
      <c r="D7" s="17"/>
      <c r="E7" s="17"/>
      <c r="F7" s="7"/>
      <c r="G7" s="241"/>
      <c r="H7" s="191"/>
      <c r="I7" s="17"/>
      <c r="J7" s="191"/>
      <c r="K7"/>
      <c r="N7" s="33"/>
      <c r="O7" s="33"/>
      <c r="P7" s="33"/>
      <c r="AB7" s="7"/>
      <c r="AC7" s="7"/>
      <c r="AD7" s="807"/>
    </row>
    <row r="8" spans="2:31" x14ac:dyDescent="0.25">
      <c r="B8" s="7"/>
      <c r="C8" s="1175" t="s">
        <v>152</v>
      </c>
      <c r="D8" s="275" t="s">
        <v>164</v>
      </c>
      <c r="E8" s="278" t="s">
        <v>165</v>
      </c>
      <c r="F8" s="253" t="s">
        <v>166</v>
      </c>
      <c r="G8" s="253"/>
      <c r="H8" s="180"/>
      <c r="I8" s="17"/>
      <c r="J8" s="191"/>
      <c r="K8"/>
      <c r="N8" s="33"/>
      <c r="O8" s="33"/>
      <c r="P8" s="33"/>
      <c r="AB8" s="8"/>
      <c r="AC8" s="7"/>
      <c r="AD8" s="807"/>
    </row>
    <row r="9" spans="2:31" x14ac:dyDescent="0.25">
      <c r="B9" s="7"/>
      <c r="C9" s="1176"/>
      <c r="D9" s="17" t="s">
        <v>139</v>
      </c>
      <c r="E9" s="256">
        <v>2</v>
      </c>
      <c r="F9" s="17" t="s">
        <v>140</v>
      </c>
      <c r="G9" s="7"/>
      <c r="H9" s="279"/>
      <c r="I9" s="17"/>
      <c r="J9" s="191"/>
      <c r="K9"/>
      <c r="N9" s="33"/>
      <c r="O9" s="33"/>
      <c r="P9" s="33"/>
      <c r="AC9" s="7"/>
      <c r="AD9" s="807"/>
      <c r="AE9" s="807"/>
    </row>
    <row r="10" spans="2:31" x14ac:dyDescent="0.25">
      <c r="B10" s="7"/>
      <c r="C10" s="1176"/>
      <c r="D10" s="17" t="s">
        <v>5</v>
      </c>
      <c r="E10" s="810">
        <f>Q40/LN(EXP($G15/D40)+EXP($F15/D40))</f>
        <v>0.2</v>
      </c>
      <c r="F10" s="17" t="s">
        <v>143</v>
      </c>
      <c r="G10" s="7"/>
      <c r="H10" s="279"/>
      <c r="I10" s="17"/>
      <c r="J10" s="1260" t="s">
        <v>361</v>
      </c>
      <c r="K10" s="1260"/>
      <c r="L10" s="1260"/>
      <c r="N10" s="33"/>
      <c r="O10" s="33"/>
      <c r="P10" s="33"/>
      <c r="AC10" s="7"/>
      <c r="AD10" s="807"/>
      <c r="AE10" s="807"/>
    </row>
    <row r="11" spans="2:31" ht="15.75" thickBot="1" x14ac:dyDescent="0.3">
      <c r="B11" s="7"/>
      <c r="C11" s="1177"/>
      <c r="D11" s="168" t="s">
        <v>141</v>
      </c>
      <c r="E11" s="928">
        <f>E10*LN(E9)</f>
        <v>0.13862943611198905</v>
      </c>
      <c r="F11" s="168" t="s">
        <v>142</v>
      </c>
      <c r="G11" s="168"/>
      <c r="H11" s="181"/>
      <c r="I11" s="17"/>
      <c r="J11" s="929">
        <f>Q15-MIN(F15:G15)</f>
        <v>0.13862943611198997</v>
      </c>
      <c r="K11"/>
      <c r="N11" s="33"/>
      <c r="O11" s="33"/>
      <c r="P11" s="33"/>
      <c r="AC11" s="7"/>
      <c r="AD11" s="807"/>
      <c r="AE11" s="807"/>
    </row>
    <row r="12" spans="2:31" s="7" customFormat="1" ht="12.75" customHeight="1" thickBot="1" x14ac:dyDescent="0.3">
      <c r="D12"/>
      <c r="E12"/>
      <c r="F12" s="33"/>
      <c r="G12" s="241"/>
      <c r="H12" s="33"/>
      <c r="I12" s="33"/>
      <c r="J12" s="33"/>
      <c r="K12" s="33"/>
      <c r="L12"/>
      <c r="M12" s="8"/>
      <c r="R12" s="807"/>
      <c r="S12" s="807"/>
      <c r="T12" s="807"/>
      <c r="U12" s="807"/>
      <c r="V12" s="807"/>
      <c r="W12" s="807"/>
      <c r="X12" s="807"/>
      <c r="Y12" s="807"/>
    </row>
    <row r="13" spans="2:31" s="7" customFormat="1" ht="33" customHeight="1" thickBot="1" x14ac:dyDescent="0.3">
      <c r="E13"/>
      <c r="F13" s="436" t="s">
        <v>12</v>
      </c>
      <c r="G13" s="439"/>
      <c r="H13" s="247"/>
      <c r="I13" s="247"/>
      <c r="J13" s="247"/>
      <c r="K13" s="247"/>
      <c r="L13" s="247"/>
      <c r="M13" s="247"/>
      <c r="N13" s="436" t="s">
        <v>13</v>
      </c>
      <c r="O13" s="439"/>
      <c r="P13" s="811" t="s">
        <v>36</v>
      </c>
      <c r="Q13" s="812" t="s">
        <v>1</v>
      </c>
      <c r="R13" s="807"/>
      <c r="S13" s="807"/>
      <c r="T13" s="807"/>
      <c r="U13" s="807"/>
      <c r="V13" s="807" t="s">
        <v>362</v>
      </c>
      <c r="W13" s="807"/>
      <c r="X13" s="807"/>
      <c r="Y13" s="807"/>
      <c r="Z13" s="1216"/>
      <c r="AA13" s="1216"/>
    </row>
    <row r="14" spans="2:31" s="7" customFormat="1" ht="15.75" thickBot="1" x14ac:dyDescent="0.3">
      <c r="B14" s="1261" t="s">
        <v>363</v>
      </c>
      <c r="D14" s="7" t="s">
        <v>5</v>
      </c>
      <c r="E14" s="117" t="s">
        <v>45</v>
      </c>
      <c r="F14" s="249" t="s">
        <v>134</v>
      </c>
      <c r="G14" s="250" t="s">
        <v>135</v>
      </c>
      <c r="H14" s="13"/>
      <c r="I14" s="13"/>
      <c r="J14" s="13"/>
      <c r="K14" s="13"/>
      <c r="L14" s="13"/>
      <c r="M14" s="13"/>
      <c r="N14" s="249" t="s">
        <v>134</v>
      </c>
      <c r="O14" s="250" t="s">
        <v>135</v>
      </c>
      <c r="P14" s="813">
        <v>0</v>
      </c>
      <c r="Q14" s="814"/>
      <c r="R14" s="807" t="s">
        <v>364</v>
      </c>
      <c r="S14" s="1258" t="s">
        <v>365</v>
      </c>
      <c r="T14" s="1259"/>
      <c r="U14" s="807" t="s">
        <v>366</v>
      </c>
      <c r="V14" s="145" t="s">
        <v>367</v>
      </c>
      <c r="W14" s="807"/>
      <c r="X14" s="145" t="s">
        <v>368</v>
      </c>
      <c r="Y14" s="807" t="str">
        <f t="shared" ref="Y14:Y30" si="0">R14</f>
        <v>Pain</v>
      </c>
      <c r="AA14" s="8"/>
    </row>
    <row r="15" spans="2:31" s="7" customFormat="1" ht="18" customHeight="1" thickTop="1" x14ac:dyDescent="0.25">
      <c r="B15" s="1256"/>
      <c r="D15" s="905">
        <f>$E$10</f>
        <v>0.2</v>
      </c>
      <c r="E15" s="25">
        <v>1</v>
      </c>
      <c r="F15" s="320">
        <f t="shared" ref="F15:G30" si="1">F40</f>
        <v>5</v>
      </c>
      <c r="G15" s="816">
        <f>G40</f>
        <v>5</v>
      </c>
      <c r="N15" s="330">
        <f t="shared" ref="N15:O30" si="2">EXP(F15/$D15)/(EXP($G15/$D15)+EXP($F15/$D15))</f>
        <v>0.5</v>
      </c>
      <c r="O15" s="817">
        <f t="shared" si="2"/>
        <v>0.5</v>
      </c>
      <c r="P15" s="818">
        <f>D15*LN(EXP($G15/D15)+EXP($F15/D15))</f>
        <v>5.13862943611199</v>
      </c>
      <c r="Q15" s="819">
        <f>(P15-P14)</f>
        <v>5.13862943611199</v>
      </c>
      <c r="R15" s="820">
        <f t="shared" ref="R15:R30" si="3">SUM(N15:O15) - 1</f>
        <v>0</v>
      </c>
      <c r="S15" s="644">
        <f t="shared" ref="S15:T30" si="4">N15-($R15/2)</f>
        <v>0.5</v>
      </c>
      <c r="T15" s="645">
        <f t="shared" si="4"/>
        <v>0.5</v>
      </c>
      <c r="U15" s="807"/>
      <c r="V15" s="807"/>
      <c r="W15" s="807"/>
      <c r="X15" s="821">
        <f t="shared" ref="X15:X30" si="5">N15</f>
        <v>0.5</v>
      </c>
      <c r="Y15" s="807">
        <f t="shared" si="0"/>
        <v>0</v>
      </c>
    </row>
    <row r="16" spans="2:31" s="7" customFormat="1" x14ac:dyDescent="0.25">
      <c r="B16" s="1256"/>
      <c r="D16" s="7">
        <f t="shared" ref="D16:D30" si="6">$E$10</f>
        <v>0.2</v>
      </c>
      <c r="E16" s="25">
        <v>2</v>
      </c>
      <c r="F16" s="320">
        <f t="shared" si="1"/>
        <v>6.1374418089189895</v>
      </c>
      <c r="G16" s="816">
        <f>G41</f>
        <v>5</v>
      </c>
      <c r="N16" s="330">
        <f t="shared" si="2"/>
        <v>0.99662240835047589</v>
      </c>
      <c r="O16" s="817">
        <f t="shared" si="2"/>
        <v>3.3775916495240766E-3</v>
      </c>
      <c r="P16" s="818">
        <f t="shared" ref="P16:P30" si="7">D16*LN(EXP($G16/D16)+EXP($F16/D16))</f>
        <v>6.138118470636754</v>
      </c>
      <c r="Q16" s="414">
        <f t="shared" ref="Q16:Q30" si="8">(P16-P15)</f>
        <v>0.99948903452476401</v>
      </c>
      <c r="R16" s="820">
        <f t="shared" si="3"/>
        <v>0</v>
      </c>
      <c r="S16" s="644">
        <f t="shared" si="4"/>
        <v>0.99662240835047589</v>
      </c>
      <c r="T16" s="645">
        <f t="shared" si="4"/>
        <v>3.3775916495240766E-3</v>
      </c>
      <c r="U16" s="822">
        <f>S16-S15</f>
        <v>0.49662240835047589</v>
      </c>
      <c r="V16" s="823">
        <f t="shared" ref="V16:V30" si="9">U16/Q16</f>
        <v>0.49687629498267522</v>
      </c>
      <c r="W16" s="807"/>
      <c r="X16" s="821">
        <f t="shared" si="5"/>
        <v>0.99662240835047589</v>
      </c>
      <c r="Y16" s="807">
        <f t="shared" si="0"/>
        <v>0</v>
      </c>
    </row>
    <row r="17" spans="2:25" s="7" customFormat="1" x14ac:dyDescent="0.25">
      <c r="B17" s="1256"/>
      <c r="D17" s="7">
        <f t="shared" si="6"/>
        <v>0.2</v>
      </c>
      <c r="E17" s="25">
        <v>3</v>
      </c>
      <c r="F17" s="320">
        <f t="shared" si="1"/>
        <v>7.1387508752869095</v>
      </c>
      <c r="G17" s="816">
        <f t="shared" si="1"/>
        <v>5</v>
      </c>
      <c r="N17" s="330">
        <f t="shared" si="2"/>
        <v>0.99997731432891135</v>
      </c>
      <c r="O17" s="817">
        <f t="shared" si="2"/>
        <v>2.2685671088607188E-5</v>
      </c>
      <c r="P17" s="818">
        <f t="shared" si="7"/>
        <v>7.1387554124725927</v>
      </c>
      <c r="Q17" s="414">
        <f t="shared" si="8"/>
        <v>1.0006369418358387</v>
      </c>
      <c r="R17" s="820">
        <f t="shared" si="3"/>
        <v>0</v>
      </c>
      <c r="S17" s="644">
        <f t="shared" si="4"/>
        <v>0.99997731432891135</v>
      </c>
      <c r="T17" s="645">
        <f t="shared" si="4"/>
        <v>2.2685671088607188E-5</v>
      </c>
      <c r="U17" s="824">
        <f t="shared" ref="U17:U30" si="10">S17-S16</f>
        <v>3.3549059784354629E-3</v>
      </c>
      <c r="V17" s="825">
        <f t="shared" si="9"/>
        <v>3.3527704586643753E-3</v>
      </c>
      <c r="W17" s="807"/>
      <c r="X17" s="821">
        <f t="shared" si="5"/>
        <v>0.99997731432891135</v>
      </c>
      <c r="Y17" s="807">
        <f t="shared" si="0"/>
        <v>0</v>
      </c>
    </row>
    <row r="18" spans="2:25" s="7" customFormat="1" x14ac:dyDescent="0.25">
      <c r="B18" s="1256"/>
      <c r="D18" s="7">
        <f t="shared" si="6"/>
        <v>0.2</v>
      </c>
      <c r="E18" s="25">
        <v>4</v>
      </c>
      <c r="F18" s="320">
        <f t="shared" si="1"/>
        <v>8.1387871155222609</v>
      </c>
      <c r="G18" s="816">
        <f t="shared" si="1"/>
        <v>5</v>
      </c>
      <c r="N18" s="330">
        <f t="shared" si="2"/>
        <v>0.99999984716940182</v>
      </c>
      <c r="O18" s="817">
        <f t="shared" si="2"/>
        <v>1.528305981724045E-7</v>
      </c>
      <c r="P18" s="818">
        <f t="shared" si="7"/>
        <v>8.1387871460883812</v>
      </c>
      <c r="Q18" s="414">
        <f t="shared" si="8"/>
        <v>1.0000317336157885</v>
      </c>
      <c r="R18" s="820">
        <f t="shared" si="3"/>
        <v>0</v>
      </c>
      <c r="S18" s="644">
        <f t="shared" si="4"/>
        <v>0.99999984716940182</v>
      </c>
      <c r="T18" s="645">
        <f t="shared" si="4"/>
        <v>1.528305981724045E-7</v>
      </c>
      <c r="U18" s="826">
        <f t="shared" si="10"/>
        <v>2.2532840490474548E-5</v>
      </c>
      <c r="V18" s="827">
        <f t="shared" si="9"/>
        <v>2.2532125464662155E-5</v>
      </c>
      <c r="W18" s="807"/>
      <c r="X18" s="821">
        <f t="shared" si="5"/>
        <v>0.99999984716940182</v>
      </c>
      <c r="Y18" s="807">
        <f t="shared" si="0"/>
        <v>0</v>
      </c>
    </row>
    <row r="19" spans="2:25" s="7" customFormat="1" x14ac:dyDescent="0.25">
      <c r="B19" s="1256"/>
      <c r="D19" s="7">
        <f t="shared" si="6"/>
        <v>0.2</v>
      </c>
      <c r="E19" s="25">
        <v>5</v>
      </c>
      <c r="F19" s="320">
        <f t="shared" si="1"/>
        <v>20</v>
      </c>
      <c r="G19" s="816">
        <f t="shared" si="1"/>
        <v>20</v>
      </c>
      <c r="N19" s="330">
        <f t="shared" si="2"/>
        <v>0.5</v>
      </c>
      <c r="O19" s="817">
        <f t="shared" si="2"/>
        <v>0.5</v>
      </c>
      <c r="P19" s="818">
        <f t="shared" si="7"/>
        <v>20.138629436111991</v>
      </c>
      <c r="Q19" s="414">
        <f t="shared" si="8"/>
        <v>11.99984229002361</v>
      </c>
      <c r="R19" s="820">
        <f t="shared" si="3"/>
        <v>0</v>
      </c>
      <c r="S19" s="644">
        <f t="shared" si="4"/>
        <v>0.5</v>
      </c>
      <c r="T19" s="645">
        <f t="shared" si="4"/>
        <v>0.5</v>
      </c>
      <c r="U19" s="828">
        <f t="shared" si="10"/>
        <v>-0.49999984716940182</v>
      </c>
      <c r="V19" s="759">
        <f t="shared" si="9"/>
        <v>-4.1667201541897771E-2</v>
      </c>
      <c r="W19" s="807"/>
      <c r="X19" s="821">
        <f t="shared" si="5"/>
        <v>0.5</v>
      </c>
      <c r="Y19" s="807">
        <f t="shared" si="0"/>
        <v>0</v>
      </c>
    </row>
    <row r="20" spans="2:25" s="7" customFormat="1" x14ac:dyDescent="0.25">
      <c r="B20" s="1256"/>
      <c r="D20" s="7">
        <f t="shared" si="6"/>
        <v>0.2</v>
      </c>
      <c r="E20" s="25">
        <v>6</v>
      </c>
      <c r="F20" s="320">
        <f t="shared" si="1"/>
        <v>21.416872348803203</v>
      </c>
      <c r="G20" s="816">
        <f t="shared" si="1"/>
        <v>20</v>
      </c>
      <c r="N20" s="330">
        <f t="shared" si="2"/>
        <v>0.99916259229434723</v>
      </c>
      <c r="O20" s="817">
        <f t="shared" si="2"/>
        <v>8.3740770565281122E-4</v>
      </c>
      <c r="P20" s="818">
        <f t="shared" si="7"/>
        <v>21.417039900508673</v>
      </c>
      <c r="Q20" s="414">
        <f t="shared" si="8"/>
        <v>1.278410464396682</v>
      </c>
      <c r="R20" s="820">
        <f t="shared" si="3"/>
        <v>0</v>
      </c>
      <c r="S20" s="644">
        <f t="shared" si="4"/>
        <v>0.99916259229434723</v>
      </c>
      <c r="T20" s="645">
        <f t="shared" si="4"/>
        <v>8.3740770565281122E-4</v>
      </c>
      <c r="U20" s="822">
        <f t="shared" si="10"/>
        <v>0.49916259229434723</v>
      </c>
      <c r="V20" s="823">
        <f t="shared" si="9"/>
        <v>0.39045565269986754</v>
      </c>
      <c r="W20" s="807"/>
      <c r="X20" s="821">
        <f t="shared" si="5"/>
        <v>0.99916259229434723</v>
      </c>
      <c r="Y20" s="807">
        <f t="shared" si="0"/>
        <v>0</v>
      </c>
    </row>
    <row r="21" spans="2:25" s="7" customFormat="1" x14ac:dyDescent="0.25">
      <c r="B21" s="1256"/>
      <c r="D21" s="7">
        <f t="shared" si="6"/>
        <v>0.2</v>
      </c>
      <c r="E21" s="25">
        <v>7</v>
      </c>
      <c r="F21" s="320">
        <f t="shared" si="1"/>
        <v>22.511298494444045</v>
      </c>
      <c r="G21" s="816">
        <f t="shared" si="1"/>
        <v>20</v>
      </c>
      <c r="N21" s="330">
        <f t="shared" si="2"/>
        <v>0.99999647805087943</v>
      </c>
      <c r="O21" s="817">
        <f t="shared" si="2"/>
        <v>3.5219491205507666E-6</v>
      </c>
      <c r="P21" s="818">
        <f t="shared" si="7"/>
        <v>22.511299198835108</v>
      </c>
      <c r="Q21" s="414">
        <f t="shared" si="8"/>
        <v>1.0942592983264348</v>
      </c>
      <c r="R21" s="820">
        <f t="shared" si="3"/>
        <v>0</v>
      </c>
      <c r="S21" s="644">
        <f t="shared" si="4"/>
        <v>0.99999647805087943</v>
      </c>
      <c r="T21" s="645">
        <f t="shared" si="4"/>
        <v>3.5219491205507666E-6</v>
      </c>
      <c r="U21" s="824">
        <f t="shared" si="10"/>
        <v>8.3388575653220443E-4</v>
      </c>
      <c r="V21" s="825">
        <f t="shared" si="9"/>
        <v>7.6205498807051784E-4</v>
      </c>
      <c r="W21" s="807"/>
      <c r="X21" s="821">
        <f t="shared" si="5"/>
        <v>0.99999647805087943</v>
      </c>
      <c r="Y21" s="807">
        <f t="shared" si="0"/>
        <v>0</v>
      </c>
    </row>
    <row r="22" spans="2:25" s="7" customFormat="1" x14ac:dyDescent="0.25">
      <c r="B22" s="1256"/>
      <c r="D22" s="7">
        <f t="shared" si="6"/>
        <v>0.2</v>
      </c>
      <c r="E22" s="25">
        <v>8</v>
      </c>
      <c r="F22" s="320">
        <f t="shared" si="1"/>
        <v>23.539700618675166</v>
      </c>
      <c r="G22" s="816">
        <f t="shared" si="1"/>
        <v>20</v>
      </c>
      <c r="N22" s="330">
        <f t="shared" si="2"/>
        <v>0.99999997941088115</v>
      </c>
      <c r="O22" s="817">
        <f t="shared" si="2"/>
        <v>2.058911880683795E-8</v>
      </c>
      <c r="P22" s="818">
        <f t="shared" si="7"/>
        <v>23.539700622792989</v>
      </c>
      <c r="Q22" s="414">
        <f t="shared" si="8"/>
        <v>1.0284014239578809</v>
      </c>
      <c r="R22" s="820">
        <f t="shared" si="3"/>
        <v>0</v>
      </c>
      <c r="S22" s="644">
        <f t="shared" si="4"/>
        <v>0.99999997941088115</v>
      </c>
      <c r="T22" s="645">
        <f t="shared" si="4"/>
        <v>2.058911880683795E-8</v>
      </c>
      <c r="U22" s="826">
        <f t="shared" si="10"/>
        <v>3.5013600017119728E-6</v>
      </c>
      <c r="V22" s="827">
        <f t="shared" si="9"/>
        <v>3.4046627320261023E-6</v>
      </c>
      <c r="W22" s="807"/>
      <c r="X22" s="821">
        <f t="shared" si="5"/>
        <v>0.99999997941088115</v>
      </c>
      <c r="Y22" s="807">
        <f t="shared" si="0"/>
        <v>0</v>
      </c>
    </row>
    <row r="23" spans="2:25" s="7" customFormat="1" x14ac:dyDescent="0.25">
      <c r="B23" s="1256"/>
      <c r="D23" s="7">
        <f t="shared" si="6"/>
        <v>0.2</v>
      </c>
      <c r="E23" s="25">
        <v>9</v>
      </c>
      <c r="F23" s="320">
        <f t="shared" si="1"/>
        <v>47.079401237350332</v>
      </c>
      <c r="G23" s="816">
        <f t="shared" si="1"/>
        <v>40</v>
      </c>
      <c r="N23" s="330">
        <f t="shared" si="2"/>
        <v>0.99999999999999956</v>
      </c>
      <c r="O23" s="817">
        <f t="shared" si="2"/>
        <v>4.2391183069802982E-16</v>
      </c>
      <c r="P23" s="818">
        <f t="shared" si="7"/>
        <v>47.079401237350332</v>
      </c>
      <c r="Q23" s="414">
        <f t="shared" si="8"/>
        <v>23.539700614557344</v>
      </c>
      <c r="R23" s="820">
        <f t="shared" si="3"/>
        <v>0</v>
      </c>
      <c r="S23" s="644">
        <f t="shared" si="4"/>
        <v>0.99999999999999956</v>
      </c>
      <c r="T23" s="645">
        <f t="shared" si="4"/>
        <v>4.2391183069802982E-16</v>
      </c>
      <c r="U23" s="828">
        <f t="shared" si="10"/>
        <v>2.0589118410185847E-8</v>
      </c>
      <c r="V23" s="820">
        <f t="shared" si="9"/>
        <v>8.7465506666015934E-10</v>
      </c>
      <c r="W23" s="807"/>
      <c r="X23" s="821">
        <f t="shared" si="5"/>
        <v>0.99999999999999956</v>
      </c>
      <c r="Y23" s="807">
        <f t="shared" si="0"/>
        <v>0</v>
      </c>
    </row>
    <row r="24" spans="2:25" s="7" customFormat="1" x14ac:dyDescent="0.25">
      <c r="B24" s="1256"/>
      <c r="D24" s="7">
        <f t="shared" si="6"/>
        <v>0.2</v>
      </c>
      <c r="E24" s="25">
        <v>10</v>
      </c>
      <c r="F24" s="320">
        <f t="shared" si="1"/>
        <v>20</v>
      </c>
      <c r="G24" s="816">
        <f t="shared" si="1"/>
        <v>12</v>
      </c>
      <c r="N24" s="330">
        <f t="shared" si="2"/>
        <v>1</v>
      </c>
      <c r="O24" s="817">
        <f t="shared" si="2"/>
        <v>4.2483542552915889E-18</v>
      </c>
      <c r="P24" s="818">
        <f t="shared" si="7"/>
        <v>20</v>
      </c>
      <c r="Q24" s="414">
        <f t="shared" si="8"/>
        <v>-27.079401237350332</v>
      </c>
      <c r="R24" s="820">
        <f t="shared" si="3"/>
        <v>0</v>
      </c>
      <c r="S24" s="644">
        <f t="shared" si="4"/>
        <v>1</v>
      </c>
      <c r="T24" s="645">
        <f t="shared" si="4"/>
        <v>4.2483542552915889E-18</v>
      </c>
      <c r="U24" s="828">
        <f t="shared" si="10"/>
        <v>0</v>
      </c>
      <c r="V24" s="820">
        <f t="shared" si="9"/>
        <v>0</v>
      </c>
      <c r="W24" s="807"/>
      <c r="X24" s="821">
        <f t="shared" si="5"/>
        <v>1</v>
      </c>
      <c r="Y24" s="807">
        <f t="shared" si="0"/>
        <v>0</v>
      </c>
    </row>
    <row r="25" spans="2:25" s="7" customFormat="1" x14ac:dyDescent="0.25">
      <c r="B25" s="1256"/>
      <c r="D25" s="7">
        <f t="shared" si="6"/>
        <v>0.2</v>
      </c>
      <c r="E25" s="25">
        <v>11</v>
      </c>
      <c r="F25" s="320">
        <f t="shared" si="1"/>
        <v>30</v>
      </c>
      <c r="G25" s="816">
        <f t="shared" si="1"/>
        <v>31</v>
      </c>
      <c r="N25" s="330">
        <f t="shared" si="2"/>
        <v>6.6928509242848554E-3</v>
      </c>
      <c r="O25" s="817">
        <f t="shared" si="2"/>
        <v>0.99330714907571516</v>
      </c>
      <c r="P25" s="818">
        <f t="shared" si="7"/>
        <v>31.001343069697825</v>
      </c>
      <c r="Q25" s="414">
        <f t="shared" si="8"/>
        <v>11.001343069697825</v>
      </c>
      <c r="R25" s="820">
        <f t="shared" si="3"/>
        <v>0</v>
      </c>
      <c r="S25" s="644">
        <f t="shared" si="4"/>
        <v>6.6928509242848554E-3</v>
      </c>
      <c r="T25" s="645">
        <f t="shared" si="4"/>
        <v>0.99330714907571516</v>
      </c>
      <c r="U25" s="828">
        <f t="shared" si="10"/>
        <v>-0.99330714907571516</v>
      </c>
      <c r="V25" s="820">
        <f t="shared" si="9"/>
        <v>-9.0289625801388496E-2</v>
      </c>
      <c r="W25" s="807"/>
      <c r="X25" s="821">
        <f t="shared" si="5"/>
        <v>6.6928509242848554E-3</v>
      </c>
      <c r="Y25" s="807">
        <f t="shared" si="0"/>
        <v>0</v>
      </c>
    </row>
    <row r="26" spans="2:25" s="7" customFormat="1" x14ac:dyDescent="0.25">
      <c r="B26" s="1256"/>
      <c r="D26" s="7">
        <f t="shared" si="6"/>
        <v>0.2</v>
      </c>
      <c r="E26" s="25">
        <v>12</v>
      </c>
      <c r="F26" s="320">
        <f t="shared" si="1"/>
        <v>30</v>
      </c>
      <c r="G26" s="816">
        <f t="shared" si="1"/>
        <v>32</v>
      </c>
      <c r="N26" s="330">
        <f t="shared" si="2"/>
        <v>4.5397868702434395E-5</v>
      </c>
      <c r="O26" s="817">
        <f t="shared" si="2"/>
        <v>0.9999546021312975</v>
      </c>
      <c r="P26" s="818">
        <f t="shared" si="7"/>
        <v>32.000009079779844</v>
      </c>
      <c r="Q26" s="414">
        <f t="shared" si="8"/>
        <v>0.99866601008201883</v>
      </c>
      <c r="R26" s="820">
        <f t="shared" si="3"/>
        <v>0</v>
      </c>
      <c r="S26" s="644">
        <f t="shared" si="4"/>
        <v>4.5397868702434395E-5</v>
      </c>
      <c r="T26" s="645">
        <f t="shared" si="4"/>
        <v>0.9999546021312975</v>
      </c>
      <c r="U26" s="828">
        <f t="shared" si="10"/>
        <v>-6.6474530555824208E-3</v>
      </c>
      <c r="V26" s="820">
        <f t="shared" si="9"/>
        <v>-6.6563325360762763E-3</v>
      </c>
      <c r="W26" s="807"/>
      <c r="X26" s="821">
        <f t="shared" si="5"/>
        <v>4.5397868702434395E-5</v>
      </c>
      <c r="Y26" s="807">
        <f t="shared" si="0"/>
        <v>0</v>
      </c>
    </row>
    <row r="27" spans="2:25" s="7" customFormat="1" x14ac:dyDescent="0.25">
      <c r="B27" s="1256"/>
      <c r="D27" s="7">
        <f t="shared" si="6"/>
        <v>0.2</v>
      </c>
      <c r="E27" s="25">
        <v>13</v>
      </c>
      <c r="F27" s="320">
        <f t="shared" si="1"/>
        <v>30</v>
      </c>
      <c r="G27" s="816">
        <f t="shared" si="1"/>
        <v>33</v>
      </c>
      <c r="N27" s="330">
        <f t="shared" si="2"/>
        <v>3.0590222692562477E-7</v>
      </c>
      <c r="O27" s="817">
        <f t="shared" si="2"/>
        <v>0.99999969409777312</v>
      </c>
      <c r="P27" s="818">
        <f t="shared" si="7"/>
        <v>33.000000061180451</v>
      </c>
      <c r="Q27" s="414">
        <f t="shared" si="8"/>
        <v>0.99999098140060738</v>
      </c>
      <c r="R27" s="820">
        <f t="shared" si="3"/>
        <v>0</v>
      </c>
      <c r="S27" s="644">
        <f t="shared" si="4"/>
        <v>3.0590222692562477E-7</v>
      </c>
      <c r="T27" s="645">
        <f t="shared" si="4"/>
        <v>0.99999969409777312</v>
      </c>
      <c r="U27" s="828">
        <f t="shared" si="10"/>
        <v>-4.5091966475508767E-5</v>
      </c>
      <c r="V27" s="820">
        <f t="shared" si="9"/>
        <v>-4.509237314555783E-5</v>
      </c>
      <c r="W27" s="807"/>
      <c r="X27" s="821">
        <f t="shared" si="5"/>
        <v>3.0590222692562477E-7</v>
      </c>
      <c r="Y27" s="807">
        <f t="shared" si="0"/>
        <v>0</v>
      </c>
    </row>
    <row r="28" spans="2:25" s="7" customFormat="1" x14ac:dyDescent="0.25">
      <c r="B28" s="1256"/>
      <c r="D28" s="7">
        <f t="shared" si="6"/>
        <v>0.2</v>
      </c>
      <c r="E28" s="25">
        <v>14</v>
      </c>
      <c r="F28" s="320">
        <f t="shared" si="1"/>
        <v>20</v>
      </c>
      <c r="G28" s="816">
        <f t="shared" si="1"/>
        <v>20</v>
      </c>
      <c r="N28" s="330">
        <f t="shared" si="2"/>
        <v>0.5</v>
      </c>
      <c r="O28" s="817">
        <f t="shared" si="2"/>
        <v>0.5</v>
      </c>
      <c r="P28" s="818">
        <f t="shared" si="7"/>
        <v>20.138629436111991</v>
      </c>
      <c r="Q28" s="414">
        <f t="shared" si="8"/>
        <v>-12.86137062506846</v>
      </c>
      <c r="R28" s="820">
        <f t="shared" si="3"/>
        <v>0</v>
      </c>
      <c r="S28" s="644">
        <f t="shared" si="4"/>
        <v>0.5</v>
      </c>
      <c r="T28" s="645">
        <f t="shared" si="4"/>
        <v>0.5</v>
      </c>
      <c r="U28" s="828">
        <f t="shared" si="10"/>
        <v>0.49999969409777306</v>
      </c>
      <c r="V28" s="820">
        <f t="shared" si="9"/>
        <v>-3.8876081614754927E-2</v>
      </c>
      <c r="W28" s="807"/>
      <c r="X28" s="821">
        <f t="shared" si="5"/>
        <v>0.5</v>
      </c>
      <c r="Y28" s="807">
        <f t="shared" si="0"/>
        <v>0</v>
      </c>
    </row>
    <row r="29" spans="2:25" s="7" customFormat="1" x14ac:dyDescent="0.25">
      <c r="B29" s="1256"/>
      <c r="D29" s="7">
        <f t="shared" si="6"/>
        <v>0.2</v>
      </c>
      <c r="E29" s="25">
        <v>15</v>
      </c>
      <c r="F29" s="320">
        <f t="shared" si="1"/>
        <v>19</v>
      </c>
      <c r="G29" s="816">
        <f t="shared" si="1"/>
        <v>19</v>
      </c>
      <c r="N29" s="330">
        <f t="shared" si="2"/>
        <v>0.5</v>
      </c>
      <c r="O29" s="817">
        <f t="shared" si="2"/>
        <v>0.5</v>
      </c>
      <c r="P29" s="818">
        <f t="shared" si="7"/>
        <v>19.138629436111991</v>
      </c>
      <c r="Q29" s="414">
        <f t="shared" si="8"/>
        <v>-1</v>
      </c>
      <c r="R29" s="820">
        <f t="shared" si="3"/>
        <v>0</v>
      </c>
      <c r="S29" s="644">
        <f t="shared" si="4"/>
        <v>0.5</v>
      </c>
      <c r="T29" s="645">
        <f t="shared" si="4"/>
        <v>0.5</v>
      </c>
      <c r="U29" s="828">
        <f t="shared" si="10"/>
        <v>0</v>
      </c>
      <c r="V29" s="820">
        <f t="shared" si="9"/>
        <v>0</v>
      </c>
      <c r="W29" s="807"/>
      <c r="X29" s="821">
        <f t="shared" si="5"/>
        <v>0.5</v>
      </c>
      <c r="Y29" s="807">
        <f t="shared" si="0"/>
        <v>0</v>
      </c>
    </row>
    <row r="30" spans="2:25" s="7" customFormat="1" ht="15.75" thickBot="1" x14ac:dyDescent="0.3">
      <c r="B30" s="1256"/>
      <c r="D30" s="7">
        <f t="shared" si="6"/>
        <v>0.2</v>
      </c>
      <c r="E30" s="25">
        <v>16</v>
      </c>
      <c r="F30" s="322">
        <f t="shared" si="1"/>
        <v>20</v>
      </c>
      <c r="G30" s="829">
        <f t="shared" si="1"/>
        <v>20</v>
      </c>
      <c r="H30" s="13"/>
      <c r="I30" s="13"/>
      <c r="J30" s="13"/>
      <c r="K30" s="13"/>
      <c r="L30" s="13"/>
      <c r="M30" s="13"/>
      <c r="N30" s="332">
        <f t="shared" si="2"/>
        <v>0.5</v>
      </c>
      <c r="O30" s="830">
        <f t="shared" si="2"/>
        <v>0.5</v>
      </c>
      <c r="P30" s="813">
        <f t="shared" si="7"/>
        <v>20.138629436111991</v>
      </c>
      <c r="Q30" s="814">
        <f t="shared" si="8"/>
        <v>1</v>
      </c>
      <c r="R30" s="820">
        <f t="shared" si="3"/>
        <v>0</v>
      </c>
      <c r="S30" s="646">
        <f t="shared" si="4"/>
        <v>0.5</v>
      </c>
      <c r="T30" s="648">
        <f t="shared" si="4"/>
        <v>0.5</v>
      </c>
      <c r="U30" s="828">
        <f t="shared" si="10"/>
        <v>0</v>
      </c>
      <c r="V30" s="820">
        <f t="shared" si="9"/>
        <v>0</v>
      </c>
      <c r="W30" s="807"/>
      <c r="X30" s="821">
        <f t="shared" si="5"/>
        <v>0.5</v>
      </c>
      <c r="Y30" s="807">
        <f t="shared" si="0"/>
        <v>0</v>
      </c>
    </row>
    <row r="31" spans="2:25" s="7" customFormat="1" ht="16.5" thickTop="1" thickBot="1" x14ac:dyDescent="0.3">
      <c r="B31" s="1257"/>
      <c r="E31" s="25" t="s">
        <v>97</v>
      </c>
      <c r="F31" s="324">
        <f t="shared" ref="F31:G31" si="11">F56</f>
        <v>9</v>
      </c>
      <c r="G31" s="831">
        <f t="shared" si="11"/>
        <v>9</v>
      </c>
      <c r="H31" s="832"/>
      <c r="I31" s="247"/>
      <c r="J31" s="247"/>
      <c r="K31" s="247"/>
      <c r="L31" s="247"/>
      <c r="M31" s="247"/>
      <c r="N31" s="473">
        <v>0</v>
      </c>
      <c r="O31" s="475">
        <v>1</v>
      </c>
      <c r="P31" s="833">
        <f>$E$10*LN(EXP($G31/$E$10)+EXP($F31/$E$10))</f>
        <v>9.1386294361119891</v>
      </c>
      <c r="Q31" s="145" t="s">
        <v>132</v>
      </c>
      <c r="R31" s="807"/>
    </row>
    <row r="32" spans="2:25" s="7" customFormat="1" x14ac:dyDescent="0.25">
      <c r="E32"/>
      <c r="F32" s="253"/>
      <c r="G32" s="253"/>
      <c r="N32" s="17"/>
      <c r="O32" s="33"/>
      <c r="P32" s="834">
        <f>SUMPRODUCT(N31:O31,F31:G31)</f>
        <v>9</v>
      </c>
      <c r="Q32" t="s">
        <v>110</v>
      </c>
      <c r="R32" s="807"/>
    </row>
    <row r="33" spans="1:54" s="7" customFormat="1" x14ac:dyDescent="0.25">
      <c r="F33" s="17"/>
      <c r="G33" s="17"/>
      <c r="N33" s="17"/>
      <c r="O33" s="17"/>
      <c r="P33" s="835">
        <f>P31-P32</f>
        <v>0.13862943611198908</v>
      </c>
      <c r="Q33" s="7" t="s">
        <v>102</v>
      </c>
      <c r="R33" s="807"/>
    </row>
    <row r="34" spans="1:54" s="7" customFormat="1" x14ac:dyDescent="0.25">
      <c r="F34" s="17"/>
      <c r="G34" s="17"/>
      <c r="H34" s="17"/>
      <c r="I34" s="17"/>
      <c r="J34" s="196"/>
      <c r="K34" s="54"/>
      <c r="L34" s="28"/>
      <c r="R34" s="807"/>
    </row>
    <row r="35" spans="1:54" x14ac:dyDescent="0.25">
      <c r="C35" s="7"/>
      <c r="D35" s="7"/>
      <c r="F35" s="17"/>
      <c r="G35" s="17"/>
      <c r="H35" s="17"/>
    </row>
    <row r="36" spans="1:54" x14ac:dyDescent="0.25">
      <c r="C36" s="7"/>
      <c r="D36" s="7"/>
      <c r="E36" s="7"/>
      <c r="F36" s="17"/>
      <c r="G36" s="17"/>
      <c r="H36" s="17"/>
      <c r="I36" s="17"/>
      <c r="J36" s="17"/>
      <c r="K36" s="17"/>
      <c r="L36" s="7"/>
      <c r="M36" s="7"/>
      <c r="S36" s="855"/>
    </row>
    <row r="37" spans="1:54" s="33" customFormat="1" ht="15.75" thickBot="1" x14ac:dyDescent="0.3">
      <c r="A37"/>
      <c r="B37"/>
      <c r="C37" s="7"/>
      <c r="D37" s="7"/>
      <c r="E37" s="7"/>
      <c r="F37" s="7"/>
      <c r="G37" s="7"/>
      <c r="H37" s="7"/>
      <c r="I37" s="7"/>
      <c r="J37" s="7"/>
      <c r="K37" s="7"/>
      <c r="L37" s="7"/>
      <c r="M37" s="7"/>
      <c r="N37" s="7"/>
      <c r="O37" s="7"/>
      <c r="P37" s="7"/>
      <c r="Q37" s="7"/>
      <c r="R37" s="807"/>
      <c r="S37" s="807"/>
      <c r="T37" s="807"/>
      <c r="U37" s="807"/>
      <c r="V37" s="807"/>
      <c r="W37" s="807"/>
      <c r="X37" s="807"/>
      <c r="Y37" s="80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v>0.2</v>
      </c>
      <c r="D38" s="7"/>
      <c r="E38"/>
      <c r="F38" s="436" t="s">
        <v>12</v>
      </c>
      <c r="G38" s="439"/>
      <c r="H38" s="428"/>
      <c r="I38" s="428"/>
      <c r="J38" s="428"/>
      <c r="K38" s="836"/>
      <c r="L38" s="836"/>
      <c r="M38" s="836"/>
      <c r="N38" s="436" t="s">
        <v>13</v>
      </c>
      <c r="O38" s="428"/>
      <c r="P38" s="439" t="s">
        <v>36</v>
      </c>
      <c r="Q38" s="837" t="s">
        <v>35</v>
      </c>
      <c r="R38" s="807"/>
      <c r="S38" s="807"/>
      <c r="T38" s="807"/>
      <c r="U38" s="807"/>
      <c r="V38" s="807" t="s">
        <v>362</v>
      </c>
      <c r="W38" s="807"/>
      <c r="X38" s="807"/>
      <c r="Y38" s="807"/>
      <c r="Z38" s="1216"/>
      <c r="AA38" s="1216"/>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255" t="s">
        <v>369</v>
      </c>
      <c r="C39" s="7" t="s">
        <v>4</v>
      </c>
      <c r="D39" s="7" t="s">
        <v>370</v>
      </c>
      <c r="E39" s="899" t="s">
        <v>45</v>
      </c>
      <c r="F39" s="457" t="s">
        <v>134</v>
      </c>
      <c r="G39" s="848" t="s">
        <v>135</v>
      </c>
      <c r="H39" s="145" t="s">
        <v>371</v>
      </c>
      <c r="I39" s="838" t="s">
        <v>372</v>
      </c>
      <c r="J39" s="838" t="s">
        <v>373</v>
      </c>
      <c r="K39" s="838" t="s">
        <v>374</v>
      </c>
      <c r="L39" s="838" t="s">
        <v>375</v>
      </c>
      <c r="M39" s="838" t="s">
        <v>376</v>
      </c>
      <c r="N39" s="249" t="s">
        <v>134</v>
      </c>
      <c r="O39" s="175" t="s">
        <v>135</v>
      </c>
      <c r="P39" s="839">
        <v>0</v>
      </c>
      <c r="Q39" s="840"/>
      <c r="R39" s="807" t="s">
        <v>364</v>
      </c>
      <c r="S39" s="1258" t="s">
        <v>517</v>
      </c>
      <c r="T39" s="1259"/>
      <c r="U39" s="807" t="s">
        <v>366</v>
      </c>
      <c r="V39" s="145" t="s">
        <v>367</v>
      </c>
      <c r="W39" s="807"/>
      <c r="X39" s="145" t="s">
        <v>368</v>
      </c>
      <c r="Y39" s="807" t="s">
        <v>430</v>
      </c>
      <c r="Z39" s="145" t="s">
        <v>428</v>
      </c>
      <c r="AA39" s="145" t="s">
        <v>429</v>
      </c>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6.5" thickTop="1" thickBot="1" x14ac:dyDescent="0.3">
      <c r="A40"/>
      <c r="B40" s="1256"/>
      <c r="C40" s="900">
        <v>0.02</v>
      </c>
      <c r="D40" s="901">
        <f>$C$40*H40</f>
        <v>0.2</v>
      </c>
      <c r="E40" s="902">
        <v>1</v>
      </c>
      <c r="F40" s="903">
        <v>5</v>
      </c>
      <c r="G40" s="904">
        <v>5</v>
      </c>
      <c r="H40" s="906">
        <f>SUM(F40:G40)</f>
        <v>10</v>
      </c>
      <c r="I40" s="145">
        <f>F40/D40</f>
        <v>25</v>
      </c>
      <c r="J40" s="145">
        <f t="shared" ref="J40:J56" si="12">G40/D40</f>
        <v>25</v>
      </c>
      <c r="K40" s="145">
        <f>EXP(I40)</f>
        <v>72004899337.38588</v>
      </c>
      <c r="L40" s="145">
        <f t="shared" ref="K40:L56" si="13">EXP(J40)</f>
        <v>72004899337.38588</v>
      </c>
      <c r="M40" s="145">
        <f>SUM(K40:L40)</f>
        <v>144009798674.77176</v>
      </c>
      <c r="N40" s="842">
        <f>( $C$40*LN($M40) ) + (($H40*K40) - SUMPRODUCT($F40:$G40,$K40:$L40))/($H40* $M40)</f>
        <v>0.513862943611199</v>
      </c>
      <c r="O40" s="843">
        <f t="shared" ref="N40:O55" si="14">( $C$40*LN($M40) ) + (($H40*L40) - SUMPRODUCT($F40:$G40,$K40:$L40))/($H40* $M40)</f>
        <v>0.513862943611199</v>
      </c>
      <c r="P40" s="844">
        <f t="shared" ref="P40:P56" si="15">$D40*LN(EXP($G40/$D40)+EXP($F40/$D40))</f>
        <v>5.13862943611199</v>
      </c>
      <c r="Q40" s="819">
        <f t="shared" ref="Q40:Q55" si="16">(P40-P39)</f>
        <v>5.13862943611199</v>
      </c>
      <c r="R40" s="820">
        <f>SUM(N40:O40) - 1</f>
        <v>2.7725887222397994E-2</v>
      </c>
      <c r="S40" s="644">
        <f t="shared" ref="S40:T55" si="17">N40-($R40/2)</f>
        <v>0.5</v>
      </c>
      <c r="T40" s="645">
        <f t="shared" si="17"/>
        <v>0.5</v>
      </c>
      <c r="U40" s="807"/>
      <c r="V40" s="807"/>
      <c r="W40" s="807"/>
      <c r="X40" s="907">
        <f t="shared" ref="X40:X55" si="18">N40</f>
        <v>0.513862943611199</v>
      </c>
      <c r="Y40" s="909">
        <f>R40</f>
        <v>2.7725887222397994E-2</v>
      </c>
      <c r="Z40" s="189">
        <f>S40</f>
        <v>0.5</v>
      </c>
      <c r="AA40" s="627">
        <f>Z40*( 1+($C$65*2)) + (Z40^2)*(-($C$65*2))</f>
        <v>0.513862943611199</v>
      </c>
      <c r="AB40" s="122">
        <f>AA40/X40</f>
        <v>1</v>
      </c>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256"/>
      <c r="C41" s="150">
        <v>0.05</v>
      </c>
      <c r="D41" s="7">
        <f>$C$40*H41</f>
        <v>0.22274883617837979</v>
      </c>
      <c r="E41" s="25">
        <v>2</v>
      </c>
      <c r="F41" s="320">
        <v>6.1374418089189895</v>
      </c>
      <c r="G41" s="816">
        <f>G40</f>
        <v>5</v>
      </c>
      <c r="H41" s="145">
        <f t="shared" ref="H41:H56" si="19">SUM(F41:G41)</f>
        <v>11.137441808918989</v>
      </c>
      <c r="I41" s="145">
        <f t="shared" ref="I41:I56" si="20">F41/D41</f>
        <v>27.553193606830146</v>
      </c>
      <c r="J41" s="145">
        <f t="shared" si="12"/>
        <v>22.446806393169854</v>
      </c>
      <c r="K41" s="145">
        <f t="shared" si="13"/>
        <v>925123988252.49512</v>
      </c>
      <c r="L41" s="145">
        <f t="shared" si="13"/>
        <v>5604335845.1667404</v>
      </c>
      <c r="M41" s="145">
        <f t="shared" ref="M41:M56" si="21">SUM(K41:L41)</f>
        <v>930728324097.66187</v>
      </c>
      <c r="N41" s="842">
        <f>( $C$40*LN($M41) ) + (($H41*K41) - SUMPRODUCT($F41:$G41,$K41:$L41))/($H41* $M41)</f>
        <v>0.99471429846963599</v>
      </c>
      <c r="O41" s="843">
        <f t="shared" si="14"/>
        <v>6.7572022903619189E-3</v>
      </c>
      <c r="P41" s="844">
        <f t="shared" si="15"/>
        <v>6.1387871348088758</v>
      </c>
      <c r="Q41" s="845">
        <f t="shared" si="16"/>
        <v>1.0001576986968859</v>
      </c>
      <c r="R41" s="820">
        <f t="shared" ref="R41:R55" si="22">SUM(N41:O41) - 1</f>
        <v>1.4715007599979124E-3</v>
      </c>
      <c r="S41" s="644">
        <f>N41-($R41/2)</f>
        <v>0.99397854808963704</v>
      </c>
      <c r="T41" s="645">
        <f t="shared" si="17"/>
        <v>6.0214519103629627E-3</v>
      </c>
      <c r="U41" s="822">
        <f>S41-S40</f>
        <v>0.49397854808963704</v>
      </c>
      <c r="V41" s="823">
        <f t="shared" ref="V41:V55" si="23">U41/Q41</f>
        <v>0.49390066059906951</v>
      </c>
      <c r="W41" s="807"/>
      <c r="X41" s="907">
        <f t="shared" si="18"/>
        <v>0.99471429846963599</v>
      </c>
      <c r="Y41" s="909">
        <f t="shared" ref="Y41:Y55" si="24">R41</f>
        <v>1.4715007599979124E-3</v>
      </c>
      <c r="Z41" s="189">
        <f t="shared" ref="Z41:Z55" si="25">S41</f>
        <v>0.99397854808963704</v>
      </c>
      <c r="AA41" s="627">
        <f t="shared" ref="AA41:AA55" si="26">Z41*( 1+($C$65*2)) + (Z41^2)*(-($C$65*2))</f>
        <v>0.99431043771884453</v>
      </c>
      <c r="AB41" s="122">
        <f t="shared" ref="AB41:AB53" si="27">AA41/X41</f>
        <v>0.99959399321854248</v>
      </c>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256"/>
      <c r="C42" s="7"/>
      <c r="D42" s="7">
        <f t="shared" ref="D42:D56" si="28">$C$40*H42</f>
        <v>0.24277501750573818</v>
      </c>
      <c r="E42" s="25">
        <v>3</v>
      </c>
      <c r="F42" s="320">
        <v>7.1387508752869095</v>
      </c>
      <c r="G42" s="816">
        <v>5</v>
      </c>
      <c r="H42" s="145">
        <f t="shared" si="19"/>
        <v>12.13875087528691</v>
      </c>
      <c r="I42" s="145">
        <f t="shared" si="20"/>
        <v>29.404800166961905</v>
      </c>
      <c r="J42" s="145">
        <f t="shared" si="12"/>
        <v>20.595199833038098</v>
      </c>
      <c r="K42" s="145">
        <f t="shared" si="13"/>
        <v>5893081590196.2988</v>
      </c>
      <c r="L42" s="145">
        <f t="shared" si="13"/>
        <v>879795307.29938328</v>
      </c>
      <c r="M42" s="145">
        <f t="shared" si="21"/>
        <v>5893961385503.5986</v>
      </c>
      <c r="N42" s="842">
        <f>( $C$40*LN($M42) ) + (($H42*K42) - SUMPRODUCT($F42:$G42,$K42:$L42))/($H42* $M42)</f>
        <v>0.99988001530026538</v>
      </c>
      <c r="O42" s="843">
        <f t="shared" si="14"/>
        <v>1.7855655283038896E-4</v>
      </c>
      <c r="P42" s="844">
        <f>$D42*LN(EXP($G42/$D42)+EXP($F42/$D42))</f>
        <v>7.1387871171708106</v>
      </c>
      <c r="Q42" s="846">
        <f t="shared" si="16"/>
        <v>0.99999998236193477</v>
      </c>
      <c r="R42" s="820">
        <f t="shared" si="22"/>
        <v>5.8571853095656934E-5</v>
      </c>
      <c r="S42" s="644">
        <f t="shared" si="17"/>
        <v>0.99985072937371755</v>
      </c>
      <c r="T42" s="645">
        <f t="shared" si="17"/>
        <v>1.4927062628256049E-4</v>
      </c>
      <c r="U42" s="824">
        <f>S42-S41</f>
        <v>5.8721812840805132E-3</v>
      </c>
      <c r="V42" s="825">
        <f t="shared" si="23"/>
        <v>5.8721813876544317E-3</v>
      </c>
      <c r="W42" s="807"/>
      <c r="X42" s="907">
        <f>N42</f>
        <v>0.99988001530026538</v>
      </c>
      <c r="Y42" s="909">
        <f>R42</f>
        <v>5.8571853095656934E-5</v>
      </c>
      <c r="Z42" s="189">
        <f t="shared" si="25"/>
        <v>0.99985072937371755</v>
      </c>
      <c r="AA42" s="627">
        <f t="shared" si="26"/>
        <v>0.99985900545925643</v>
      </c>
      <c r="AB42" s="122">
        <f t="shared" si="27"/>
        <v>0.99997898763782911</v>
      </c>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256"/>
      <c r="C43" s="7"/>
      <c r="D43" s="7">
        <f t="shared" si="28"/>
        <v>0.2627757423104452</v>
      </c>
      <c r="E43" s="25">
        <v>4</v>
      </c>
      <c r="F43" s="320">
        <v>8.1387871155222609</v>
      </c>
      <c r="G43" s="816">
        <v>5</v>
      </c>
      <c r="H43" s="145">
        <f t="shared" si="19"/>
        <v>13.138787115522261</v>
      </c>
      <c r="I43" s="145">
        <f t="shared" si="20"/>
        <v>30.972368468878827</v>
      </c>
      <c r="J43" s="145">
        <f t="shared" si="12"/>
        <v>19.027631531121177</v>
      </c>
      <c r="K43" s="145">
        <f t="shared" si="13"/>
        <v>28257173454473.52</v>
      </c>
      <c r="L43" s="145">
        <f t="shared" si="13"/>
        <v>183482807.89444202</v>
      </c>
      <c r="M43" s="145">
        <f t="shared" si="21"/>
        <v>28257356937281.414</v>
      </c>
      <c r="N43" s="842">
        <f t="shared" si="14"/>
        <v>0.99999518779967045</v>
      </c>
      <c r="O43" s="843">
        <f t="shared" si="14"/>
        <v>8.1743509818821281E-6</v>
      </c>
      <c r="P43" s="844">
        <f t="shared" si="15"/>
        <v>8.1387888218031303</v>
      </c>
      <c r="Q43" s="847">
        <f t="shared" si="16"/>
        <v>1.0000017046323197</v>
      </c>
      <c r="R43" s="820">
        <f t="shared" si="22"/>
        <v>3.3621506523306977E-6</v>
      </c>
      <c r="S43" s="644">
        <f t="shared" si="17"/>
        <v>0.99999350672434428</v>
      </c>
      <c r="T43" s="645">
        <f t="shared" si="17"/>
        <v>6.4932756557167792E-6</v>
      </c>
      <c r="U43" s="826">
        <f t="shared" ref="U43:U55" si="29">S43-S42</f>
        <v>1.4277735062673269E-4</v>
      </c>
      <c r="V43" s="827">
        <f t="shared" si="23"/>
        <v>1.4277710724426115E-4</v>
      </c>
      <c r="W43" s="807"/>
      <c r="X43" s="907">
        <f t="shared" si="18"/>
        <v>0.99999518779967045</v>
      </c>
      <c r="Y43" s="909">
        <f t="shared" si="24"/>
        <v>3.3621506523306977E-6</v>
      </c>
      <c r="Z43" s="189">
        <f t="shared" si="25"/>
        <v>0.99999350672434428</v>
      </c>
      <c r="AA43" s="627">
        <f t="shared" si="26"/>
        <v>0.99999386678566338</v>
      </c>
      <c r="AB43" s="122">
        <f t="shared" si="27"/>
        <v>0.9999986789796359</v>
      </c>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256"/>
      <c r="C44" s="7"/>
      <c r="D44" s="7">
        <f t="shared" si="28"/>
        <v>0.8</v>
      </c>
      <c r="E44" s="25">
        <v>5</v>
      </c>
      <c r="F44" s="320">
        <v>20</v>
      </c>
      <c r="G44" s="816">
        <v>20</v>
      </c>
      <c r="H44" s="145">
        <f t="shared" si="19"/>
        <v>40</v>
      </c>
      <c r="I44" s="145">
        <f t="shared" si="20"/>
        <v>25</v>
      </c>
      <c r="J44" s="145">
        <f t="shared" si="12"/>
        <v>25</v>
      </c>
      <c r="K44" s="145">
        <f t="shared" si="13"/>
        <v>72004899337.38588</v>
      </c>
      <c r="L44" s="145">
        <f t="shared" si="13"/>
        <v>72004899337.38588</v>
      </c>
      <c r="M44" s="145">
        <f t="shared" si="21"/>
        <v>144009798674.77176</v>
      </c>
      <c r="N44" s="842">
        <f t="shared" si="14"/>
        <v>0.513862943611199</v>
      </c>
      <c r="O44" s="843">
        <f t="shared" si="14"/>
        <v>0.513862943611199</v>
      </c>
      <c r="P44" s="844">
        <f t="shared" si="15"/>
        <v>20.55451774444796</v>
      </c>
      <c r="Q44" s="414">
        <f t="shared" si="16"/>
        <v>12.41572892264483</v>
      </c>
      <c r="R44" s="820">
        <f t="shared" si="22"/>
        <v>2.7725887222397994E-2</v>
      </c>
      <c r="S44" s="644">
        <f t="shared" si="17"/>
        <v>0.5</v>
      </c>
      <c r="T44" s="645">
        <f t="shared" si="17"/>
        <v>0.5</v>
      </c>
      <c r="U44" s="828">
        <f t="shared" si="29"/>
        <v>-0.49999350672434428</v>
      </c>
      <c r="V44" s="759">
        <f t="shared" si="23"/>
        <v>-4.0270974812635842E-2</v>
      </c>
      <c r="W44" s="807"/>
      <c r="X44" s="907">
        <f t="shared" si="18"/>
        <v>0.513862943611199</v>
      </c>
      <c r="Y44" s="909">
        <f t="shared" si="24"/>
        <v>2.7725887222397994E-2</v>
      </c>
      <c r="Z44" s="189">
        <f t="shared" si="25"/>
        <v>0.5</v>
      </c>
      <c r="AA44" s="627">
        <f t="shared" si="26"/>
        <v>0.513862943611199</v>
      </c>
      <c r="AB44" s="122">
        <f t="shared" si="27"/>
        <v>1</v>
      </c>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256"/>
      <c r="C45" s="7"/>
      <c r="D45" s="7">
        <f t="shared" si="28"/>
        <v>0.82833744697606404</v>
      </c>
      <c r="E45" s="25">
        <v>6</v>
      </c>
      <c r="F45" s="320">
        <v>21.416872348803203</v>
      </c>
      <c r="G45" s="816">
        <v>20</v>
      </c>
      <c r="H45" s="145">
        <f t="shared" si="19"/>
        <v>41.416872348803203</v>
      </c>
      <c r="I45" s="145">
        <f t="shared" si="20"/>
        <v>25.855250691596552</v>
      </c>
      <c r="J45" s="145">
        <f t="shared" si="12"/>
        <v>24.144749308403448</v>
      </c>
      <c r="K45" s="145">
        <f t="shared" si="13"/>
        <v>169352925611.95059</v>
      </c>
      <c r="L45" s="145">
        <f t="shared" si="13"/>
        <v>30614797529.197258</v>
      </c>
      <c r="M45" s="145">
        <f t="shared" si="21"/>
        <v>199967723141.14786</v>
      </c>
      <c r="N45" s="842">
        <f t="shared" si="14"/>
        <v>0.85546223752464423</v>
      </c>
      <c r="O45" s="843">
        <f t="shared" si="14"/>
        <v>0.1616596282664261</v>
      </c>
      <c r="P45" s="844">
        <f t="shared" si="15"/>
        <v>21.554518105615394</v>
      </c>
      <c r="Q45" s="845">
        <f>(P45-P44)</f>
        <v>1.0000003611674337</v>
      </c>
      <c r="R45" s="820">
        <f t="shared" si="22"/>
        <v>1.7121865791070334E-2</v>
      </c>
      <c r="S45" s="644">
        <f t="shared" si="17"/>
        <v>0.84690130462910906</v>
      </c>
      <c r="T45" s="645">
        <f t="shared" si="17"/>
        <v>0.15309869537089094</v>
      </c>
      <c r="U45" s="822">
        <f t="shared" si="29"/>
        <v>0.34690130462910906</v>
      </c>
      <c r="V45" s="823">
        <f t="shared" si="23"/>
        <v>0.34690117933970038</v>
      </c>
      <c r="W45" s="807"/>
      <c r="X45" s="907">
        <f t="shared" si="18"/>
        <v>0.85546223752464423</v>
      </c>
      <c r="Y45" s="909">
        <f t="shared" si="24"/>
        <v>1.7121865791070334E-2</v>
      </c>
      <c r="Z45" s="189">
        <f t="shared" si="25"/>
        <v>0.84690130462910906</v>
      </c>
      <c r="AA45" s="627">
        <f t="shared" si="26"/>
        <v>0.85409115313745243</v>
      </c>
      <c r="AB45" s="122">
        <f t="shared" si="27"/>
        <v>0.9983972590173481</v>
      </c>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256"/>
      <c r="C46" s="7"/>
      <c r="D46" s="7">
        <f t="shared" si="28"/>
        <v>0.85022596988888099</v>
      </c>
      <c r="E46" s="25">
        <v>7</v>
      </c>
      <c r="F46" s="320">
        <v>22.511298494444045</v>
      </c>
      <c r="G46" s="816">
        <v>20</v>
      </c>
      <c r="H46" s="145">
        <f t="shared" si="19"/>
        <v>42.511298494444048</v>
      </c>
      <c r="I46" s="145">
        <f t="shared" si="20"/>
        <v>26.476841794642105</v>
      </c>
      <c r="J46" s="145">
        <f t="shared" si="12"/>
        <v>23.523158205357888</v>
      </c>
      <c r="K46" s="145">
        <f t="shared" si="13"/>
        <v>315316204044.28589</v>
      </c>
      <c r="L46" s="145">
        <f t="shared" si="13"/>
        <v>16442876902.89094</v>
      </c>
      <c r="M46" s="145">
        <f t="shared" si="21"/>
        <v>331759080947.17682</v>
      </c>
      <c r="N46" s="842">
        <f t="shared" si="14"/>
        <v>0.95438180930828986</v>
      </c>
      <c r="O46" s="843">
        <f t="shared" si="14"/>
        <v>5.3507215949436304E-2</v>
      </c>
      <c r="P46" s="844">
        <f t="shared" si="15"/>
        <v>22.554518105995218</v>
      </c>
      <c r="Q46" s="846">
        <f>(P46-P45)</f>
        <v>1.0000000003798242</v>
      </c>
      <c r="R46" s="820">
        <f t="shared" si="22"/>
        <v>7.8890252577261677E-3</v>
      </c>
      <c r="S46" s="644">
        <f t="shared" si="17"/>
        <v>0.95043729667942678</v>
      </c>
      <c r="T46" s="645">
        <f t="shared" si="17"/>
        <v>4.956270332057322E-2</v>
      </c>
      <c r="U46" s="824">
        <f t="shared" si="29"/>
        <v>0.10353599205031772</v>
      </c>
      <c r="V46" s="825">
        <f t="shared" si="23"/>
        <v>0.10353599201099224</v>
      </c>
      <c r="W46" s="807"/>
      <c r="X46" s="907">
        <f t="shared" si="18"/>
        <v>0.95438180930828986</v>
      </c>
      <c r="Y46" s="909">
        <f t="shared" si="24"/>
        <v>7.8890252577261677E-3</v>
      </c>
      <c r="Z46" s="189">
        <f t="shared" si="25"/>
        <v>0.95043729667942678</v>
      </c>
      <c r="AA46" s="627">
        <f t="shared" si="26"/>
        <v>0.95304942137245163</v>
      </c>
      <c r="AB46" s="122">
        <f t="shared" si="27"/>
        <v>0.99860392567959366</v>
      </c>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256"/>
      <c r="C47" s="7"/>
      <c r="D47" s="7">
        <f t="shared" si="28"/>
        <v>0.8707940123735034</v>
      </c>
      <c r="E47" s="25">
        <v>8</v>
      </c>
      <c r="F47" s="320">
        <v>23.539700618675166</v>
      </c>
      <c r="G47" s="816">
        <v>20</v>
      </c>
      <c r="H47" s="145">
        <f t="shared" si="19"/>
        <v>43.53970061867517</v>
      </c>
      <c r="I47" s="145">
        <f t="shared" si="20"/>
        <v>27.032455763577818</v>
      </c>
      <c r="J47" s="145">
        <f t="shared" si="12"/>
        <v>22.967544236422178</v>
      </c>
      <c r="K47" s="145">
        <f t="shared" si="13"/>
        <v>549599552473.69012</v>
      </c>
      <c r="L47" s="145">
        <f t="shared" si="13"/>
        <v>9433605804.9014721</v>
      </c>
      <c r="M47" s="145">
        <f t="shared" si="21"/>
        <v>559033158278.59155</v>
      </c>
      <c r="N47" s="842">
        <f t="shared" si="14"/>
        <v>0.98483741427957416</v>
      </c>
      <c r="O47" s="843">
        <f t="shared" si="14"/>
        <v>1.8587132575175747E-2</v>
      </c>
      <c r="P47" s="844">
        <f>$D47*LN(EXP($G47/$D47)+EXP($F47/$D47))</f>
        <v>23.554520541714858</v>
      </c>
      <c r="Q47" s="847">
        <f>(P47-P46)</f>
        <v>1.0000024357196402</v>
      </c>
      <c r="R47" s="820">
        <f t="shared" si="22"/>
        <v>3.4245468547497993E-3</v>
      </c>
      <c r="S47" s="644">
        <f t="shared" si="17"/>
        <v>0.98312514085219926</v>
      </c>
      <c r="T47" s="645">
        <f t="shared" si="17"/>
        <v>1.6874859147800847E-2</v>
      </c>
      <c r="U47" s="826">
        <f t="shared" si="29"/>
        <v>3.2687844172772484E-2</v>
      </c>
      <c r="V47" s="827">
        <f t="shared" si="23"/>
        <v>3.2687764554542365E-2</v>
      </c>
      <c r="W47" s="807"/>
      <c r="X47" s="907">
        <f t="shared" si="18"/>
        <v>0.98483741427957416</v>
      </c>
      <c r="Y47" s="909">
        <f t="shared" si="24"/>
        <v>3.4245468547497993E-3</v>
      </c>
      <c r="Z47" s="189">
        <f t="shared" si="25"/>
        <v>0.98312514085219926</v>
      </c>
      <c r="AA47" s="627">
        <f t="shared" si="26"/>
        <v>0.98404509123984707</v>
      </c>
      <c r="AB47" s="122">
        <f t="shared" si="27"/>
        <v>0.99919547833151046</v>
      </c>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256"/>
      <c r="C48" s="7"/>
      <c r="D48" s="7">
        <f t="shared" si="28"/>
        <v>1.7415880247470068</v>
      </c>
      <c r="E48" s="25">
        <v>9</v>
      </c>
      <c r="F48" s="320">
        <f>F47*2</f>
        <v>47.079401237350332</v>
      </c>
      <c r="G48" s="816">
        <f>G47*2</f>
        <v>40</v>
      </c>
      <c r="H48" s="145">
        <f t="shared" si="19"/>
        <v>87.079401237350339</v>
      </c>
      <c r="I48" s="145">
        <f t="shared" si="20"/>
        <v>27.032455763577818</v>
      </c>
      <c r="J48" s="145">
        <f t="shared" si="12"/>
        <v>22.967544236422178</v>
      </c>
      <c r="K48" s="145">
        <f t="shared" si="13"/>
        <v>549599552473.69012</v>
      </c>
      <c r="L48" s="145">
        <f t="shared" si="13"/>
        <v>9433605804.9014721</v>
      </c>
      <c r="M48" s="145">
        <f t="shared" si="21"/>
        <v>559033158278.59155</v>
      </c>
      <c r="N48" s="842">
        <f t="shared" si="14"/>
        <v>0.98483741427957416</v>
      </c>
      <c r="O48" s="843">
        <f t="shared" si="14"/>
        <v>1.8587132575175747E-2</v>
      </c>
      <c r="P48" s="844">
        <f t="shared" si="15"/>
        <v>47.109041083429716</v>
      </c>
      <c r="Q48" s="414">
        <f t="shared" si="16"/>
        <v>23.554520541714858</v>
      </c>
      <c r="R48" s="820">
        <f t="shared" si="22"/>
        <v>3.4245468547497993E-3</v>
      </c>
      <c r="S48" s="644">
        <f t="shared" si="17"/>
        <v>0.98312514085219926</v>
      </c>
      <c r="T48" s="645">
        <f t="shared" si="17"/>
        <v>1.6874859147800847E-2</v>
      </c>
      <c r="U48" s="828">
        <f t="shared" si="29"/>
        <v>0</v>
      </c>
      <c r="V48" s="759">
        <f t="shared" si="23"/>
        <v>0</v>
      </c>
      <c r="W48" s="807"/>
      <c r="X48" s="907">
        <f t="shared" si="18"/>
        <v>0.98483741427957416</v>
      </c>
      <c r="Y48" s="909">
        <f t="shared" si="24"/>
        <v>3.4245468547497993E-3</v>
      </c>
      <c r="Z48" s="189">
        <f t="shared" si="25"/>
        <v>0.98312514085219926</v>
      </c>
      <c r="AA48" s="627">
        <f t="shared" si="26"/>
        <v>0.98404509123984707</v>
      </c>
      <c r="AB48" s="122">
        <f t="shared" si="27"/>
        <v>0.99919547833151046</v>
      </c>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256"/>
      <c r="C49" s="7"/>
      <c r="D49" s="7">
        <f t="shared" si="28"/>
        <v>0.64</v>
      </c>
      <c r="E49" s="25">
        <v>10</v>
      </c>
      <c r="F49" s="320">
        <v>20</v>
      </c>
      <c r="G49" s="816">
        <v>12</v>
      </c>
      <c r="H49" s="145">
        <f t="shared" si="19"/>
        <v>32</v>
      </c>
      <c r="I49" s="145">
        <f t="shared" si="20"/>
        <v>31.25</v>
      </c>
      <c r="J49" s="145">
        <f t="shared" si="12"/>
        <v>18.75</v>
      </c>
      <c r="K49" s="145">
        <f t="shared" si="13"/>
        <v>37299461295718.883</v>
      </c>
      <c r="L49" s="145">
        <f t="shared" si="13"/>
        <v>139002155.75451639</v>
      </c>
      <c r="M49" s="145">
        <f t="shared" si="21"/>
        <v>37299600297874.641</v>
      </c>
      <c r="N49" s="842">
        <f t="shared" si="14"/>
        <v>0.99999727955346152</v>
      </c>
      <c r="O49" s="843">
        <f t="shared" si="14"/>
        <v>4.7328320299522275E-6</v>
      </c>
      <c r="P49" s="844">
        <f t="shared" si="15"/>
        <v>20.000002385053588</v>
      </c>
      <c r="Q49" s="414">
        <f t="shared" si="16"/>
        <v>-27.109038698376128</v>
      </c>
      <c r="R49" s="820">
        <f t="shared" si="22"/>
        <v>2.0123854915787831E-6</v>
      </c>
      <c r="S49" s="644">
        <f t="shared" si="17"/>
        <v>0.99999627336071573</v>
      </c>
      <c r="T49" s="645">
        <f t="shared" si="17"/>
        <v>3.726639284162836E-6</v>
      </c>
      <c r="U49" s="828">
        <f t="shared" si="29"/>
        <v>1.6871132508516462E-2</v>
      </c>
      <c r="V49" s="759">
        <f t="shared" si="23"/>
        <v>-6.2234344405311093E-4</v>
      </c>
      <c r="W49" s="807"/>
      <c r="X49" s="907">
        <f t="shared" si="18"/>
        <v>0.99999727955346152</v>
      </c>
      <c r="Y49" s="909">
        <f t="shared" si="24"/>
        <v>2.0123854915787831E-6</v>
      </c>
      <c r="Z49" s="189">
        <f t="shared" si="25"/>
        <v>0.99999627336071573</v>
      </c>
      <c r="AA49" s="627">
        <f t="shared" si="26"/>
        <v>0.99999648000870667</v>
      </c>
      <c r="AB49" s="122">
        <f t="shared" si="27"/>
        <v>0.99999920045307</v>
      </c>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256"/>
      <c r="C50" s="7"/>
      <c r="D50" s="7">
        <f t="shared" si="28"/>
        <v>1.22</v>
      </c>
      <c r="E50" s="25">
        <v>11</v>
      </c>
      <c r="F50" s="457">
        <v>30</v>
      </c>
      <c r="G50" s="848">
        <v>31</v>
      </c>
      <c r="H50" s="145">
        <f t="shared" si="19"/>
        <v>61</v>
      </c>
      <c r="I50" s="145">
        <f t="shared" si="20"/>
        <v>24.590163934426229</v>
      </c>
      <c r="J50" s="145">
        <f t="shared" si="12"/>
        <v>25.409836065573771</v>
      </c>
      <c r="K50" s="145">
        <f t="shared" si="13"/>
        <v>47793903880.323059</v>
      </c>
      <c r="L50" s="145">
        <f t="shared" si="13"/>
        <v>108480477794.19075</v>
      </c>
      <c r="M50" s="145">
        <f t="shared" si="21"/>
        <v>156274381674.51379</v>
      </c>
      <c r="N50" s="842">
        <f t="shared" si="14"/>
        <v>0.31814778362083362</v>
      </c>
      <c r="O50" s="843">
        <f t="shared" si="14"/>
        <v>0.7064812600588648</v>
      </c>
      <c r="P50" s="844">
        <f t="shared" si="15"/>
        <v>31.44535257044982</v>
      </c>
      <c r="Q50" s="414">
        <f t="shared" si="16"/>
        <v>11.445350185396233</v>
      </c>
      <c r="R50" s="820">
        <f t="shared" si="22"/>
        <v>2.4629043679698537E-2</v>
      </c>
      <c r="S50" s="644">
        <f t="shared" si="17"/>
        <v>0.30583326178098436</v>
      </c>
      <c r="T50" s="645">
        <f t="shared" si="17"/>
        <v>0.69416673821901553</v>
      </c>
      <c r="U50" s="828">
        <f t="shared" si="29"/>
        <v>-0.69416301157973137</v>
      </c>
      <c r="V50" s="759">
        <f t="shared" si="23"/>
        <v>-6.0650220424487582E-2</v>
      </c>
      <c r="W50" s="807"/>
      <c r="X50" s="907">
        <f t="shared" si="18"/>
        <v>0.31814778362083362</v>
      </c>
      <c r="Y50" s="909">
        <f t="shared" si="24"/>
        <v>2.4629043679698537E-2</v>
      </c>
      <c r="Z50" s="189">
        <f t="shared" si="25"/>
        <v>0.30583326178098436</v>
      </c>
      <c r="AA50" s="627">
        <f t="shared" si="26"/>
        <v>0.31760563344664555</v>
      </c>
      <c r="AB50" s="122">
        <f t="shared" si="27"/>
        <v>0.99829591717403188</v>
      </c>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256"/>
      <c r="C51" s="7"/>
      <c r="D51" s="7">
        <f t="shared" si="28"/>
        <v>1.24</v>
      </c>
      <c r="E51" s="25">
        <v>12</v>
      </c>
      <c r="F51" s="457">
        <v>30</v>
      </c>
      <c r="G51" s="848">
        <v>32</v>
      </c>
      <c r="H51" s="145">
        <f t="shared" si="19"/>
        <v>62</v>
      </c>
      <c r="I51" s="145">
        <f t="shared" si="20"/>
        <v>24.193548387096776</v>
      </c>
      <c r="J51" s="145">
        <f t="shared" si="12"/>
        <v>25.806451612903228</v>
      </c>
      <c r="K51" s="145">
        <f t="shared" si="13"/>
        <v>32145823969.095764</v>
      </c>
      <c r="L51" s="145">
        <f t="shared" si="13"/>
        <v>161287062779.02673</v>
      </c>
      <c r="M51" s="145">
        <f t="shared" si="21"/>
        <v>193432886748.1225</v>
      </c>
      <c r="N51" s="842">
        <f t="shared" si="14"/>
        <v>0.17518166209987412</v>
      </c>
      <c r="O51" s="843">
        <f t="shared" si="14"/>
        <v>0.84280980424765417</v>
      </c>
      <c r="P51" s="844">
        <f t="shared" si="15"/>
        <v>32.225363598921156</v>
      </c>
      <c r="Q51" s="414">
        <f t="shared" si="16"/>
        <v>0.78001102847133552</v>
      </c>
      <c r="R51" s="820">
        <f t="shared" si="22"/>
        <v>1.799146634752824E-2</v>
      </c>
      <c r="S51" s="644">
        <f t="shared" si="17"/>
        <v>0.16618592892611</v>
      </c>
      <c r="T51" s="645">
        <f t="shared" si="17"/>
        <v>0.83381407107389005</v>
      </c>
      <c r="U51" s="828">
        <f t="shared" si="29"/>
        <v>-0.13964733285487435</v>
      </c>
      <c r="V51" s="759">
        <f t="shared" si="23"/>
        <v>-0.17903251076918103</v>
      </c>
      <c r="W51" s="807"/>
      <c r="X51" s="907">
        <f t="shared" si="18"/>
        <v>0.17518166209987412</v>
      </c>
      <c r="Y51" s="909">
        <f t="shared" si="24"/>
        <v>1.799146634752824E-2</v>
      </c>
      <c r="Z51" s="189">
        <f t="shared" si="25"/>
        <v>0.16618592892611</v>
      </c>
      <c r="AA51" s="627">
        <f t="shared" si="26"/>
        <v>0.17386977960976904</v>
      </c>
      <c r="AB51" s="122">
        <f t="shared" si="27"/>
        <v>0.99251130241384999</v>
      </c>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256"/>
      <c r="C52" s="7"/>
      <c r="D52" s="7">
        <f t="shared" si="28"/>
        <v>1.26</v>
      </c>
      <c r="E52" s="25">
        <v>13</v>
      </c>
      <c r="F52" s="457">
        <v>30</v>
      </c>
      <c r="G52" s="848">
        <v>33</v>
      </c>
      <c r="H52" s="145">
        <f t="shared" si="19"/>
        <v>63</v>
      </c>
      <c r="I52" s="145">
        <f t="shared" si="20"/>
        <v>23.80952380952381</v>
      </c>
      <c r="J52" s="145">
        <f t="shared" si="12"/>
        <v>26.19047619047619</v>
      </c>
      <c r="K52" s="145">
        <f t="shared" si="13"/>
        <v>21894992825.535973</v>
      </c>
      <c r="L52" s="145">
        <f t="shared" si="13"/>
        <v>236798685886.76529</v>
      </c>
      <c r="M52" s="145">
        <f t="shared" si="21"/>
        <v>258693678712.30127</v>
      </c>
      <c r="N52" s="842">
        <f t="shared" si="14"/>
        <v>9.0435759925068193E-2</v>
      </c>
      <c r="O52" s="843">
        <f t="shared" si="14"/>
        <v>0.92116225517982175</v>
      </c>
      <c r="P52" s="844">
        <f t="shared" si="15"/>
        <v>33.111427218686174</v>
      </c>
      <c r="Q52" s="414">
        <f t="shared" si="16"/>
        <v>0.88606361976501802</v>
      </c>
      <c r="R52" s="820">
        <f t="shared" si="22"/>
        <v>1.1598015104890003E-2</v>
      </c>
      <c r="S52" s="644">
        <f t="shared" si="17"/>
        <v>8.4636752372623192E-2</v>
      </c>
      <c r="T52" s="645">
        <f t="shared" si="17"/>
        <v>0.91536324762737675</v>
      </c>
      <c r="U52" s="828">
        <f t="shared" si="29"/>
        <v>-8.1549176553486813E-2</v>
      </c>
      <c r="V52" s="759">
        <f t="shared" si="23"/>
        <v>-9.2035351338669635E-2</v>
      </c>
      <c r="W52" s="807"/>
      <c r="X52" s="907">
        <f t="shared" si="18"/>
        <v>9.0435759925068193E-2</v>
      </c>
      <c r="Y52" s="909">
        <f t="shared" si="24"/>
        <v>1.1598015104890003E-2</v>
      </c>
      <c r="Z52" s="189">
        <f t="shared" si="25"/>
        <v>8.4636752372623192E-2</v>
      </c>
      <c r="AA52" s="627">
        <f t="shared" si="26"/>
        <v>8.89327883511042E-2</v>
      </c>
      <c r="AB52" s="122">
        <f t="shared" si="27"/>
        <v>0.9833807823895182</v>
      </c>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256"/>
      <c r="C53" s="7"/>
      <c r="D53" s="7">
        <f t="shared" si="28"/>
        <v>0.8</v>
      </c>
      <c r="E53" s="25">
        <v>14</v>
      </c>
      <c r="F53" s="457">
        <v>20</v>
      </c>
      <c r="G53" s="848">
        <v>20</v>
      </c>
      <c r="H53" s="145">
        <f t="shared" si="19"/>
        <v>40</v>
      </c>
      <c r="I53" s="145">
        <f t="shared" si="20"/>
        <v>25</v>
      </c>
      <c r="J53" s="145">
        <f t="shared" si="12"/>
        <v>25</v>
      </c>
      <c r="K53" s="145">
        <f t="shared" si="13"/>
        <v>72004899337.38588</v>
      </c>
      <c r="L53" s="145">
        <f t="shared" si="13"/>
        <v>72004899337.38588</v>
      </c>
      <c r="M53" s="145">
        <f t="shared" si="21"/>
        <v>144009798674.77176</v>
      </c>
      <c r="N53" s="842">
        <f t="shared" si="14"/>
        <v>0.513862943611199</v>
      </c>
      <c r="O53" s="843">
        <f t="shared" si="14"/>
        <v>0.513862943611199</v>
      </c>
      <c r="P53" s="844">
        <f t="shared" si="15"/>
        <v>20.55451774444796</v>
      </c>
      <c r="Q53" s="414">
        <f t="shared" si="16"/>
        <v>-12.556909474238214</v>
      </c>
      <c r="R53" s="820">
        <f t="shared" si="22"/>
        <v>2.7725887222397994E-2</v>
      </c>
      <c r="S53" s="644">
        <f t="shared" si="17"/>
        <v>0.5</v>
      </c>
      <c r="T53" s="645">
        <f t="shared" si="17"/>
        <v>0.5</v>
      </c>
      <c r="U53" s="828">
        <f t="shared" si="29"/>
        <v>0.41536324762737681</v>
      </c>
      <c r="V53" s="759">
        <f t="shared" si="23"/>
        <v>-3.3078461581612664E-2</v>
      </c>
      <c r="W53" s="807"/>
      <c r="X53" s="907">
        <f t="shared" si="18"/>
        <v>0.513862943611199</v>
      </c>
      <c r="Y53" s="909">
        <f t="shared" si="24"/>
        <v>2.7725887222397994E-2</v>
      </c>
      <c r="Z53" s="189">
        <f t="shared" si="25"/>
        <v>0.5</v>
      </c>
      <c r="AA53" s="627">
        <f t="shared" si="26"/>
        <v>0.513862943611199</v>
      </c>
      <c r="AB53" s="122">
        <f t="shared" si="27"/>
        <v>1</v>
      </c>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256"/>
      <c r="C54" s="7"/>
      <c r="D54" s="7">
        <f t="shared" si="28"/>
        <v>0.76</v>
      </c>
      <c r="E54" s="25">
        <v>15</v>
      </c>
      <c r="F54" s="457">
        <v>19</v>
      </c>
      <c r="G54" s="848">
        <v>19</v>
      </c>
      <c r="H54" s="145">
        <f t="shared" si="19"/>
        <v>38</v>
      </c>
      <c r="I54" s="145">
        <f t="shared" si="20"/>
        <v>25</v>
      </c>
      <c r="J54" s="145">
        <f t="shared" si="12"/>
        <v>25</v>
      </c>
      <c r="K54" s="145">
        <f t="shared" si="13"/>
        <v>72004899337.38588</v>
      </c>
      <c r="L54" s="145">
        <f t="shared" si="13"/>
        <v>72004899337.38588</v>
      </c>
      <c r="M54" s="145">
        <f t="shared" si="21"/>
        <v>144009798674.77176</v>
      </c>
      <c r="N54" s="842">
        <f t="shared" si="14"/>
        <v>0.513862943611199</v>
      </c>
      <c r="O54" s="843">
        <f t="shared" si="14"/>
        <v>0.513862943611199</v>
      </c>
      <c r="P54" s="844">
        <f t="shared" si="15"/>
        <v>19.526791857225561</v>
      </c>
      <c r="Q54" s="414">
        <f t="shared" si="16"/>
        <v>-1.0277258872223989</v>
      </c>
      <c r="R54" s="820">
        <f t="shared" si="22"/>
        <v>2.7725887222397994E-2</v>
      </c>
      <c r="S54" s="644">
        <f t="shared" si="17"/>
        <v>0.5</v>
      </c>
      <c r="T54" s="645">
        <f t="shared" si="17"/>
        <v>0.5</v>
      </c>
      <c r="U54" s="828">
        <f t="shared" si="29"/>
        <v>0</v>
      </c>
      <c r="V54" s="759">
        <f t="shared" si="23"/>
        <v>0</v>
      </c>
      <c r="W54" s="807"/>
      <c r="X54" s="907">
        <f t="shared" si="18"/>
        <v>0.513862943611199</v>
      </c>
      <c r="Y54" s="909">
        <f t="shared" si="24"/>
        <v>2.7725887222397994E-2</v>
      </c>
      <c r="Z54" s="189">
        <f t="shared" si="25"/>
        <v>0.5</v>
      </c>
      <c r="AA54" s="627">
        <f t="shared" si="26"/>
        <v>0.513862943611199</v>
      </c>
      <c r="AB54" s="122">
        <f>AA54/X54</f>
        <v>1</v>
      </c>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256"/>
      <c r="C55" s="7"/>
      <c r="D55" s="7">
        <f t="shared" si="28"/>
        <v>0.8</v>
      </c>
      <c r="E55" s="25">
        <v>16</v>
      </c>
      <c r="F55" s="249">
        <v>20</v>
      </c>
      <c r="G55" s="250">
        <v>20</v>
      </c>
      <c r="H55" s="838">
        <f t="shared" si="19"/>
        <v>40</v>
      </c>
      <c r="I55" s="838">
        <f t="shared" si="20"/>
        <v>25</v>
      </c>
      <c r="J55" s="838">
        <f t="shared" si="12"/>
        <v>25</v>
      </c>
      <c r="K55" s="838">
        <f t="shared" si="13"/>
        <v>72004899337.38588</v>
      </c>
      <c r="L55" s="838">
        <f t="shared" si="13"/>
        <v>72004899337.38588</v>
      </c>
      <c r="M55" s="838">
        <f t="shared" si="21"/>
        <v>144009798674.77176</v>
      </c>
      <c r="N55" s="849">
        <f t="shared" si="14"/>
        <v>0.513862943611199</v>
      </c>
      <c r="O55" s="850">
        <f t="shared" si="14"/>
        <v>0.513862943611199</v>
      </c>
      <c r="P55" s="851">
        <f t="shared" si="15"/>
        <v>20.55451774444796</v>
      </c>
      <c r="Q55" s="814">
        <f t="shared" si="16"/>
        <v>1.0277258872223989</v>
      </c>
      <c r="R55" s="820">
        <f t="shared" si="22"/>
        <v>2.7725887222397994E-2</v>
      </c>
      <c r="S55" s="646">
        <f t="shared" si="17"/>
        <v>0.5</v>
      </c>
      <c r="T55" s="648">
        <f t="shared" si="17"/>
        <v>0.5</v>
      </c>
      <c r="U55" s="828">
        <f t="shared" si="29"/>
        <v>0</v>
      </c>
      <c r="V55" s="759">
        <f t="shared" si="23"/>
        <v>0</v>
      </c>
      <c r="W55" s="807"/>
      <c r="X55" s="907">
        <f t="shared" si="18"/>
        <v>0.513862943611199</v>
      </c>
      <c r="Y55" s="909">
        <f t="shared" si="24"/>
        <v>2.7725887222397994E-2</v>
      </c>
      <c r="Z55" s="189">
        <f t="shared" si="25"/>
        <v>0.5</v>
      </c>
      <c r="AA55" s="627">
        <f t="shared" si="26"/>
        <v>0.513862943611199</v>
      </c>
      <c r="AB55" s="122">
        <f>AA55/X55</f>
        <v>1</v>
      </c>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257"/>
      <c r="C56" s="7"/>
      <c r="D56" s="7">
        <f t="shared" si="28"/>
        <v>0.36</v>
      </c>
      <c r="E56" s="25" t="s">
        <v>97</v>
      </c>
      <c r="F56" s="380">
        <v>9</v>
      </c>
      <c r="G56" s="377">
        <v>9</v>
      </c>
      <c r="H56" s="852">
        <f t="shared" si="19"/>
        <v>18</v>
      </c>
      <c r="I56" s="852">
        <f t="shared" si="20"/>
        <v>25</v>
      </c>
      <c r="J56" s="852">
        <f t="shared" si="12"/>
        <v>25</v>
      </c>
      <c r="K56" s="852">
        <f t="shared" si="13"/>
        <v>72004899337.38588</v>
      </c>
      <c r="L56" s="852">
        <f t="shared" si="13"/>
        <v>72004899337.38588</v>
      </c>
      <c r="M56" s="852">
        <f t="shared" si="21"/>
        <v>144009798674.77176</v>
      </c>
      <c r="N56" s="473">
        <v>0</v>
      </c>
      <c r="O56" s="475">
        <v>1</v>
      </c>
      <c r="P56" s="853">
        <f t="shared" si="15"/>
        <v>9.2495329850015811</v>
      </c>
      <c r="Q56" s="656" t="s">
        <v>132</v>
      </c>
      <c r="R56" s="807"/>
      <c r="S56" s="888">
        <f t="shared" ref="S56:S61" si="30">N40/SUM(N40:O40)</f>
        <v>0.5</v>
      </c>
      <c r="T56" s="888">
        <f t="shared" ref="T56:T61" si="31">O40/SUM(N40:O40)</f>
        <v>0.5</v>
      </c>
      <c r="U56" s="807"/>
      <c r="V56" s="807"/>
      <c r="W56" s="807"/>
      <c r="X56" s="807"/>
      <c r="Y56" s="80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41"/>
      <c r="H57" s="142"/>
      <c r="I57" s="142"/>
      <c r="J57" s="142"/>
      <c r="K57" s="142"/>
      <c r="L57" s="142"/>
      <c r="M57" s="142"/>
      <c r="N57" s="17"/>
      <c r="O57" s="33"/>
      <c r="P57" s="834">
        <f>SUMPRODUCT(N56:O56,F56:G56)</f>
        <v>9</v>
      </c>
      <c r="Q57" s="26" t="s">
        <v>110</v>
      </c>
      <c r="R57" s="807"/>
      <c r="S57" s="888">
        <f t="shared" si="30"/>
        <v>0.99325272632797434</v>
      </c>
      <c r="T57" s="888">
        <f t="shared" si="31"/>
        <v>6.747273672025619E-3</v>
      </c>
      <c r="V57" s="807" t="s">
        <v>435</v>
      </c>
      <c r="W57" s="807" t="s">
        <v>434</v>
      </c>
      <c r="X57" t="s">
        <v>436</v>
      </c>
      <c r="Y57" s="145" t="s">
        <v>428</v>
      </c>
      <c r="Z57" s="148" t="s">
        <v>433</v>
      </c>
      <c r="AA57" s="145" t="s">
        <v>428</v>
      </c>
      <c r="AB57" s="145" t="s">
        <v>431</v>
      </c>
      <c r="AC57" s="7" t="s">
        <v>432</v>
      </c>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41"/>
      <c r="H58" s="142"/>
      <c r="I58" s="142"/>
      <c r="J58" s="142"/>
      <c r="K58" s="142"/>
      <c r="L58" s="142"/>
      <c r="M58" s="142"/>
      <c r="N58" s="17"/>
      <c r="O58" s="17"/>
      <c r="P58" s="835">
        <f>P56-P57</f>
        <v>0.24953298500158105</v>
      </c>
      <c r="Q58" s="191" t="s">
        <v>102</v>
      </c>
      <c r="R58" s="807"/>
      <c r="S58" s="888">
        <f t="shared" si="30"/>
        <v>0.99982145390494537</v>
      </c>
      <c r="T58" s="888">
        <f t="shared" si="31"/>
        <v>1.785460950547386E-4</v>
      </c>
      <c r="V58" s="820">
        <f t="shared" ref="V58:V73" si="32">Z58-0.525</f>
        <v>-1.1137056388801025E-2</v>
      </c>
      <c r="W58" s="680">
        <f t="shared" ref="W58:W73" si="33">Y58-0.5</f>
        <v>0</v>
      </c>
      <c r="X58" s="463">
        <f>W58^2</f>
        <v>0</v>
      </c>
      <c r="Y58" s="162">
        <f>AA58</f>
        <v>0.5</v>
      </c>
      <c r="Z58" s="4">
        <f>N40</f>
        <v>0.513862943611199</v>
      </c>
      <c r="AA58" s="162">
        <f>S56</f>
        <v>0.5</v>
      </c>
      <c r="AB58" s="907">
        <f>X40-AA58</f>
        <v>1.3862943611198997E-2</v>
      </c>
      <c r="AC58" s="908">
        <f>(AB58-1)^2</f>
        <v>0.97246629398316931</v>
      </c>
      <c r="AD58" s="7">
        <f>EXP(AC58)</f>
        <v>2.6444584352901925</v>
      </c>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807"/>
      <c r="S59" s="888">
        <f t="shared" si="30"/>
        <v>0.99999182567650147</v>
      </c>
      <c r="T59" s="888">
        <f t="shared" si="31"/>
        <v>8.1743234985750449E-6</v>
      </c>
      <c r="V59" s="820">
        <f t="shared" si="32"/>
        <v>0.46971429846963597</v>
      </c>
      <c r="W59" s="680">
        <f t="shared" si="33"/>
        <v>0.49325272632797434</v>
      </c>
      <c r="X59" s="463">
        <f t="shared" ref="X59:X73" si="34">W59^2</f>
        <v>0.24329825202997957</v>
      </c>
      <c r="Y59" s="162">
        <f t="shared" ref="Y59:Y73" si="35">AA59</f>
        <v>0.99325272632797434</v>
      </c>
      <c r="Z59" s="4">
        <f t="shared" ref="Z59:Z73" si="36">N41</f>
        <v>0.99471429846963599</v>
      </c>
      <c r="AA59" s="162">
        <f t="shared" ref="AA59:AA73" si="37">S57</f>
        <v>0.99325272632797434</v>
      </c>
      <c r="AB59" s="907">
        <f t="shared" ref="AB59:AB73" si="38">X41-AA59</f>
        <v>1.4615721416616489E-3</v>
      </c>
      <c r="AC59" s="908">
        <f t="shared" ref="AC59:AC73" si="39">(AB59-1)^2</f>
        <v>0.99707899190980198</v>
      </c>
      <c r="AD59" s="7">
        <f t="shared" ref="AD59:AD73" si="40">EXP(AC59)</f>
        <v>2.7103532905457524</v>
      </c>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54" t="s">
        <v>377</v>
      </c>
      <c r="F60"/>
      <c r="G60"/>
      <c r="H60"/>
      <c r="I60"/>
      <c r="J60"/>
      <c r="K60"/>
      <c r="R60" s="807"/>
      <c r="S60" s="888">
        <f t="shared" si="30"/>
        <v>0.5</v>
      </c>
      <c r="T60" s="888">
        <f t="shared" si="31"/>
        <v>0.5</v>
      </c>
      <c r="V60" s="820">
        <f t="shared" si="32"/>
        <v>0.47488001530026536</v>
      </c>
      <c r="W60" s="680">
        <f t="shared" si="33"/>
        <v>0.49982145390494537</v>
      </c>
      <c r="X60" s="463">
        <f t="shared" si="34"/>
        <v>0.24982148578365343</v>
      </c>
      <c r="Y60" s="162">
        <f t="shared" si="35"/>
        <v>0.99982145390494537</v>
      </c>
      <c r="Z60" s="4">
        <f t="shared" si="36"/>
        <v>0.99988001530026538</v>
      </c>
      <c r="AA60" s="162">
        <f t="shared" si="37"/>
        <v>0.99982145390494537</v>
      </c>
      <c r="AB60" s="907">
        <f t="shared" si="38"/>
        <v>5.8561395320011478E-5</v>
      </c>
      <c r="AC60" s="908">
        <f t="shared" si="39"/>
        <v>0.99988288063879704</v>
      </c>
      <c r="AD60" s="7">
        <f t="shared" si="40"/>
        <v>2.7179634836702595</v>
      </c>
      <c r="AE60"/>
      <c r="AF60"/>
      <c r="AG60"/>
      <c r="AH60"/>
      <c r="AI60"/>
      <c r="AJ60"/>
    </row>
    <row r="61" spans="2:54" x14ac:dyDescent="0.25">
      <c r="C61" t="s">
        <v>378</v>
      </c>
      <c r="E61" s="7"/>
      <c r="F61" s="7"/>
      <c r="G61" s="7"/>
      <c r="H61" s="7"/>
      <c r="I61" s="7"/>
      <c r="J61" s="7"/>
      <c r="K61" s="7"/>
      <c r="L61" s="7"/>
      <c r="M61" s="7" t="s">
        <v>437</v>
      </c>
      <c r="N61" s="7" t="s">
        <v>50</v>
      </c>
      <c r="O61" t="s">
        <v>438</v>
      </c>
      <c r="P61" s="7" t="s">
        <v>439</v>
      </c>
      <c r="Q61" s="656" t="s">
        <v>440</v>
      </c>
      <c r="R61" s="807"/>
      <c r="S61" s="888">
        <f t="shared" si="30"/>
        <v>0.84106169211032078</v>
      </c>
      <c r="T61" s="888">
        <f t="shared" si="31"/>
        <v>0.15893830788967919</v>
      </c>
      <c r="V61" s="820">
        <f t="shared" si="32"/>
        <v>0.47499518779967043</v>
      </c>
      <c r="W61" s="680">
        <f t="shared" si="33"/>
        <v>0.49999182567650147</v>
      </c>
      <c r="X61" s="463">
        <f t="shared" si="34"/>
        <v>0.24999182574332104</v>
      </c>
      <c r="Y61" s="162">
        <f t="shared" si="35"/>
        <v>0.99999182567650147</v>
      </c>
      <c r="Z61" s="4">
        <f t="shared" si="36"/>
        <v>0.99999518779967045</v>
      </c>
      <c r="AA61" s="162">
        <f t="shared" si="37"/>
        <v>0.99999182567650147</v>
      </c>
      <c r="AB61" s="907">
        <f t="shared" si="38"/>
        <v>3.3621231689817677E-6</v>
      </c>
      <c r="AC61" s="908">
        <f t="shared" si="39"/>
        <v>0.99999327576496588</v>
      </c>
      <c r="AD61" s="7">
        <f t="shared" si="40"/>
        <v>2.7182635501545955</v>
      </c>
      <c r="AE61"/>
      <c r="AF61"/>
      <c r="AG61"/>
      <c r="AH61"/>
      <c r="AI61"/>
      <c r="AJ61"/>
    </row>
    <row r="62" spans="2:54" x14ac:dyDescent="0.25">
      <c r="F62" s="854"/>
      <c r="G62"/>
      <c r="H62"/>
      <c r="I62"/>
      <c r="J62"/>
      <c r="K62"/>
      <c r="M62" s="911">
        <v>0.99471429846963599</v>
      </c>
      <c r="N62" s="911">
        <v>6.7572022903619189E-3</v>
      </c>
      <c r="O62" s="4">
        <f>1-M62</f>
        <v>5.2857015303640065E-3</v>
      </c>
      <c r="P62">
        <f>N62*(1+$C$65)</f>
        <v>6.944551719003423E-3</v>
      </c>
      <c r="Q62">
        <f>1-P62</f>
        <v>0.99305544828099657</v>
      </c>
      <c r="S62" s="888">
        <f t="shared" ref="S62:S63" si="41">N46/SUM(N46:O46)</f>
        <v>0.94691159978078532</v>
      </c>
      <c r="T62" s="888">
        <f t="shared" ref="T62:T63" si="42">O46/SUM(N46:O46)</f>
        <v>5.3088400219214647E-2</v>
      </c>
      <c r="V62" s="820">
        <f t="shared" si="32"/>
        <v>-1.1137056388801025E-2</v>
      </c>
      <c r="W62" s="680">
        <f t="shared" si="33"/>
        <v>0</v>
      </c>
      <c r="X62" s="463">
        <f t="shared" si="34"/>
        <v>0</v>
      </c>
      <c r="Y62" s="162">
        <f t="shared" si="35"/>
        <v>0.5</v>
      </c>
      <c r="Z62" s="4">
        <f t="shared" si="36"/>
        <v>0.513862943611199</v>
      </c>
      <c r="AA62" s="162">
        <f t="shared" si="37"/>
        <v>0.5</v>
      </c>
      <c r="AB62" s="907">
        <f t="shared" si="38"/>
        <v>1.3862943611198997E-2</v>
      </c>
      <c r="AC62" s="908">
        <f t="shared" si="39"/>
        <v>0.97246629398316931</v>
      </c>
      <c r="AD62" s="7">
        <f t="shared" si="40"/>
        <v>2.6444584352901925</v>
      </c>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379</v>
      </c>
      <c r="D63" s="33" t="s">
        <v>331</v>
      </c>
      <c r="E63" s="33"/>
      <c r="G63"/>
      <c r="H63"/>
      <c r="I63"/>
      <c r="J63"/>
      <c r="K63"/>
      <c r="M63" s="911">
        <v>0.99988001530026538</v>
      </c>
      <c r="N63" s="911">
        <v>1.7855655283038896E-4</v>
      </c>
      <c r="O63" s="4">
        <f t="shared" ref="O63:O74" si="43">1-M63</f>
        <v>1.19984699734621E-4</v>
      </c>
      <c r="P63">
        <f t="shared" ref="P63:P74" si="44">N63*(1+$C$65)</f>
        <v>1.8350719167698447E-4</v>
      </c>
      <c r="Q63">
        <f t="shared" ref="Q63:Q74" si="45">1-P63</f>
        <v>0.99981649280832297</v>
      </c>
      <c r="S63" s="888">
        <f t="shared" si="41"/>
        <v>0.98147630269417141</v>
      </c>
      <c r="T63" s="888">
        <f t="shared" si="42"/>
        <v>1.8523697305828733E-2</v>
      </c>
      <c r="V63" s="820">
        <f t="shared" si="32"/>
        <v>0.33046223752464421</v>
      </c>
      <c r="W63" s="680">
        <f t="shared" si="33"/>
        <v>0.34106169211032078</v>
      </c>
      <c r="X63" s="463">
        <f t="shared" si="34"/>
        <v>0.11632307782515525</v>
      </c>
      <c r="Y63" s="162">
        <f t="shared" si="35"/>
        <v>0.84106169211032078</v>
      </c>
      <c r="Z63" s="4">
        <f t="shared" si="36"/>
        <v>0.85546223752464423</v>
      </c>
      <c r="AA63" s="162">
        <f t="shared" si="37"/>
        <v>0.84106169211032078</v>
      </c>
      <c r="AB63" s="907">
        <f t="shared" si="38"/>
        <v>1.4400545414323451E-2</v>
      </c>
      <c r="AC63" s="908">
        <f t="shared" si="39"/>
        <v>0.97140628487958314</v>
      </c>
      <c r="AD63" s="7">
        <f t="shared" si="40"/>
        <v>2.6416567704321907</v>
      </c>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55">
        <v>0.01</v>
      </c>
      <c r="D64">
        <f t="shared" ref="D64:D70" si="46">C64 / (2 *LN(2))</f>
        <v>7.2134752044448174E-3</v>
      </c>
      <c r="G64"/>
      <c r="H64"/>
      <c r="I64"/>
      <c r="J64"/>
      <c r="K64"/>
      <c r="M64" s="911">
        <v>0.99999518779967045</v>
      </c>
      <c r="N64" s="911">
        <v>8.1743509818821281E-6</v>
      </c>
      <c r="O64" s="4">
        <f t="shared" si="43"/>
        <v>4.8122003295514304E-6</v>
      </c>
      <c r="P64">
        <f t="shared" si="44"/>
        <v>8.4009921153220902E-6</v>
      </c>
      <c r="Q64">
        <f t="shared" si="45"/>
        <v>0.9999915990078847</v>
      </c>
      <c r="S64" s="888">
        <f t="shared" ref="S64:S70" si="47">N48/SUM(N48:O48)</f>
        <v>0.98147630269417141</v>
      </c>
      <c r="T64" s="888">
        <f t="shared" ref="T64:T71" si="48">O48/SUM(N48:O48)</f>
        <v>1.8523697305828733E-2</v>
      </c>
      <c r="V64" s="820">
        <f t="shared" si="32"/>
        <v>0.42938180930828984</v>
      </c>
      <c r="W64" s="680">
        <f t="shared" si="33"/>
        <v>0.44691159978078532</v>
      </c>
      <c r="X64" s="463">
        <f t="shared" si="34"/>
        <v>0.19972997801862083</v>
      </c>
      <c r="Y64" s="162">
        <f t="shared" si="35"/>
        <v>0.94691159978078532</v>
      </c>
      <c r="Z64" s="4">
        <f t="shared" si="36"/>
        <v>0.95438180930828986</v>
      </c>
      <c r="AA64" s="162">
        <f t="shared" si="37"/>
        <v>0.94691159978078532</v>
      </c>
      <c r="AB64" s="907">
        <f t="shared" si="38"/>
        <v>7.4702095275045455E-3</v>
      </c>
      <c r="AC64" s="908">
        <f t="shared" si="39"/>
        <v>0.98511538497537576</v>
      </c>
      <c r="AD64" s="7">
        <f t="shared" si="40"/>
        <v>2.6781208815058624</v>
      </c>
      <c r="AE64" s="855"/>
      <c r="AF64" s="855"/>
      <c r="AG64" s="855"/>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55">
        <v>2.7725887222398E-2</v>
      </c>
      <c r="D65">
        <f t="shared" si="46"/>
        <v>2.0000000000000136E-2</v>
      </c>
      <c r="G65"/>
      <c r="H65"/>
      <c r="I65"/>
      <c r="J65"/>
      <c r="K65"/>
      <c r="M65" s="911">
        <v>0.513862943611199</v>
      </c>
      <c r="N65" s="911">
        <v>0.513862943611199</v>
      </c>
      <c r="O65" s="4">
        <f t="shared" si="43"/>
        <v>0.486137056388801</v>
      </c>
      <c r="P65">
        <f t="shared" si="44"/>
        <v>0.52811024963353259</v>
      </c>
      <c r="Q65">
        <f t="shared" si="45"/>
        <v>0.47188975036646741</v>
      </c>
      <c r="S65" s="888">
        <f t="shared" si="47"/>
        <v>0.99999526717749421</v>
      </c>
      <c r="T65" s="888">
        <f t="shared" si="48"/>
        <v>4.732822505688883E-6</v>
      </c>
      <c r="V65" s="820">
        <f t="shared" si="32"/>
        <v>0.45983741427957414</v>
      </c>
      <c r="W65" s="680">
        <f t="shared" si="33"/>
        <v>0.48147630269417141</v>
      </c>
      <c r="X65" s="463">
        <f t="shared" si="34"/>
        <v>0.23181943005604938</v>
      </c>
      <c r="Y65" s="162">
        <f t="shared" si="35"/>
        <v>0.98147630269417141</v>
      </c>
      <c r="Z65" s="4">
        <f t="shared" si="36"/>
        <v>0.98483741427957416</v>
      </c>
      <c r="AA65" s="162">
        <f t="shared" si="37"/>
        <v>0.98147630269417141</v>
      </c>
      <c r="AB65" s="907">
        <f t="shared" si="38"/>
        <v>3.361111585402754E-3</v>
      </c>
      <c r="AC65" s="908">
        <f t="shared" si="39"/>
        <v>0.99328907390028398</v>
      </c>
      <c r="AD65" s="7">
        <f t="shared" si="40"/>
        <v>2.7001007142813562</v>
      </c>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55">
        <v>0.05</v>
      </c>
      <c r="D66">
        <f t="shared" si="46"/>
        <v>3.6067376022224089E-2</v>
      </c>
      <c r="G66"/>
      <c r="H66"/>
      <c r="I66"/>
      <c r="J66"/>
      <c r="K66"/>
      <c r="M66" s="911">
        <v>0.85546223752464423</v>
      </c>
      <c r="N66" s="911">
        <v>0.1616596282664261</v>
      </c>
      <c r="O66" s="4">
        <f t="shared" si="43"/>
        <v>0.14453776247535577</v>
      </c>
      <c r="P66">
        <f t="shared" si="44"/>
        <v>0.16614178488815581</v>
      </c>
      <c r="Q66">
        <f t="shared" si="45"/>
        <v>0.83385821511184421</v>
      </c>
      <c r="S66" s="888">
        <f>N50/SUM(N50:O50)</f>
        <v>0.31050045436764662</v>
      </c>
      <c r="T66" s="888">
        <f t="shared" si="48"/>
        <v>0.68949954563235327</v>
      </c>
      <c r="V66" s="820">
        <f t="shared" si="32"/>
        <v>0.45983741427957414</v>
      </c>
      <c r="W66" s="680">
        <f t="shared" si="33"/>
        <v>0.48147630269417141</v>
      </c>
      <c r="X66" s="463">
        <f t="shared" si="34"/>
        <v>0.23181943005604938</v>
      </c>
      <c r="Y66" s="162">
        <f t="shared" si="35"/>
        <v>0.98147630269417141</v>
      </c>
      <c r="Z66" s="4">
        <f t="shared" si="36"/>
        <v>0.98483741427957416</v>
      </c>
      <c r="AA66" s="162">
        <f t="shared" si="37"/>
        <v>0.98147630269417141</v>
      </c>
      <c r="AB66" s="907">
        <f t="shared" si="38"/>
        <v>3.361111585402754E-3</v>
      </c>
      <c r="AC66" s="908">
        <f t="shared" si="39"/>
        <v>0.99328907390028398</v>
      </c>
      <c r="AD66" s="7">
        <f t="shared" si="40"/>
        <v>2.7001007142813562</v>
      </c>
      <c r="AH66"/>
      <c r="AI66"/>
      <c r="AJ66"/>
    </row>
    <row r="67" spans="3:54" x14ac:dyDescent="0.25">
      <c r="C67" s="855">
        <v>0.2</v>
      </c>
      <c r="D67">
        <f t="shared" si="46"/>
        <v>0.14426950408889636</v>
      </c>
      <c r="G67"/>
      <c r="H67"/>
      <c r="I67"/>
      <c r="J67"/>
      <c r="K67"/>
      <c r="M67" s="911">
        <v>0.95438180930828986</v>
      </c>
      <c r="N67" s="911">
        <v>5.3507215949436304E-2</v>
      </c>
      <c r="O67" s="4">
        <f t="shared" si="43"/>
        <v>4.5618190691710137E-2</v>
      </c>
      <c r="P67">
        <f t="shared" si="44"/>
        <v>5.4990750984434872E-2</v>
      </c>
      <c r="Q67">
        <f t="shared" si="45"/>
        <v>0.94500924901556516</v>
      </c>
      <c r="S67" s="888">
        <f t="shared" si="47"/>
        <v>0.17208558999852119</v>
      </c>
      <c r="T67" s="888">
        <f t="shared" si="48"/>
        <v>0.82791441000147892</v>
      </c>
      <c r="V67" s="820">
        <f t="shared" si="32"/>
        <v>0.47499727955346149</v>
      </c>
      <c r="W67" s="680">
        <f t="shared" si="33"/>
        <v>0.49999526717749421</v>
      </c>
      <c r="X67" s="463">
        <f t="shared" si="34"/>
        <v>0.24999526719989382</v>
      </c>
      <c r="Y67" s="162">
        <f t="shared" si="35"/>
        <v>0.99999526717749421</v>
      </c>
      <c r="Z67" s="4">
        <f t="shared" si="36"/>
        <v>0.99999727955346152</v>
      </c>
      <c r="AA67" s="162">
        <f t="shared" si="37"/>
        <v>0.99999526717749421</v>
      </c>
      <c r="AB67" s="907">
        <f t="shared" si="38"/>
        <v>2.0123759673085218E-6</v>
      </c>
      <c r="AC67" s="908">
        <f t="shared" si="39"/>
        <v>0.99999597525211503</v>
      </c>
      <c r="AD67" s="7">
        <f t="shared" si="40"/>
        <v>2.7182708880820217</v>
      </c>
      <c r="AH67"/>
      <c r="AI67"/>
      <c r="AJ67"/>
    </row>
    <row r="68" spans="3:54" x14ac:dyDescent="0.25">
      <c r="C68" s="855">
        <v>0.4</v>
      </c>
      <c r="D68">
        <f t="shared" si="46"/>
        <v>0.28853900817779271</v>
      </c>
      <c r="G68"/>
      <c r="H68"/>
      <c r="I68"/>
      <c r="J68"/>
      <c r="K68"/>
      <c r="M68" s="911">
        <v>0.98483737451086495</v>
      </c>
      <c r="N68" s="911">
        <v>1.8587179382348773E-2</v>
      </c>
      <c r="O68" s="4">
        <f t="shared" si="43"/>
        <v>1.5162625489135051E-2</v>
      </c>
      <c r="P68">
        <f t="shared" si="44"/>
        <v>1.9102525421686258E-2</v>
      </c>
      <c r="Q68">
        <f t="shared" si="45"/>
        <v>0.98089747457831378</v>
      </c>
      <c r="S68" s="888">
        <f t="shared" si="47"/>
        <v>8.9398910016337998E-2</v>
      </c>
      <c r="T68" s="888">
        <f t="shared" si="48"/>
        <v>0.91060108998366196</v>
      </c>
      <c r="V68" s="820">
        <f t="shared" si="32"/>
        <v>-0.2068522163791664</v>
      </c>
      <c r="W68" s="680">
        <f t="shared" si="33"/>
        <v>-0.18949954563235338</v>
      </c>
      <c r="X68" s="463">
        <f t="shared" si="34"/>
        <v>3.5910077794868385E-2</v>
      </c>
      <c r="Y68" s="162">
        <f t="shared" si="35"/>
        <v>0.31050045436764662</v>
      </c>
      <c r="Z68" s="4">
        <f t="shared" si="36"/>
        <v>0.31814778362083362</v>
      </c>
      <c r="AA68" s="162">
        <f t="shared" si="37"/>
        <v>0.31050045436764662</v>
      </c>
      <c r="AB68" s="907">
        <f t="shared" si="38"/>
        <v>7.6473292531870074E-3</v>
      </c>
      <c r="AC68" s="908">
        <f t="shared" si="39"/>
        <v>0.98476382313833266</v>
      </c>
      <c r="AD68" s="7">
        <f t="shared" si="40"/>
        <v>2.6771795218916901</v>
      </c>
      <c r="AH68"/>
      <c r="AI68"/>
      <c r="AJ68"/>
    </row>
    <row r="69" spans="3:54" x14ac:dyDescent="0.25">
      <c r="C69" s="855">
        <v>0.99</v>
      </c>
      <c r="D69">
        <f t="shared" si="46"/>
        <v>0.71413404524003687</v>
      </c>
      <c r="G69"/>
      <c r="H69"/>
      <c r="I69"/>
      <c r="J69"/>
      <c r="K69"/>
      <c r="M69" s="911">
        <v>0.513862943611199</v>
      </c>
      <c r="N69" s="911">
        <v>0.513862943611199</v>
      </c>
      <c r="O69" s="4">
        <f>1-M69</f>
        <v>0.486137056388801</v>
      </c>
      <c r="P69">
        <f t="shared" si="44"/>
        <v>0.52811024963353259</v>
      </c>
      <c r="Q69">
        <f t="shared" si="45"/>
        <v>0.47188975036646741</v>
      </c>
      <c r="S69" s="888">
        <f t="shared" si="47"/>
        <v>0.5</v>
      </c>
      <c r="T69" s="888">
        <f t="shared" si="48"/>
        <v>0.5</v>
      </c>
      <c r="V69" s="820">
        <f t="shared" si="32"/>
        <v>-0.3498183379001259</v>
      </c>
      <c r="W69" s="680">
        <f t="shared" si="33"/>
        <v>-0.32791441000147881</v>
      </c>
      <c r="X69" s="463">
        <f t="shared" si="34"/>
        <v>0.10752786028661794</v>
      </c>
      <c r="Y69" s="162">
        <f t="shared" si="35"/>
        <v>0.17208558999852119</v>
      </c>
      <c r="Z69" s="4">
        <f t="shared" si="36"/>
        <v>0.17518166209987412</v>
      </c>
      <c r="AA69" s="162">
        <f t="shared" si="37"/>
        <v>0.17208558999852119</v>
      </c>
      <c r="AB69" s="907">
        <f t="shared" si="38"/>
        <v>3.0960721013529313E-3</v>
      </c>
      <c r="AC69" s="908">
        <f t="shared" si="39"/>
        <v>0.99381744145975104</v>
      </c>
      <c r="AD69" s="7">
        <f t="shared" si="40"/>
        <v>2.7015277368690982</v>
      </c>
      <c r="AH69"/>
      <c r="AI69"/>
      <c r="AJ69"/>
    </row>
    <row r="70" spans="3:54" x14ac:dyDescent="0.25">
      <c r="C70" s="855">
        <v>1.1000000000000001</v>
      </c>
      <c r="D70">
        <f t="shared" si="46"/>
        <v>0.79348227248893</v>
      </c>
      <c r="E70" t="s">
        <v>380</v>
      </c>
      <c r="K70" s="739"/>
      <c r="L70" s="739"/>
      <c r="M70" s="911">
        <v>0.99999727955346152</v>
      </c>
      <c r="N70" s="911">
        <v>4.7328320299522275E-6</v>
      </c>
      <c r="O70" s="4">
        <f t="shared" si="43"/>
        <v>2.7204465384844667E-6</v>
      </c>
      <c r="P70">
        <f t="shared" si="44"/>
        <v>4.8640539970572362E-6</v>
      </c>
      <c r="Q70">
        <f t="shared" si="45"/>
        <v>0.99999513594600298</v>
      </c>
      <c r="S70" s="888">
        <f t="shared" si="47"/>
        <v>0.5</v>
      </c>
      <c r="T70" s="888">
        <f t="shared" si="48"/>
        <v>0.5</v>
      </c>
      <c r="V70" s="820">
        <f t="shared" si="32"/>
        <v>-0.43456424007493183</v>
      </c>
      <c r="W70" s="680">
        <f t="shared" si="33"/>
        <v>-0.41060108998366202</v>
      </c>
      <c r="X70" s="463">
        <f t="shared" si="34"/>
        <v>0.1685932550957713</v>
      </c>
      <c r="Y70" s="162">
        <f t="shared" si="35"/>
        <v>8.9398910016337998E-2</v>
      </c>
      <c r="Z70" s="4">
        <f t="shared" si="36"/>
        <v>9.0435759925068193E-2</v>
      </c>
      <c r="AA70" s="162">
        <f t="shared" si="37"/>
        <v>8.9398910016337998E-2</v>
      </c>
      <c r="AB70" s="907">
        <f t="shared" si="38"/>
        <v>1.0368499087301947E-3</v>
      </c>
      <c r="AC70" s="908">
        <f t="shared" si="39"/>
        <v>0.99792737524027286</v>
      </c>
      <c r="AD70" s="7">
        <f t="shared" si="40"/>
        <v>2.7126536847672171</v>
      </c>
    </row>
    <row r="71" spans="3:54" x14ac:dyDescent="0.25">
      <c r="C71" t="s">
        <v>381</v>
      </c>
      <c r="M71" s="911">
        <v>0.31814778362083362</v>
      </c>
      <c r="N71" s="911">
        <v>0.7064812600588648</v>
      </c>
      <c r="O71" s="4">
        <f t="shared" si="43"/>
        <v>0.68185221637916638</v>
      </c>
      <c r="P71">
        <f t="shared" si="44"/>
        <v>0.72606907979999447</v>
      </c>
      <c r="Q71">
        <f t="shared" si="45"/>
        <v>0.27393092020000553</v>
      </c>
      <c r="S71" s="888">
        <f>N55/SUM(N55:O55)</f>
        <v>0.5</v>
      </c>
      <c r="T71" s="888">
        <f t="shared" si="48"/>
        <v>0.5</v>
      </c>
      <c r="V71" s="820">
        <f t="shared" si="32"/>
        <v>-1.1137056388801025E-2</v>
      </c>
      <c r="W71" s="680">
        <f t="shared" si="33"/>
        <v>0</v>
      </c>
      <c r="X71" s="463">
        <f t="shared" si="34"/>
        <v>0</v>
      </c>
      <c r="Y71" s="162">
        <f t="shared" si="35"/>
        <v>0.5</v>
      </c>
      <c r="Z71" s="4">
        <f t="shared" si="36"/>
        <v>0.513862943611199</v>
      </c>
      <c r="AA71" s="162">
        <f t="shared" si="37"/>
        <v>0.5</v>
      </c>
      <c r="AB71" s="907">
        <f t="shared" si="38"/>
        <v>1.3862943611198997E-2</v>
      </c>
      <c r="AC71" s="908">
        <f t="shared" si="39"/>
        <v>0.97246629398316931</v>
      </c>
      <c r="AD71" s="7">
        <f t="shared" si="40"/>
        <v>2.6444584352901925</v>
      </c>
    </row>
    <row r="72" spans="3:54" x14ac:dyDescent="0.25">
      <c r="M72" s="911">
        <v>0.17518166209987412</v>
      </c>
      <c r="N72" s="911">
        <v>0.84280980424765417</v>
      </c>
      <c r="O72" s="4">
        <f t="shared" si="43"/>
        <v>0.82481833790012593</v>
      </c>
      <c r="P72">
        <f t="shared" si="44"/>
        <v>0.86617745383015599</v>
      </c>
      <c r="Q72">
        <f t="shared" si="45"/>
        <v>0.13382254616984401</v>
      </c>
      <c r="S72" s="888"/>
      <c r="T72" s="888"/>
      <c r="V72" s="820">
        <f t="shared" si="32"/>
        <v>-1.1137056388801025E-2</v>
      </c>
      <c r="W72" s="680">
        <f t="shared" si="33"/>
        <v>0</v>
      </c>
      <c r="X72" s="463">
        <f t="shared" si="34"/>
        <v>0</v>
      </c>
      <c r="Y72" s="162">
        <f t="shared" si="35"/>
        <v>0.5</v>
      </c>
      <c r="Z72" s="4">
        <f t="shared" si="36"/>
        <v>0.513862943611199</v>
      </c>
      <c r="AA72" s="162">
        <f t="shared" si="37"/>
        <v>0.5</v>
      </c>
      <c r="AB72" s="907">
        <f t="shared" si="38"/>
        <v>1.3862943611198997E-2</v>
      </c>
      <c r="AC72" s="908">
        <f t="shared" si="39"/>
        <v>0.97246629398316931</v>
      </c>
      <c r="AD72" s="7">
        <f t="shared" si="40"/>
        <v>2.6444584352901925</v>
      </c>
    </row>
    <row r="73" spans="3:54" x14ac:dyDescent="0.25">
      <c r="M73" s="911">
        <v>9.0435759925068193E-2</v>
      </c>
      <c r="N73" s="911">
        <v>0.92116225517982175</v>
      </c>
      <c r="O73" s="4">
        <f t="shared" si="43"/>
        <v>0.90956424007493175</v>
      </c>
      <c r="P73">
        <f t="shared" si="44"/>
        <v>0.94670229598046729</v>
      </c>
      <c r="Q73">
        <f t="shared" si="45"/>
        <v>5.329770401953271E-2</v>
      </c>
      <c r="S73" s="888"/>
      <c r="T73" s="888"/>
      <c r="V73" s="820">
        <f t="shared" si="32"/>
        <v>-1.1137056388801025E-2</v>
      </c>
      <c r="W73" s="680">
        <f t="shared" si="33"/>
        <v>0</v>
      </c>
      <c r="X73" s="463">
        <f t="shared" si="34"/>
        <v>0</v>
      </c>
      <c r="Y73" s="162">
        <f t="shared" si="35"/>
        <v>0.5</v>
      </c>
      <c r="Z73" s="4">
        <f t="shared" si="36"/>
        <v>0.513862943611199</v>
      </c>
      <c r="AA73" s="162">
        <f t="shared" si="37"/>
        <v>0.5</v>
      </c>
      <c r="AB73" s="907">
        <f t="shared" si="38"/>
        <v>1.3862943611198997E-2</v>
      </c>
      <c r="AC73" s="908">
        <f t="shared" si="39"/>
        <v>0.97246629398316931</v>
      </c>
      <c r="AD73" s="7">
        <f t="shared" si="40"/>
        <v>2.6444584352901925</v>
      </c>
    </row>
    <row r="74" spans="3:54" x14ac:dyDescent="0.25">
      <c r="E74" s="86" t="s">
        <v>45</v>
      </c>
      <c r="F74" s="86" t="s">
        <v>382</v>
      </c>
      <c r="G74" s="739" t="s">
        <v>383</v>
      </c>
      <c r="H74" s="86" t="str">
        <f>F74</f>
        <v>Log(Depth)</v>
      </c>
      <c r="I74" s="739" t="s">
        <v>384</v>
      </c>
      <c r="J74" s="739" t="s">
        <v>385</v>
      </c>
      <c r="K74" s="739" t="s">
        <v>291</v>
      </c>
      <c r="L74" s="739" t="s">
        <v>386</v>
      </c>
      <c r="M74" s="911">
        <v>4.5578192494926784E-2</v>
      </c>
      <c r="N74" s="911">
        <v>0.96140273666368914</v>
      </c>
      <c r="O74" s="4">
        <f t="shared" si="43"/>
        <v>0.95442180750507322</v>
      </c>
      <c r="P74">
        <f t="shared" si="44"/>
        <v>0.98805848051573142</v>
      </c>
      <c r="Q74">
        <f t="shared" si="45"/>
        <v>1.1941519484268581E-2</v>
      </c>
      <c r="S74" s="888"/>
      <c r="T74" s="888"/>
      <c r="AC74" s="7"/>
    </row>
    <row r="75" spans="3:54" x14ac:dyDescent="0.25">
      <c r="E75" s="86">
        <v>1</v>
      </c>
      <c r="F75" s="856">
        <f t="shared" ref="F75:F90" si="49">LN(P40)-1</f>
        <v>0.63678639723971031</v>
      </c>
      <c r="G75" s="739">
        <f t="shared" ref="G75:G90" si="50">N15</f>
        <v>0.5</v>
      </c>
      <c r="H75" s="856">
        <f t="shared" ref="H75:H90" si="51">F75</f>
        <v>0.63678639723971031</v>
      </c>
      <c r="I75" s="739">
        <f t="shared" ref="I75:I90" si="52">N40</f>
        <v>0.513862943611199</v>
      </c>
      <c r="J75" s="739">
        <f t="shared" ref="J75:J90" si="53">S40</f>
        <v>0.5</v>
      </c>
      <c r="K75" s="739">
        <f t="shared" ref="K75:K90" si="54">I75-G75</f>
        <v>1.3862943611198997E-2</v>
      </c>
      <c r="L75" s="739">
        <f t="shared" ref="L75:L90" si="55">J75-G75</f>
        <v>0</v>
      </c>
      <c r="S75" s="888"/>
      <c r="T75" s="888"/>
      <c r="AC75" s="7"/>
    </row>
    <row r="76" spans="3:54" x14ac:dyDescent="0.25">
      <c r="E76" s="86">
        <v>2</v>
      </c>
      <c r="F76" s="856">
        <f t="shared" si="49"/>
        <v>0.81462718759901964</v>
      </c>
      <c r="G76" s="739">
        <f t="shared" si="50"/>
        <v>0.99662240835047589</v>
      </c>
      <c r="H76" s="856">
        <f t="shared" si="51"/>
        <v>0.81462718759901964</v>
      </c>
      <c r="I76" s="739">
        <f t="shared" si="52"/>
        <v>0.99471429846963599</v>
      </c>
      <c r="J76" s="739">
        <f t="shared" si="53"/>
        <v>0.99397854808963704</v>
      </c>
      <c r="K76" s="739">
        <f t="shared" si="54"/>
        <v>-1.9081098808398922E-3</v>
      </c>
      <c r="L76" s="739">
        <f t="shared" si="55"/>
        <v>-2.6438602608388484E-3</v>
      </c>
      <c r="S76" s="888"/>
      <c r="T76" s="888"/>
      <c r="AC76" s="7"/>
    </row>
    <row r="77" spans="3:54" x14ac:dyDescent="0.25">
      <c r="E77" s="86">
        <v>3</v>
      </c>
      <c r="F77" s="856">
        <f t="shared" si="49"/>
        <v>0.9655428903769836</v>
      </c>
      <c r="G77" s="739">
        <f t="shared" si="50"/>
        <v>0.99997731432891135</v>
      </c>
      <c r="H77" s="856">
        <f t="shared" si="51"/>
        <v>0.9655428903769836</v>
      </c>
      <c r="I77" s="739">
        <f t="shared" si="52"/>
        <v>0.99988001530026538</v>
      </c>
      <c r="J77" s="739">
        <f t="shared" si="53"/>
        <v>0.99985072937371755</v>
      </c>
      <c r="K77" s="739">
        <f t="shared" si="54"/>
        <v>-9.7299028645969621E-5</v>
      </c>
      <c r="L77" s="739">
        <f t="shared" si="55"/>
        <v>-1.2658495519379809E-4</v>
      </c>
      <c r="S77" s="888"/>
      <c r="T77" s="888"/>
    </row>
    <row r="78" spans="3:54" x14ac:dyDescent="0.25">
      <c r="E78" s="86">
        <v>4</v>
      </c>
      <c r="F78" s="856">
        <f t="shared" si="49"/>
        <v>1.0966413755533355</v>
      </c>
      <c r="G78" s="739">
        <f t="shared" si="50"/>
        <v>0.99999984716940182</v>
      </c>
      <c r="H78" s="856">
        <f t="shared" si="51"/>
        <v>1.0966413755533355</v>
      </c>
      <c r="I78" s="739">
        <f t="shared" si="52"/>
        <v>0.99999518779967045</v>
      </c>
      <c r="J78" s="739">
        <f t="shared" si="53"/>
        <v>0.99999350672434428</v>
      </c>
      <c r="K78" s="739">
        <f t="shared" si="54"/>
        <v>-4.6593697313745963E-6</v>
      </c>
      <c r="L78" s="739">
        <f t="shared" si="55"/>
        <v>-6.3404450575399451E-6</v>
      </c>
      <c r="S78" s="888"/>
      <c r="T78" s="888"/>
    </row>
    <row r="79" spans="3:54" x14ac:dyDescent="0.25">
      <c r="E79" s="86">
        <v>5</v>
      </c>
      <c r="F79" s="856">
        <f t="shared" si="49"/>
        <v>2.0230807583596011</v>
      </c>
      <c r="G79" s="739">
        <f t="shared" si="50"/>
        <v>0.5</v>
      </c>
      <c r="H79" s="856">
        <f t="shared" si="51"/>
        <v>2.0230807583596011</v>
      </c>
      <c r="I79" s="739">
        <f t="shared" si="52"/>
        <v>0.513862943611199</v>
      </c>
      <c r="J79" s="739">
        <f t="shared" si="53"/>
        <v>0.5</v>
      </c>
      <c r="K79" s="739">
        <f t="shared" si="54"/>
        <v>1.3862943611198997E-2</v>
      </c>
      <c r="L79" s="739">
        <f t="shared" si="55"/>
        <v>0</v>
      </c>
      <c r="S79" s="888"/>
      <c r="T79" s="888"/>
    </row>
    <row r="80" spans="3:54" x14ac:dyDescent="0.25">
      <c r="E80" s="86">
        <v>6</v>
      </c>
      <c r="F80" s="856">
        <f t="shared" si="49"/>
        <v>2.07058545144793</v>
      </c>
      <c r="G80" s="739">
        <f t="shared" si="50"/>
        <v>0.99916259229434723</v>
      </c>
      <c r="H80" s="856">
        <f t="shared" si="51"/>
        <v>2.07058545144793</v>
      </c>
      <c r="I80" s="739">
        <f t="shared" si="52"/>
        <v>0.85546223752464423</v>
      </c>
      <c r="J80" s="739">
        <f t="shared" si="53"/>
        <v>0.84690130462910906</v>
      </c>
      <c r="K80" s="739">
        <f t="shared" si="54"/>
        <v>-0.143700354769703</v>
      </c>
      <c r="L80" s="739">
        <f t="shared" si="55"/>
        <v>-0.15226128766523817</v>
      </c>
    </row>
    <row r="81" spans="5:29" x14ac:dyDescent="0.25">
      <c r="E81" s="86">
        <v>7</v>
      </c>
      <c r="F81" s="856">
        <f t="shared" si="49"/>
        <v>2.1159354053470469</v>
      </c>
      <c r="G81" s="739">
        <f t="shared" si="50"/>
        <v>0.99999647805087943</v>
      </c>
      <c r="H81" s="856">
        <f t="shared" si="51"/>
        <v>2.1159354053470469</v>
      </c>
      <c r="I81" s="739">
        <f t="shared" si="52"/>
        <v>0.95438180930828986</v>
      </c>
      <c r="J81" s="739">
        <f t="shared" si="53"/>
        <v>0.95043729667942678</v>
      </c>
      <c r="K81" s="739">
        <f t="shared" si="54"/>
        <v>-4.561466874258957E-2</v>
      </c>
      <c r="L81" s="739">
        <f t="shared" si="55"/>
        <v>-4.9559181371452654E-2</v>
      </c>
    </row>
    <row r="82" spans="5:29" x14ac:dyDescent="0.25">
      <c r="E82" s="86">
        <v>8</v>
      </c>
      <c r="F82" s="856">
        <f t="shared" si="49"/>
        <v>2.1593177571036133</v>
      </c>
      <c r="G82" s="739">
        <f t="shared" si="50"/>
        <v>0.99999997941088115</v>
      </c>
      <c r="H82" s="856">
        <f t="shared" si="51"/>
        <v>2.1593177571036133</v>
      </c>
      <c r="I82" s="739">
        <f t="shared" si="52"/>
        <v>0.98483741427957416</v>
      </c>
      <c r="J82" s="739">
        <f t="shared" si="53"/>
        <v>0.98312514085219926</v>
      </c>
      <c r="K82" s="739">
        <f t="shared" si="54"/>
        <v>-1.5162565131306982E-2</v>
      </c>
      <c r="L82" s="739">
        <f t="shared" si="55"/>
        <v>-1.6874838558681882E-2</v>
      </c>
    </row>
    <row r="83" spans="5:29" x14ac:dyDescent="0.25">
      <c r="E83" s="86">
        <v>9</v>
      </c>
      <c r="F83" s="856">
        <f t="shared" si="49"/>
        <v>2.8524649376635582</v>
      </c>
      <c r="G83" s="739">
        <f t="shared" si="50"/>
        <v>0.99999999999999956</v>
      </c>
      <c r="H83" s="856">
        <f t="shared" si="51"/>
        <v>2.8524649376635582</v>
      </c>
      <c r="I83" s="739">
        <f t="shared" si="52"/>
        <v>0.98483741427957416</v>
      </c>
      <c r="J83" s="739">
        <f t="shared" si="53"/>
        <v>0.98312514085219926</v>
      </c>
      <c r="K83" s="739">
        <f t="shared" si="54"/>
        <v>-1.5162585720425392E-2</v>
      </c>
      <c r="L83" s="739">
        <f t="shared" si="55"/>
        <v>-1.6874859147800292E-2</v>
      </c>
    </row>
    <row r="84" spans="5:29" x14ac:dyDescent="0.25">
      <c r="E84" s="86">
        <v>10</v>
      </c>
      <c r="F84" s="856">
        <f t="shared" si="49"/>
        <v>1.9957323928066635</v>
      </c>
      <c r="G84" s="739">
        <f t="shared" si="50"/>
        <v>1</v>
      </c>
      <c r="H84" s="856">
        <f t="shared" si="51"/>
        <v>1.9957323928066635</v>
      </c>
      <c r="I84" s="739">
        <f t="shared" si="52"/>
        <v>0.99999727955346152</v>
      </c>
      <c r="J84" s="739">
        <f t="shared" si="53"/>
        <v>0.99999627336071573</v>
      </c>
      <c r="K84" s="739">
        <f t="shared" si="54"/>
        <v>-2.7204465384844667E-6</v>
      </c>
      <c r="L84" s="739">
        <f t="shared" si="55"/>
        <v>-3.7266392842738583E-6</v>
      </c>
    </row>
    <row r="85" spans="5:29" x14ac:dyDescent="0.25">
      <c r="E85" s="86">
        <v>11</v>
      </c>
      <c r="F85" s="856">
        <f t="shared" si="49"/>
        <v>2.448251200222316</v>
      </c>
      <c r="G85" s="739">
        <f t="shared" si="50"/>
        <v>6.6928509242848554E-3</v>
      </c>
      <c r="H85" s="856">
        <f t="shared" si="51"/>
        <v>2.448251200222316</v>
      </c>
      <c r="I85" s="739">
        <f t="shared" si="52"/>
        <v>0.31814778362083362</v>
      </c>
      <c r="J85" s="739">
        <f t="shared" si="53"/>
        <v>0.30583326178098436</v>
      </c>
      <c r="K85" s="739">
        <f t="shared" si="54"/>
        <v>0.31145493269654878</v>
      </c>
      <c r="L85" s="739">
        <f t="shared" si="55"/>
        <v>0.29914041085669951</v>
      </c>
    </row>
    <row r="86" spans="5:29" x14ac:dyDescent="0.25">
      <c r="E86" s="86">
        <v>12</v>
      </c>
      <c r="F86" s="856">
        <f t="shared" si="49"/>
        <v>2.4727538318933631</v>
      </c>
      <c r="G86" s="739">
        <f t="shared" si="50"/>
        <v>4.5397868702434395E-5</v>
      </c>
      <c r="H86" s="856">
        <f t="shared" si="51"/>
        <v>2.4727538318933631</v>
      </c>
      <c r="I86" s="739">
        <f t="shared" si="52"/>
        <v>0.17518166209987412</v>
      </c>
      <c r="J86" s="739">
        <f t="shared" si="53"/>
        <v>0.16618592892611</v>
      </c>
      <c r="K86" s="739">
        <f t="shared" si="54"/>
        <v>0.17513626423117168</v>
      </c>
      <c r="L86" s="739">
        <f t="shared" si="55"/>
        <v>0.16614053105740756</v>
      </c>
    </row>
    <row r="87" spans="5:29" x14ac:dyDescent="0.25">
      <c r="E87" s="86">
        <v>13</v>
      </c>
      <c r="F87" s="856">
        <f t="shared" si="49"/>
        <v>2.4998784559966865</v>
      </c>
      <c r="G87" s="739">
        <f t="shared" si="50"/>
        <v>3.0590222692562477E-7</v>
      </c>
      <c r="H87" s="856">
        <f t="shared" si="51"/>
        <v>2.4998784559966865</v>
      </c>
      <c r="I87" s="739">
        <f t="shared" si="52"/>
        <v>9.0435759925068193E-2</v>
      </c>
      <c r="J87" s="739">
        <f t="shared" si="53"/>
        <v>8.4636752372623192E-2</v>
      </c>
      <c r="K87" s="739">
        <f t="shared" si="54"/>
        <v>9.0435454022841269E-2</v>
      </c>
      <c r="L87" s="739">
        <f t="shared" si="55"/>
        <v>8.4636446470396268E-2</v>
      </c>
    </row>
    <row r="88" spans="5:29" x14ac:dyDescent="0.25">
      <c r="E88" s="86">
        <v>14</v>
      </c>
      <c r="F88" s="856">
        <f t="shared" si="49"/>
        <v>2.0230807583596011</v>
      </c>
      <c r="G88" s="739">
        <f t="shared" si="50"/>
        <v>0.5</v>
      </c>
      <c r="H88" s="856">
        <f t="shared" si="51"/>
        <v>2.0230807583596011</v>
      </c>
      <c r="I88" s="739">
        <f t="shared" si="52"/>
        <v>0.513862943611199</v>
      </c>
      <c r="J88" s="739">
        <f t="shared" si="53"/>
        <v>0.5</v>
      </c>
      <c r="K88" s="739">
        <f t="shared" si="54"/>
        <v>1.3862943611198997E-2</v>
      </c>
      <c r="L88" s="739">
        <f t="shared" si="55"/>
        <v>0</v>
      </c>
      <c r="M88" s="86"/>
      <c r="N88" s="86"/>
    </row>
    <row r="89" spans="5:29" x14ac:dyDescent="0.25">
      <c r="E89" s="86">
        <v>15</v>
      </c>
      <c r="F89" s="856">
        <f t="shared" si="49"/>
        <v>1.9717874639720505</v>
      </c>
      <c r="G89" s="739">
        <f t="shared" si="50"/>
        <v>0.5</v>
      </c>
      <c r="H89" s="856">
        <f t="shared" si="51"/>
        <v>1.9717874639720505</v>
      </c>
      <c r="I89" s="739">
        <f t="shared" si="52"/>
        <v>0.513862943611199</v>
      </c>
      <c r="J89" s="739">
        <f t="shared" si="53"/>
        <v>0.5</v>
      </c>
      <c r="K89" s="739">
        <f t="shared" si="54"/>
        <v>1.3862943611198997E-2</v>
      </c>
      <c r="L89" s="739">
        <f t="shared" si="55"/>
        <v>0</v>
      </c>
      <c r="M89" s="86"/>
      <c r="N89" s="86"/>
    </row>
    <row r="90" spans="5:29" x14ac:dyDescent="0.25">
      <c r="E90" s="86">
        <v>16</v>
      </c>
      <c r="F90" s="856">
        <f t="shared" si="49"/>
        <v>2.0230807583596011</v>
      </c>
      <c r="G90" s="739">
        <f t="shared" si="50"/>
        <v>0.5</v>
      </c>
      <c r="H90" s="856">
        <f t="shared" si="51"/>
        <v>2.0230807583596011</v>
      </c>
      <c r="I90" s="739">
        <f t="shared" si="52"/>
        <v>0.513862943611199</v>
      </c>
      <c r="J90" s="739">
        <f t="shared" si="53"/>
        <v>0.5</v>
      </c>
      <c r="K90" s="739">
        <f t="shared" si="54"/>
        <v>1.3862943611198997E-2</v>
      </c>
      <c r="L90" s="739">
        <f t="shared" si="55"/>
        <v>0</v>
      </c>
    </row>
    <row r="94" spans="5:29" x14ac:dyDescent="0.25">
      <c r="AB94">
        <v>1</v>
      </c>
      <c r="AC94">
        <f>LN(AB94)</f>
        <v>0</v>
      </c>
    </row>
    <row r="95" spans="5:29" x14ac:dyDescent="0.25">
      <c r="AB95">
        <v>2</v>
      </c>
      <c r="AC95">
        <f t="shared" ref="AC95:AC103" si="56">LN(AB95)</f>
        <v>0.69314718055994529</v>
      </c>
    </row>
    <row r="96" spans="5:29" x14ac:dyDescent="0.25">
      <c r="AB96">
        <v>3</v>
      </c>
      <c r="AC96">
        <f t="shared" si="56"/>
        <v>1.0986122886681098</v>
      </c>
    </row>
    <row r="97" spans="28:29" x14ac:dyDescent="0.25">
      <c r="AB97">
        <v>4</v>
      </c>
      <c r="AC97">
        <f t="shared" si="56"/>
        <v>1.3862943611198906</v>
      </c>
    </row>
    <row r="98" spans="28:29" x14ac:dyDescent="0.25">
      <c r="AB98">
        <v>5</v>
      </c>
      <c r="AC98">
        <f t="shared" si="56"/>
        <v>1.6094379124341003</v>
      </c>
    </row>
    <row r="99" spans="28:29" x14ac:dyDescent="0.25">
      <c r="AB99">
        <v>6</v>
      </c>
      <c r="AC99">
        <f t="shared" si="56"/>
        <v>1.791759469228055</v>
      </c>
    </row>
    <row r="100" spans="28:29" x14ac:dyDescent="0.25">
      <c r="AB100">
        <v>7</v>
      </c>
      <c r="AC100">
        <f t="shared" si="56"/>
        <v>1.9459101490553132</v>
      </c>
    </row>
    <row r="101" spans="28:29" x14ac:dyDescent="0.25">
      <c r="AB101">
        <v>8</v>
      </c>
      <c r="AC101">
        <f t="shared" si="56"/>
        <v>2.0794415416798357</v>
      </c>
    </row>
    <row r="102" spans="28:29" x14ac:dyDescent="0.25">
      <c r="AB102">
        <v>9</v>
      </c>
      <c r="AC102">
        <f>LN(AB102)</f>
        <v>2.1972245773362196</v>
      </c>
    </row>
    <row r="103" spans="28:29" x14ac:dyDescent="0.25">
      <c r="AB103">
        <v>10</v>
      </c>
      <c r="AC103">
        <f t="shared" si="56"/>
        <v>2.3025850929940459</v>
      </c>
    </row>
  </sheetData>
  <mergeCells count="9">
    <mergeCell ref="Z38:AA38"/>
    <mergeCell ref="B39:B56"/>
    <mergeCell ref="S39:T39"/>
    <mergeCell ref="C4:C6"/>
    <mergeCell ref="C8:C11"/>
    <mergeCell ref="J10:L10"/>
    <mergeCell ref="Z13:AA13"/>
    <mergeCell ref="B14:B31"/>
    <mergeCell ref="S14:T1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2" tint="-0.499984740745262"/>
  </sheetPr>
  <dimension ref="B2:G32"/>
  <sheetViews>
    <sheetView workbookViewId="0">
      <selection activeCell="E1" sqref="E1"/>
    </sheetView>
  </sheetViews>
  <sheetFormatPr defaultRowHeight="15" x14ac:dyDescent="0.25"/>
  <cols>
    <col min="2" max="2" width="21.7109375" customWidth="1"/>
    <col min="3" max="5" width="12" bestFit="1" customWidth="1"/>
  </cols>
  <sheetData>
    <row r="2" spans="2:7" ht="21" x14ac:dyDescent="0.35">
      <c r="B2" s="932" t="s">
        <v>485</v>
      </c>
    </row>
    <row r="4" spans="2:7" x14ac:dyDescent="0.25">
      <c r="B4" t="s">
        <v>486</v>
      </c>
    </row>
    <row r="7" spans="2:7" ht="15.75" thickBot="1" x14ac:dyDescent="0.3">
      <c r="C7" t="s">
        <v>405</v>
      </c>
      <c r="D7" t="s">
        <v>480</v>
      </c>
      <c r="E7" t="s">
        <v>406</v>
      </c>
    </row>
    <row r="8" spans="2:7" x14ac:dyDescent="0.25">
      <c r="B8" t="s">
        <v>478</v>
      </c>
      <c r="C8" s="9">
        <v>500</v>
      </c>
      <c r="D8" s="10">
        <v>3000</v>
      </c>
      <c r="E8" s="11">
        <v>5000</v>
      </c>
      <c r="G8" t="s">
        <v>487</v>
      </c>
    </row>
    <row r="9" spans="2:7" x14ac:dyDescent="0.25">
      <c r="B9" t="s">
        <v>482</v>
      </c>
      <c r="C9" s="116">
        <f>LN(C8)</f>
        <v>6.2146080984221914</v>
      </c>
      <c r="D9" s="7">
        <f t="shared" ref="D9:E9" si="0">LN(D8)</f>
        <v>8.0063675676502459</v>
      </c>
      <c r="E9" s="102">
        <f t="shared" si="0"/>
        <v>8.5171931914162382</v>
      </c>
      <c r="G9" t="s">
        <v>488</v>
      </c>
    </row>
    <row r="10" spans="2:7" x14ac:dyDescent="0.25">
      <c r="B10" t="s">
        <v>479</v>
      </c>
      <c r="C10" s="116">
        <f>C9-$C9</f>
        <v>0</v>
      </c>
      <c r="D10" s="7">
        <f>D9-$C9</f>
        <v>1.7917594692280545</v>
      </c>
      <c r="E10" s="102">
        <f t="shared" ref="E10" si="1">E9-$C9</f>
        <v>2.3025850929940468</v>
      </c>
      <c r="G10" t="s">
        <v>490</v>
      </c>
    </row>
    <row r="11" spans="2:7" ht="15.75" thickBot="1" x14ac:dyDescent="0.3">
      <c r="B11" t="s">
        <v>481</v>
      </c>
      <c r="C11" s="121">
        <f t="shared" ref="C11:D11" si="2">C10/$E10</f>
        <v>0</v>
      </c>
      <c r="D11" s="168">
        <f t="shared" si="2"/>
        <v>0.77815125038364308</v>
      </c>
      <c r="E11" s="104">
        <f>E10/$E10</f>
        <v>1</v>
      </c>
      <c r="G11" t="s">
        <v>489</v>
      </c>
    </row>
    <row r="14" spans="2:7" ht="15.75" thickBot="1" x14ac:dyDescent="0.3">
      <c r="C14" t="s">
        <v>405</v>
      </c>
      <c r="D14" t="s">
        <v>480</v>
      </c>
      <c r="E14" t="s">
        <v>406</v>
      </c>
    </row>
    <row r="15" spans="2:7" x14ac:dyDescent="0.25">
      <c r="B15" t="s">
        <v>478</v>
      </c>
      <c r="C15" s="9">
        <v>500</v>
      </c>
      <c r="D15" s="10">
        <v>3000</v>
      </c>
      <c r="E15" s="11">
        <v>5000</v>
      </c>
    </row>
    <row r="16" spans="2:7" x14ac:dyDescent="0.25">
      <c r="B16" t="s">
        <v>483</v>
      </c>
      <c r="C16" s="116">
        <f>C15^2</f>
        <v>250000</v>
      </c>
      <c r="D16" s="7">
        <f>D15^2</f>
        <v>9000000</v>
      </c>
      <c r="E16" s="102">
        <f t="shared" ref="E16" si="3">E15^2</f>
        <v>25000000</v>
      </c>
    </row>
    <row r="17" spans="2:5" x14ac:dyDescent="0.25">
      <c r="B17" t="s">
        <v>479</v>
      </c>
      <c r="C17" s="116">
        <f>C16-$C16</f>
        <v>0</v>
      </c>
      <c r="D17" s="7">
        <f>D16-$C16</f>
        <v>8750000</v>
      </c>
      <c r="E17" s="102">
        <f>E16-$C16</f>
        <v>24750000</v>
      </c>
    </row>
    <row r="18" spans="2:5" ht="15.75" thickBot="1" x14ac:dyDescent="0.3">
      <c r="B18" t="s">
        <v>481</v>
      </c>
      <c r="C18" s="121">
        <f>C17/$E17</f>
        <v>0</v>
      </c>
      <c r="D18" s="168">
        <f>D17/$E17</f>
        <v>0.35353535353535354</v>
      </c>
      <c r="E18" s="104">
        <f>E17/$E17</f>
        <v>1</v>
      </c>
    </row>
    <row r="21" spans="2:5" ht="15.75" thickBot="1" x14ac:dyDescent="0.3">
      <c r="C21" t="s">
        <v>405</v>
      </c>
      <c r="D21" t="s">
        <v>480</v>
      </c>
      <c r="E21" t="s">
        <v>406</v>
      </c>
    </row>
    <row r="22" spans="2:5" x14ac:dyDescent="0.25">
      <c r="B22" t="s">
        <v>478</v>
      </c>
      <c r="C22" s="9">
        <v>200</v>
      </c>
      <c r="D22" s="10">
        <v>210</v>
      </c>
      <c r="E22" s="11">
        <v>250</v>
      </c>
    </row>
    <row r="23" spans="2:5" x14ac:dyDescent="0.25">
      <c r="B23" t="s">
        <v>483</v>
      </c>
      <c r="C23" s="116">
        <f>C22^2</f>
        <v>40000</v>
      </c>
      <c r="D23" s="7">
        <f>D22^2</f>
        <v>44100</v>
      </c>
      <c r="E23" s="102">
        <f>E22^2</f>
        <v>62500</v>
      </c>
    </row>
    <row r="24" spans="2:5" x14ac:dyDescent="0.25">
      <c r="B24" t="s">
        <v>479</v>
      </c>
      <c r="C24" s="116">
        <f>C23-$C23</f>
        <v>0</v>
      </c>
      <c r="D24" s="7">
        <f>D23-$C23</f>
        <v>4100</v>
      </c>
      <c r="E24" s="102">
        <f>E23-$C23</f>
        <v>22500</v>
      </c>
    </row>
    <row r="25" spans="2:5" ht="15.75" thickBot="1" x14ac:dyDescent="0.3">
      <c r="B25" t="s">
        <v>481</v>
      </c>
      <c r="C25" s="121">
        <f>C24/$E24</f>
        <v>0</v>
      </c>
      <c r="D25" s="168">
        <f>D24/$E24</f>
        <v>0.18222222222222223</v>
      </c>
      <c r="E25" s="104">
        <f>E24/$E24</f>
        <v>1</v>
      </c>
    </row>
    <row r="28" spans="2:5" ht="15.75" thickBot="1" x14ac:dyDescent="0.3">
      <c r="C28" t="s">
        <v>405</v>
      </c>
      <c r="D28" t="s">
        <v>480</v>
      </c>
      <c r="E28" t="s">
        <v>406</v>
      </c>
    </row>
    <row r="29" spans="2:5" x14ac:dyDescent="0.25">
      <c r="B29" t="s">
        <v>478</v>
      </c>
      <c r="C29" s="9">
        <v>1</v>
      </c>
      <c r="D29" s="10">
        <v>1.2</v>
      </c>
      <c r="E29" s="11">
        <v>1.5</v>
      </c>
    </row>
    <row r="30" spans="2:5" x14ac:dyDescent="0.25">
      <c r="B30" t="s">
        <v>484</v>
      </c>
      <c r="C30" s="116">
        <f>EXP(C29)</f>
        <v>2.7182818284590451</v>
      </c>
      <c r="D30" s="7">
        <f>EXP(D29)</f>
        <v>3.3201169227365472</v>
      </c>
      <c r="E30" s="102">
        <f t="shared" ref="E30" si="4">EXP(E29)</f>
        <v>4.4816890703380645</v>
      </c>
    </row>
    <row r="31" spans="2:5" x14ac:dyDescent="0.25">
      <c r="B31" t="s">
        <v>479</v>
      </c>
      <c r="C31" s="116">
        <f>C30-$C30</f>
        <v>0</v>
      </c>
      <c r="D31" s="7">
        <f>D30-$C30</f>
        <v>0.60183509427750215</v>
      </c>
      <c r="E31" s="102">
        <f>E30-$C30</f>
        <v>1.7634072418790194</v>
      </c>
    </row>
    <row r="32" spans="2:5" ht="15.75" thickBot="1" x14ac:dyDescent="0.3">
      <c r="B32" t="s">
        <v>481</v>
      </c>
      <c r="C32" s="121">
        <f>C31/$E31</f>
        <v>0</v>
      </c>
      <c r="D32" s="168">
        <f>D31/$E31</f>
        <v>0.34129104156122758</v>
      </c>
      <c r="E32" s="104">
        <f>E31/$E31</f>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2" tint="-0.499984740745262"/>
  </sheetPr>
  <dimension ref="A2:AP24"/>
  <sheetViews>
    <sheetView zoomScale="70" zoomScaleNormal="70" workbookViewId="0">
      <selection activeCell="B23" sqref="B23"/>
    </sheetView>
  </sheetViews>
  <sheetFormatPr defaultRowHeight="15" x14ac:dyDescent="0.25"/>
  <cols>
    <col min="5" max="9" width="11.42578125" style="33" customWidth="1"/>
    <col min="10" max="10" width="12" style="33" customWidth="1"/>
    <col min="13" max="13" width="9.42578125" customWidth="1"/>
    <col min="14" max="14" width="12.7109375" customWidth="1"/>
    <col min="15" max="15" width="10.28515625" customWidth="1"/>
    <col min="16" max="16" width="10.7109375" customWidth="1"/>
    <col min="18" max="18" width="9.42578125" customWidth="1"/>
    <col min="20" max="20" width="12.140625" customWidth="1"/>
    <col min="21" max="21" width="10.5703125" customWidth="1"/>
    <col min="24" max="24" width="11.140625" customWidth="1"/>
  </cols>
  <sheetData>
    <row r="2" spans="2:42" s="7" customFormat="1" x14ac:dyDescent="0.25">
      <c r="E2" s="17"/>
      <c r="F2" s="17"/>
      <c r="G2" s="17"/>
      <c r="H2" s="17"/>
      <c r="I2" s="17"/>
      <c r="J2" s="17"/>
    </row>
    <row r="3" spans="2:42" ht="21" x14ac:dyDescent="0.35">
      <c r="D3" s="141" t="s">
        <v>66</v>
      </c>
      <c r="K3" t="s">
        <v>44</v>
      </c>
    </row>
    <row r="4" spans="2:42" x14ac:dyDescent="0.25">
      <c r="D4" t="s">
        <v>4</v>
      </c>
      <c r="E4" s="33" t="s">
        <v>10</v>
      </c>
      <c r="F4" s="33" t="s">
        <v>11</v>
      </c>
      <c r="H4" s="33" t="s">
        <v>42</v>
      </c>
      <c r="I4" s="33">
        <f>COUNTA(E8:H8)</f>
        <v>4</v>
      </c>
      <c r="K4">
        <f>M9</f>
        <v>2.7725887222397811</v>
      </c>
      <c r="N4" s="18"/>
      <c r="O4" s="7"/>
      <c r="P4" s="7"/>
      <c r="Q4" s="7"/>
      <c r="R4" s="18"/>
    </row>
    <row r="5" spans="2:42" x14ac:dyDescent="0.25">
      <c r="D5" t="s">
        <v>5</v>
      </c>
      <c r="E5" s="33" t="s">
        <v>2</v>
      </c>
      <c r="F5" s="33" t="s">
        <v>3</v>
      </c>
      <c r="N5" s="18"/>
      <c r="O5" s="7"/>
      <c r="P5" s="7"/>
      <c r="Q5" s="7"/>
      <c r="R5" s="18"/>
    </row>
    <row r="7" spans="2:42" ht="27.75" customHeight="1" x14ac:dyDescent="0.25">
      <c r="C7" s="7"/>
      <c r="E7" s="36" t="s">
        <v>12</v>
      </c>
      <c r="F7" s="37"/>
      <c r="G7" s="37"/>
      <c r="H7" s="38"/>
      <c r="I7" s="14" t="s">
        <v>13</v>
      </c>
      <c r="J7" s="15"/>
      <c r="K7" s="15"/>
      <c r="L7" s="16"/>
      <c r="M7" s="15" t="s">
        <v>36</v>
      </c>
      <c r="N7" s="16" t="s">
        <v>35</v>
      </c>
      <c r="O7" s="20"/>
      <c r="P7" s="20"/>
      <c r="R7" s="20"/>
      <c r="S7" s="20"/>
      <c r="T7" s="20"/>
      <c r="U7" s="30"/>
      <c r="V7" s="31"/>
      <c r="W7" s="7"/>
      <c r="X7" s="7"/>
      <c r="Y7" s="7"/>
      <c r="Z7" s="31"/>
      <c r="AA7" s="7"/>
      <c r="AB7" s="7"/>
      <c r="AC7" s="7"/>
      <c r="AD7" s="7"/>
      <c r="AE7" s="7"/>
      <c r="AF7" s="7"/>
      <c r="AG7" s="7"/>
      <c r="AH7" s="7"/>
      <c r="AI7" s="7"/>
      <c r="AJ7" s="7"/>
      <c r="AK7" s="7"/>
      <c r="AL7" s="7"/>
      <c r="AM7" s="7"/>
      <c r="AN7" s="7"/>
      <c r="AO7" s="7"/>
      <c r="AP7" s="7"/>
    </row>
    <row r="8" spans="2:42" ht="16.5" thickBot="1" x14ac:dyDescent="0.3">
      <c r="C8" s="153" t="s">
        <v>5</v>
      </c>
      <c r="D8" s="117" t="s">
        <v>34</v>
      </c>
      <c r="E8" s="39" t="s">
        <v>6</v>
      </c>
      <c r="F8" s="55" t="s">
        <v>7</v>
      </c>
      <c r="G8" s="40" t="s">
        <v>8</v>
      </c>
      <c r="H8" s="56" t="s">
        <v>9</v>
      </c>
      <c r="I8" s="64" t="s">
        <v>6</v>
      </c>
      <c r="J8" s="65" t="s">
        <v>7</v>
      </c>
      <c r="K8" s="66" t="s">
        <v>8</v>
      </c>
      <c r="L8" s="67" t="s">
        <v>9</v>
      </c>
      <c r="M8" s="296">
        <v>0</v>
      </c>
      <c r="N8" s="35"/>
      <c r="O8" s="7"/>
      <c r="P8" s="7"/>
      <c r="R8" s="7"/>
      <c r="S8" s="7"/>
      <c r="T8" s="7"/>
      <c r="U8" s="7"/>
      <c r="V8" s="7"/>
      <c r="W8" s="7"/>
      <c r="X8" s="7"/>
      <c r="Y8" s="7"/>
      <c r="Z8" s="7"/>
      <c r="AA8" s="7"/>
      <c r="AB8" s="7"/>
      <c r="AC8" s="7"/>
      <c r="AD8" s="7"/>
      <c r="AE8" s="7"/>
      <c r="AF8" s="7"/>
      <c r="AG8" s="7"/>
      <c r="AH8" s="7"/>
      <c r="AI8" s="7"/>
      <c r="AJ8" s="7"/>
      <c r="AK8" s="7"/>
      <c r="AL8" s="7"/>
      <c r="AM8" s="18"/>
      <c r="AN8" s="18"/>
      <c r="AO8" s="18"/>
      <c r="AP8" s="18"/>
    </row>
    <row r="9" spans="2:42" ht="16.5" thickTop="1" x14ac:dyDescent="0.25">
      <c r="B9" t="s">
        <v>63</v>
      </c>
      <c r="C9" s="154">
        <v>2</v>
      </c>
      <c r="D9">
        <v>1</v>
      </c>
      <c r="E9" s="44">
        <v>0</v>
      </c>
      <c r="F9" s="57">
        <v>0</v>
      </c>
      <c r="G9" s="45">
        <v>0</v>
      </c>
      <c r="H9" s="58">
        <v>0</v>
      </c>
      <c r="I9" s="68">
        <f>EXP(E9/$C9)/(EXP($E9/$C9)+EXP($F9/$C9)+EXP($G9/$C9)+EXP($H9/$C9))</f>
        <v>0.25</v>
      </c>
      <c r="J9" s="69">
        <f t="shared" ref="J9:J14" si="0">EXP(F9/$C9)/(EXP($E9/$C9)+EXP($F9/$C9)+EXP($G9/$C9)+EXP($H9/$C9))</f>
        <v>0.25</v>
      </c>
      <c r="K9" s="70">
        <f t="shared" ref="K9:K15" si="1">EXP(G9/$C9)/(EXP($E9/$C9)+EXP($F9/$C9)+EXP($G9/$C9)+EXP($H9/$C9))</f>
        <v>0.25</v>
      </c>
      <c r="L9" s="302">
        <f t="shared" ref="L9:L15" si="2">EXP(H9/$C9)/(EXP($E9/$C9)+EXP($F9/$C9)+EXP($G9/$C9)+EXP($H9/$C9))</f>
        <v>0.25</v>
      </c>
      <c r="M9" s="81">
        <f>$C9*LN(EXP($E9/$C9)+EXP($F9/$C9)+EXP($G9/$C9)+EXP($H9/$C9))</f>
        <v>2.7725887222397811</v>
      </c>
      <c r="N9" s="74">
        <f>(M9-0)</f>
        <v>2.7725887222397811</v>
      </c>
      <c r="O9" s="7"/>
      <c r="P9" s="7"/>
      <c r="R9" s="7"/>
      <c r="S9" s="7"/>
      <c r="T9" s="7"/>
      <c r="U9" s="7"/>
      <c r="V9" s="8"/>
      <c r="W9" s="8"/>
      <c r="X9" s="8"/>
      <c r="Y9" s="8"/>
      <c r="Z9" s="7"/>
      <c r="AA9" s="7"/>
      <c r="AB9" s="7"/>
      <c r="AC9" s="7"/>
      <c r="AD9" s="7"/>
      <c r="AE9" s="7"/>
      <c r="AF9" s="7"/>
      <c r="AG9" s="7"/>
      <c r="AH9" s="7"/>
      <c r="AI9" s="7"/>
      <c r="AJ9" s="7"/>
      <c r="AK9" s="7"/>
      <c r="AL9" s="7"/>
      <c r="AM9" s="19"/>
      <c r="AN9" s="19"/>
      <c r="AO9" s="19"/>
      <c r="AP9" s="19"/>
    </row>
    <row r="10" spans="2:42" ht="15.75" x14ac:dyDescent="0.25">
      <c r="B10" s="7" t="s">
        <v>63</v>
      </c>
      <c r="C10" s="154">
        <v>2</v>
      </c>
      <c r="D10" s="7">
        <v>2</v>
      </c>
      <c r="E10" s="47">
        <v>0</v>
      </c>
      <c r="F10" s="59">
        <v>1</v>
      </c>
      <c r="G10" s="41">
        <v>2</v>
      </c>
      <c r="H10" s="60">
        <v>0</v>
      </c>
      <c r="I10" s="71">
        <f t="shared" ref="I10:I15" si="3">EXP(E10/$C10)/(EXP($E10/$C10)+EXP($F10/$C10)+EXP($G10/$C10)+EXP($H10/$C10))</f>
        <v>0.1570597633495828</v>
      </c>
      <c r="J10" s="72">
        <f t="shared" si="0"/>
        <v>0.25894777260558555</v>
      </c>
      <c r="K10" s="73">
        <f t="shared" si="1"/>
        <v>0.4269327006952488</v>
      </c>
      <c r="L10" s="303">
        <f t="shared" si="2"/>
        <v>0.1570597633495828</v>
      </c>
      <c r="M10" s="82">
        <f t="shared" ref="M10" si="4">$C10*LN(EXP($E10/$C10)+EXP($F10/$C10)+EXP($G10/$C10)+EXP($H10/$C10))</f>
        <v>3.7022577755764261</v>
      </c>
      <c r="N10" s="75">
        <f t="shared" ref="N10:N15" si="5">(M10-M9)</f>
        <v>0.92966905333664496</v>
      </c>
      <c r="O10" s="7"/>
      <c r="R10" s="7"/>
      <c r="S10" s="7"/>
      <c r="T10" s="7"/>
      <c r="U10" s="7"/>
      <c r="V10" s="29"/>
      <c r="W10" s="29"/>
      <c r="X10" s="29"/>
      <c r="Y10" s="29"/>
      <c r="Z10" s="7"/>
      <c r="AA10" s="7"/>
      <c r="AB10" s="7"/>
      <c r="AC10" s="7"/>
      <c r="AD10" s="7"/>
      <c r="AE10" s="7"/>
      <c r="AF10" s="7"/>
      <c r="AG10" s="7"/>
      <c r="AH10" s="8"/>
      <c r="AI10" s="8"/>
      <c r="AJ10" s="8"/>
      <c r="AK10" s="8"/>
      <c r="AL10" s="7"/>
      <c r="AM10" s="19"/>
      <c r="AN10" s="19"/>
      <c r="AO10" s="19"/>
      <c r="AP10" s="19"/>
    </row>
    <row r="11" spans="2:42" ht="15.75" x14ac:dyDescent="0.25">
      <c r="B11" s="17" t="s">
        <v>63</v>
      </c>
      <c r="C11" s="154">
        <v>2</v>
      </c>
      <c r="D11" s="17">
        <v>3</v>
      </c>
      <c r="E11" s="47">
        <v>1</v>
      </c>
      <c r="F11" s="59">
        <v>1</v>
      </c>
      <c r="G11" s="41">
        <v>2</v>
      </c>
      <c r="H11" s="60">
        <v>0</v>
      </c>
      <c r="I11" s="71">
        <f t="shared" si="3"/>
        <v>0.23500371220159452</v>
      </c>
      <c r="J11" s="72">
        <f t="shared" si="0"/>
        <v>0.23500371220159452</v>
      </c>
      <c r="K11" s="73">
        <f t="shared" si="1"/>
        <v>0.3874556190002601</v>
      </c>
      <c r="L11" s="303">
        <f t="shared" si="2"/>
        <v>0.14253695659655097</v>
      </c>
      <c r="M11" s="82">
        <f t="shared" ref="M11:M16" si="6">$C11*LN(EXP($E11/$C11)+EXP($F11/$C11)+EXP($G11/$C11)+EXP($H11/$C11))</f>
        <v>3.8963079367204267</v>
      </c>
      <c r="N11" s="75">
        <f t="shared" si="5"/>
        <v>0.19405016114400064</v>
      </c>
      <c r="O11" s="7"/>
      <c r="Q11" s="1"/>
      <c r="R11" s="151" t="s">
        <v>64</v>
      </c>
      <c r="S11" s="152"/>
      <c r="T11" s="152"/>
      <c r="U11" s="7"/>
      <c r="V11" s="29"/>
      <c r="W11" s="29"/>
      <c r="X11" s="29"/>
      <c r="Y11" s="29"/>
      <c r="Z11" s="7"/>
      <c r="AA11" s="7"/>
      <c r="AB11" s="7"/>
      <c r="AC11" s="7"/>
      <c r="AD11" s="7"/>
      <c r="AE11" s="7"/>
      <c r="AF11" s="7"/>
      <c r="AG11" s="7"/>
      <c r="AH11" s="8"/>
      <c r="AI11" s="8"/>
      <c r="AJ11" s="8"/>
      <c r="AK11" s="8"/>
      <c r="AL11" s="7"/>
      <c r="AM11" s="19"/>
      <c r="AN11" s="19"/>
      <c r="AO11" s="19"/>
      <c r="AP11" s="19"/>
    </row>
    <row r="12" spans="2:42" ht="15.75" x14ac:dyDescent="0.25">
      <c r="B12" s="142" t="s">
        <v>63</v>
      </c>
      <c r="C12" s="155">
        <v>2</v>
      </c>
      <c r="D12" s="7">
        <v>4</v>
      </c>
      <c r="E12" s="47">
        <v>2</v>
      </c>
      <c r="F12" s="59">
        <v>0</v>
      </c>
      <c r="G12" s="41">
        <v>7</v>
      </c>
      <c r="H12" s="60">
        <f>E12</f>
        <v>2</v>
      </c>
      <c r="I12" s="71">
        <f t="shared" si="3"/>
        <v>6.8726758577284552E-2</v>
      </c>
      <c r="J12" s="72">
        <f t="shared" si="0"/>
        <v>2.5283161538936071E-2</v>
      </c>
      <c r="K12" s="73">
        <f t="shared" si="1"/>
        <v>0.83726332130649472</v>
      </c>
      <c r="L12" s="303">
        <f t="shared" si="2"/>
        <v>6.8726758577284552E-2</v>
      </c>
      <c r="M12" s="82">
        <f t="shared" si="6"/>
        <v>7.3552333132946082</v>
      </c>
      <c r="N12" s="75">
        <f>(M12-M11)</f>
        <v>3.4589253765741814</v>
      </c>
      <c r="O12" s="7"/>
      <c r="Q12" s="5"/>
      <c r="R12" s="150" t="s">
        <v>65</v>
      </c>
      <c r="S12" s="7"/>
      <c r="T12" s="7"/>
      <c r="U12" s="7"/>
      <c r="V12" s="29"/>
      <c r="W12" s="29"/>
      <c r="X12" s="29"/>
      <c r="Y12" s="29"/>
      <c r="Z12" s="7"/>
      <c r="AA12" s="7"/>
      <c r="AB12" s="7"/>
      <c r="AC12" s="21"/>
      <c r="AD12" s="7"/>
      <c r="AE12" s="7"/>
      <c r="AF12" s="7"/>
      <c r="AG12" s="7"/>
      <c r="AH12" s="8"/>
      <c r="AI12" s="8"/>
      <c r="AJ12" s="8"/>
      <c r="AK12" s="8"/>
      <c r="AL12" s="7"/>
      <c r="AM12" s="19"/>
      <c r="AN12" s="19"/>
      <c r="AO12" s="19"/>
      <c r="AP12" s="19"/>
    </row>
    <row r="13" spans="2:42" ht="15.75" x14ac:dyDescent="0.25">
      <c r="B13" s="142" t="s">
        <v>62</v>
      </c>
      <c r="C13" s="155">
        <v>5</v>
      </c>
      <c r="D13" s="7">
        <v>5</v>
      </c>
      <c r="E13" s="47">
        <f>E12</f>
        <v>2</v>
      </c>
      <c r="F13" s="59">
        <f t="shared" ref="F13:G13" si="7">F12</f>
        <v>0</v>
      </c>
      <c r="G13" s="41">
        <f t="shared" si="7"/>
        <v>7</v>
      </c>
      <c r="H13" s="60">
        <v>2</v>
      </c>
      <c r="I13" s="71">
        <f t="shared" si="3"/>
        <v>0.18557689420946036</v>
      </c>
      <c r="J13" s="72">
        <f>EXP(F13/$C13)/(EXP($E13/$C13)+EXP($F13/$C13)+EXP($G13/$C13)+EXP($H13/$C13))</f>
        <v>0.12439591226963644</v>
      </c>
      <c r="K13" s="73">
        <f t="shared" si="1"/>
        <v>0.5044502993114427</v>
      </c>
      <c r="L13" s="303">
        <f t="shared" si="2"/>
        <v>0.18557689420946036</v>
      </c>
      <c r="M13" s="82">
        <f>$C13*LN(EXP($E13/$C13)+EXP($F13/$C13)+EXP($G13/$C13)+EXP($H13/$C13))</f>
        <v>10.421429793928922</v>
      </c>
      <c r="N13" s="75">
        <f>(M13-M12)</f>
        <v>3.0661964806343143</v>
      </c>
      <c r="O13" s="7"/>
      <c r="P13" s="7">
        <f>(C13-C12)*LN(I4)</f>
        <v>4.1588830833596715</v>
      </c>
      <c r="Q13" s="5" t="b">
        <f>P13&gt;N13</f>
        <v>1</v>
      </c>
      <c r="R13" s="7"/>
      <c r="S13" s="7"/>
      <c r="T13" s="7"/>
      <c r="U13" s="7"/>
      <c r="V13" s="29"/>
      <c r="W13" s="29"/>
      <c r="X13" s="29"/>
      <c r="Y13" s="29"/>
      <c r="Z13" s="7"/>
      <c r="AA13" s="7"/>
      <c r="AB13" s="7"/>
      <c r="AC13" s="7"/>
      <c r="AD13" s="7"/>
      <c r="AE13" s="7"/>
      <c r="AF13" s="7"/>
      <c r="AG13" s="7"/>
      <c r="AH13" s="8"/>
      <c r="AI13" s="8"/>
      <c r="AJ13" s="8"/>
      <c r="AK13" s="8"/>
      <c r="AL13" s="7"/>
      <c r="AM13" s="19"/>
      <c r="AN13" s="19"/>
      <c r="AO13" s="19"/>
      <c r="AP13" s="19"/>
    </row>
    <row r="14" spans="2:42" ht="15.75" x14ac:dyDescent="0.25">
      <c r="B14" s="142" t="s">
        <v>62</v>
      </c>
      <c r="C14" s="155">
        <v>5</v>
      </c>
      <c r="D14" s="7">
        <v>6</v>
      </c>
      <c r="E14" s="47">
        <v>7</v>
      </c>
      <c r="F14" s="59">
        <v>12</v>
      </c>
      <c r="G14" s="41">
        <v>2</v>
      </c>
      <c r="H14" s="60">
        <v>3.5</v>
      </c>
      <c r="I14" s="71">
        <f>EXP(E14/$C14)/(EXP($E14/$C14)+EXP($F14/$C14)+EXP($G14/$C14)+EXP($H14/$C14))</f>
        <v>0.21820975346958987</v>
      </c>
      <c r="J14" s="72">
        <f t="shared" si="0"/>
        <v>0.59315560764891428</v>
      </c>
      <c r="K14" s="73">
        <f t="shared" si="1"/>
        <v>8.027488216455092E-2</v>
      </c>
      <c r="L14" s="303">
        <f t="shared" si="2"/>
        <v>0.10835975671694488</v>
      </c>
      <c r="M14" s="82">
        <f t="shared" si="6"/>
        <v>14.611492534524269</v>
      </c>
      <c r="N14" s="75">
        <f t="shared" si="5"/>
        <v>4.1900627405953461</v>
      </c>
      <c r="O14" s="7"/>
      <c r="P14" s="7"/>
      <c r="Q14" s="5"/>
      <c r="R14" s="7"/>
      <c r="S14" s="7"/>
      <c r="T14" s="7"/>
      <c r="U14" s="7"/>
      <c r="V14" s="29"/>
      <c r="W14" s="29"/>
      <c r="X14" s="29"/>
      <c r="Y14" s="29"/>
      <c r="Z14" s="7"/>
      <c r="AA14" s="7"/>
      <c r="AB14" s="7"/>
      <c r="AC14" s="7"/>
      <c r="AD14" s="7"/>
      <c r="AE14" s="7"/>
      <c r="AF14" s="7"/>
      <c r="AG14" s="7"/>
      <c r="AH14" s="8"/>
      <c r="AI14" s="8"/>
      <c r="AJ14" s="8"/>
      <c r="AK14" s="8"/>
      <c r="AL14" s="7"/>
      <c r="AM14" s="19"/>
      <c r="AN14" s="19"/>
      <c r="AO14" s="19"/>
      <c r="AP14" s="19"/>
    </row>
    <row r="15" spans="2:42" ht="16.5" thickBot="1" x14ac:dyDescent="0.3">
      <c r="B15" s="142" t="s">
        <v>62</v>
      </c>
      <c r="C15" s="155">
        <v>5</v>
      </c>
      <c r="D15" s="7">
        <v>7</v>
      </c>
      <c r="E15" s="39">
        <v>0</v>
      </c>
      <c r="F15" s="55">
        <v>12</v>
      </c>
      <c r="G15" s="40">
        <v>0</v>
      </c>
      <c r="H15" s="56">
        <v>0</v>
      </c>
      <c r="I15" s="64">
        <f t="shared" si="3"/>
        <v>7.1310520017451792E-2</v>
      </c>
      <c r="J15" s="65">
        <f>EXP(F15/$C15)/(EXP($E15/$C15)+EXP($F15/$C15)+EXP($G15/$C15)+EXP($H15/$C15))</f>
        <v>0.78606843994764464</v>
      </c>
      <c r="K15" s="66">
        <f t="shared" si="1"/>
        <v>7.1310520017451792E-2</v>
      </c>
      <c r="L15" s="304">
        <f t="shared" si="2"/>
        <v>7.1310520017451792E-2</v>
      </c>
      <c r="M15" s="114">
        <f t="shared" si="6"/>
        <v>13.203557083094442</v>
      </c>
      <c r="N15" s="35">
        <f t="shared" si="5"/>
        <v>-1.407935451429827</v>
      </c>
      <c r="O15" s="7"/>
      <c r="P15" s="7"/>
      <c r="R15" s="7"/>
      <c r="S15" s="7"/>
      <c r="T15" s="7"/>
      <c r="U15" s="7"/>
      <c r="V15" s="29"/>
      <c r="W15" s="29"/>
      <c r="X15" s="29"/>
      <c r="Y15" s="29"/>
      <c r="Z15" s="7"/>
      <c r="AA15" s="7"/>
      <c r="AB15" s="7"/>
      <c r="AC15" s="7"/>
      <c r="AD15" s="7"/>
      <c r="AE15" s="7"/>
      <c r="AF15" s="7"/>
      <c r="AG15" s="7"/>
      <c r="AH15" s="29"/>
      <c r="AI15" s="8"/>
      <c r="AJ15" s="8"/>
      <c r="AK15" s="8"/>
      <c r="AL15" s="7"/>
      <c r="AM15" s="19"/>
      <c r="AN15" s="19"/>
      <c r="AO15" s="19"/>
      <c r="AP15" s="19"/>
    </row>
    <row r="16" spans="2:42" ht="17.25" thickTop="1" thickBot="1" x14ac:dyDescent="0.3">
      <c r="B16" s="142" t="s">
        <v>62</v>
      </c>
      <c r="C16" s="155">
        <v>5</v>
      </c>
      <c r="D16" s="7">
        <v>8</v>
      </c>
      <c r="E16" s="44">
        <f>E15</f>
        <v>0</v>
      </c>
      <c r="F16" s="57">
        <v>12</v>
      </c>
      <c r="G16" s="45">
        <f>G15</f>
        <v>0</v>
      </c>
      <c r="H16" s="301">
        <f>H15</f>
        <v>0</v>
      </c>
      <c r="I16" s="562">
        <v>6.1440991013794134E-6</v>
      </c>
      <c r="J16" s="563">
        <v>0.99998156770269597</v>
      </c>
      <c r="K16" s="563">
        <v>6.1440991013794134E-6</v>
      </c>
      <c r="L16" s="563">
        <v>6.1440991013794134E-6</v>
      </c>
      <c r="M16" s="83">
        <f t="shared" si="6"/>
        <v>13.203557083094442</v>
      </c>
      <c r="N16" s="8"/>
      <c r="O16" s="8"/>
      <c r="P16" s="8"/>
      <c r="R16" s="8"/>
      <c r="S16" s="8"/>
      <c r="T16" s="8"/>
      <c r="U16" s="8"/>
      <c r="V16" s="8"/>
      <c r="W16" s="8"/>
      <c r="X16" s="8"/>
      <c r="Y16" s="8"/>
      <c r="Z16" s="8"/>
      <c r="AA16" s="8"/>
      <c r="AB16" s="8"/>
      <c r="AC16" s="8"/>
      <c r="AD16" s="7"/>
      <c r="AE16" s="7"/>
      <c r="AF16" s="7"/>
      <c r="AG16" s="7"/>
      <c r="AH16" s="7"/>
      <c r="AI16" s="7"/>
      <c r="AJ16" s="7"/>
      <c r="AK16" s="7"/>
      <c r="AL16" s="7"/>
      <c r="AM16" s="7"/>
      <c r="AN16" s="7"/>
      <c r="AO16" s="7"/>
      <c r="AP16" s="7"/>
    </row>
    <row r="17" spans="1:18" ht="15.75" thickBot="1" x14ac:dyDescent="0.3">
      <c r="B17" s="7"/>
      <c r="C17" s="7"/>
      <c r="D17" s="7"/>
      <c r="M17" s="246">
        <f>(SUMPRODUCT(I16:L16,E16:H16))</f>
        <v>11.999778812432352</v>
      </c>
      <c r="N17" s="305"/>
    </row>
    <row r="18" spans="1:18" ht="15.75" thickBot="1" x14ac:dyDescent="0.3">
      <c r="B18" s="7"/>
      <c r="C18" s="7"/>
      <c r="D18" s="7"/>
      <c r="M18" s="83">
        <f>M16-M17</f>
        <v>1.2037782706620899</v>
      </c>
      <c r="N18" s="8"/>
    </row>
    <row r="19" spans="1:18" x14ac:dyDescent="0.25">
      <c r="B19" s="7"/>
      <c r="C19" s="7"/>
      <c r="D19" s="7"/>
    </row>
    <row r="20" spans="1:18" x14ac:dyDescent="0.25">
      <c r="A20" s="7"/>
      <c r="B20" s="7"/>
      <c r="C20" s="7"/>
      <c r="D20" s="7"/>
      <c r="E20" s="17"/>
      <c r="F20" s="17"/>
      <c r="G20" s="142"/>
      <c r="H20" s="142"/>
      <c r="I20" s="145"/>
      <c r="J20" s="145"/>
      <c r="K20" s="8"/>
      <c r="L20" s="8"/>
      <c r="M20" s="8"/>
      <c r="N20" s="8"/>
      <c r="O20" s="8"/>
      <c r="P20" s="8"/>
      <c r="Q20" s="8"/>
      <c r="R20" s="8"/>
    </row>
    <row r="21" spans="1:18" x14ac:dyDescent="0.25">
      <c r="A21" s="116"/>
      <c r="B21" s="17" t="s">
        <v>112</v>
      </c>
      <c r="C21" s="17"/>
      <c r="D21" s="17"/>
      <c r="E21" s="17"/>
      <c r="F21" s="17"/>
      <c r="G21" s="143"/>
      <c r="H21" s="142"/>
      <c r="I21" s="145"/>
      <c r="J21" s="145"/>
      <c r="K21" s="8"/>
      <c r="L21" s="8"/>
      <c r="M21" s="8"/>
      <c r="N21" s="8"/>
      <c r="O21" s="8"/>
      <c r="P21" s="8"/>
      <c r="Q21" s="8"/>
      <c r="R21" s="8"/>
    </row>
    <row r="22" spans="1:18" x14ac:dyDescent="0.25">
      <c r="A22" s="7"/>
      <c r="B22" s="7">
        <f>$N$13</f>
        <v>3.0661964806343143</v>
      </c>
      <c r="C22" s="7" t="s">
        <v>113</v>
      </c>
      <c r="D22" s="7"/>
      <c r="E22" s="17"/>
      <c r="F22" s="17"/>
      <c r="G22" s="144"/>
      <c r="H22" s="145"/>
      <c r="I22" s="146"/>
      <c r="J22" s="146"/>
      <c r="K22" s="147"/>
      <c r="L22" s="8"/>
      <c r="M22" s="148"/>
      <c r="N22" s="8"/>
      <c r="O22" s="8"/>
      <c r="P22" s="8"/>
      <c r="Q22" s="8"/>
      <c r="R22" s="8"/>
    </row>
    <row r="23" spans="1:18" x14ac:dyDescent="0.25">
      <c r="B23" s="7"/>
      <c r="C23" s="7"/>
      <c r="D23" s="7"/>
      <c r="E23" s="17"/>
      <c r="F23" s="17"/>
      <c r="G23" s="144"/>
      <c r="H23" s="145"/>
      <c r="I23" s="146"/>
      <c r="J23" s="146"/>
      <c r="K23" s="147"/>
      <c r="L23" s="8"/>
      <c r="M23" s="8"/>
      <c r="N23" s="8"/>
      <c r="O23" s="8"/>
      <c r="P23" s="8"/>
      <c r="Q23" s="8"/>
      <c r="R23" s="8"/>
    </row>
    <row r="24" spans="1:18" x14ac:dyDescent="0.25">
      <c r="B24" s="7" t="s">
        <v>114</v>
      </c>
      <c r="C24" s="7"/>
      <c r="D24" s="7"/>
      <c r="E24" s="17"/>
      <c r="F24" s="17"/>
      <c r="G24" s="142"/>
      <c r="H24" s="142"/>
      <c r="I24" s="149"/>
      <c r="J24" s="149"/>
      <c r="K24" s="147"/>
      <c r="L24" s="8"/>
      <c r="M24" s="8"/>
      <c r="N24" s="8"/>
      <c r="O24" s="8"/>
      <c r="P24" s="8"/>
      <c r="Q24" s="8"/>
      <c r="R24" s="8"/>
    </row>
  </sheetData>
  <conditionalFormatting sqref="AM9:AP15">
    <cfRule type="dataBar" priority="1">
      <dataBar>
        <cfvo type="min"/>
        <cfvo type="max"/>
        <color rgb="FF638EC6"/>
      </dataBar>
      <extLst>
        <ext xmlns:x14="http://schemas.microsoft.com/office/spreadsheetml/2009/9/main" uri="{B025F937-C7B1-47D3-B67F-A62EFF666E3E}">
          <x14:id>{92065603-D565-4D36-BD75-4261CB35D089}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065603-D565-4D36-BD75-4261CB35D089}">
            <x14:dataBar minLength="0" maxLength="100" gradient="0">
              <x14:cfvo type="autoMin"/>
              <x14:cfvo type="autoMax"/>
              <x14:negativeFillColor rgb="FFFF0000"/>
              <x14:axisColor rgb="FF000000"/>
            </x14:dataBar>
          </x14:cfRule>
          <xm:sqref>AM9:AP15</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tint="-0.499984740745262"/>
  </sheetPr>
  <dimension ref="B2:T86"/>
  <sheetViews>
    <sheetView workbookViewId="0">
      <selection activeCell="U20" sqref="U20"/>
    </sheetView>
  </sheetViews>
  <sheetFormatPr defaultRowHeight="15" x14ac:dyDescent="0.25"/>
  <cols>
    <col min="3" max="3" width="7.85546875" customWidth="1"/>
    <col min="4" max="4" width="11.7109375" customWidth="1"/>
    <col min="5" max="6" width="9.5703125" bestFit="1" customWidth="1"/>
    <col min="10" max="10" width="13" customWidth="1"/>
    <col min="15" max="15" width="9.28515625" customWidth="1"/>
    <col min="18" max="18" width="9.5703125" bestFit="1" customWidth="1"/>
  </cols>
  <sheetData>
    <row r="2" spans="2:20" ht="26.25" x14ac:dyDescent="0.4">
      <c r="B2" s="765" t="s">
        <v>83</v>
      </c>
    </row>
    <row r="3" spans="2:20" ht="15.75" thickBot="1" x14ac:dyDescent="0.3">
      <c r="B3" t="s">
        <v>68</v>
      </c>
    </row>
    <row r="4" spans="2:20" ht="15.75" thickBot="1" x14ac:dyDescent="0.3">
      <c r="Q4" s="166" t="s">
        <v>5</v>
      </c>
      <c r="R4" s="10"/>
      <c r="S4" s="10"/>
      <c r="T4" s="167">
        <v>1</v>
      </c>
    </row>
    <row r="5" spans="2:20" ht="21" x14ac:dyDescent="0.35">
      <c r="D5" s="141"/>
      <c r="E5" s="33"/>
      <c r="F5" s="33"/>
      <c r="G5" s="33"/>
      <c r="H5" s="33"/>
      <c r="I5" s="33"/>
      <c r="J5" s="33"/>
      <c r="K5" t="s">
        <v>44</v>
      </c>
      <c r="Q5" s="116" t="s">
        <v>70</v>
      </c>
      <c r="R5" s="7"/>
      <c r="S5" s="9" t="s">
        <v>2</v>
      </c>
      <c r="T5" s="11" t="s">
        <v>3</v>
      </c>
    </row>
    <row r="6" spans="2:20" ht="15.75" thickBot="1" x14ac:dyDescent="0.3">
      <c r="D6" t="s">
        <v>69</v>
      </c>
      <c r="E6" s="25" t="s">
        <v>2</v>
      </c>
      <c r="F6" s="25" t="s">
        <v>3</v>
      </c>
      <c r="G6" s="33"/>
      <c r="H6" s="33" t="s">
        <v>42</v>
      </c>
      <c r="I6" s="33">
        <f>COUNTA(E10:F10)</f>
        <v>2</v>
      </c>
      <c r="J6" s="33"/>
      <c r="K6">
        <f>I11</f>
        <v>0.69314718055994529</v>
      </c>
      <c r="Q6" s="116"/>
      <c r="R6" s="7"/>
      <c r="S6" s="169">
        <v>0.04</v>
      </c>
      <c r="T6" s="170">
        <f>1-S6</f>
        <v>0.96</v>
      </c>
    </row>
    <row r="7" spans="2:20" x14ac:dyDescent="0.25">
      <c r="B7" s="7"/>
      <c r="D7" s="7"/>
      <c r="E7" s="17"/>
      <c r="F7" s="17"/>
      <c r="G7" s="33"/>
      <c r="H7" s="33"/>
      <c r="I7" s="33"/>
      <c r="J7" s="33"/>
      <c r="P7" s="7"/>
      <c r="Q7" s="116" t="s">
        <v>72</v>
      </c>
      <c r="R7" s="7"/>
      <c r="S7" s="7">
        <v>500</v>
      </c>
      <c r="T7" s="102"/>
    </row>
    <row r="8" spans="2:20" ht="15.75" thickBot="1" x14ac:dyDescent="0.3">
      <c r="B8" s="7"/>
      <c r="E8" s="33"/>
      <c r="F8" s="33"/>
      <c r="G8" s="33"/>
      <c r="H8" s="33"/>
      <c r="I8" s="33"/>
      <c r="J8" s="33"/>
      <c r="Q8" s="121" t="s">
        <v>71</v>
      </c>
      <c r="R8" s="168"/>
      <c r="S8" s="168">
        <v>5000</v>
      </c>
      <c r="T8" s="104"/>
    </row>
    <row r="9" spans="2:20" x14ac:dyDescent="0.25">
      <c r="B9" s="7"/>
      <c r="C9" s="7"/>
      <c r="E9" s="61" t="s">
        <v>12</v>
      </c>
      <c r="F9" s="62"/>
      <c r="G9" s="62" t="s">
        <v>13</v>
      </c>
      <c r="H9" s="63"/>
      <c r="I9" s="61" t="s">
        <v>36</v>
      </c>
      <c r="J9" s="63" t="s">
        <v>35</v>
      </c>
      <c r="K9" s="20"/>
      <c r="L9" s="7"/>
      <c r="M9" s="7"/>
      <c r="N9" s="7"/>
      <c r="O9" s="7"/>
      <c r="P9" s="7"/>
      <c r="Q9" s="20"/>
    </row>
    <row r="10" spans="2:20" ht="15.75" thickBot="1" x14ac:dyDescent="0.3">
      <c r="B10" s="7"/>
      <c r="C10" s="32"/>
      <c r="D10" s="34" t="s">
        <v>34</v>
      </c>
      <c r="E10" s="39" t="s">
        <v>6</v>
      </c>
      <c r="F10" s="40" t="s">
        <v>7</v>
      </c>
      <c r="G10" s="76" t="s">
        <v>6</v>
      </c>
      <c r="H10" s="77" t="s">
        <v>7</v>
      </c>
      <c r="I10" s="42">
        <v>0</v>
      </c>
      <c r="J10" s="43"/>
      <c r="K10" s="7"/>
      <c r="L10" s="7"/>
      <c r="M10" s="7"/>
      <c r="N10" s="7" t="s">
        <v>78</v>
      </c>
      <c r="O10" s="7"/>
      <c r="P10" s="7"/>
      <c r="Q10" s="7"/>
    </row>
    <row r="11" spans="2:20" ht="15.75" thickTop="1" x14ac:dyDescent="0.25">
      <c r="B11" s="7"/>
      <c r="C11" s="7"/>
      <c r="D11" s="25" t="s">
        <v>39</v>
      </c>
      <c r="E11" s="44">
        <v>0</v>
      </c>
      <c r="F11" s="45">
        <v>0</v>
      </c>
      <c r="G11" s="50">
        <f t="shared" ref="G11:H14" si="0">EXP(E11/$T$4)/(EXP($F11/$T$4)+EXP($E11/$T$4))</f>
        <v>0.5</v>
      </c>
      <c r="H11" s="78">
        <f t="shared" si="0"/>
        <v>0.5</v>
      </c>
      <c r="I11" s="81">
        <f t="shared" ref="I11:I30" si="1">$T$4*LN(EXP($F11/$T$4)+EXP($E11/$T$4))</f>
        <v>0.69314718055994529</v>
      </c>
      <c r="J11" s="156">
        <f>(I11-I10)</f>
        <v>0.69314718055994529</v>
      </c>
      <c r="K11" s="7"/>
      <c r="L11" s="7"/>
      <c r="M11" s="7"/>
      <c r="N11" t="str">
        <f>IF(D11="Buyer",J11,"")</f>
        <v/>
      </c>
      <c r="P11" s="7"/>
      <c r="Q11" s="7"/>
    </row>
    <row r="12" spans="2:20" x14ac:dyDescent="0.25">
      <c r="B12" s="7"/>
      <c r="C12" s="7"/>
      <c r="D12" s="25" t="s">
        <v>75</v>
      </c>
      <c r="E12" s="47">
        <f>S7/S8</f>
        <v>0.1</v>
      </c>
      <c r="F12" s="41">
        <v>0</v>
      </c>
      <c r="G12" s="48">
        <f t="shared" si="0"/>
        <v>0.52497918747894001</v>
      </c>
      <c r="H12" s="79">
        <f t="shared" si="0"/>
        <v>0.47502081252105999</v>
      </c>
      <c r="I12" s="82">
        <f t="shared" si="1"/>
        <v>0.74439666007357097</v>
      </c>
      <c r="J12" s="157">
        <f>(I12-I11)</f>
        <v>5.1249479513625684E-2</v>
      </c>
      <c r="K12" s="7"/>
      <c r="L12" s="7" t="s">
        <v>73</v>
      </c>
      <c r="M12" s="7" t="s">
        <v>74</v>
      </c>
      <c r="N12" s="171">
        <f>IF(D12="Buyer",J12,"")</f>
        <v>5.1249479513625684E-2</v>
      </c>
      <c r="P12" s="7"/>
      <c r="Q12" s="7"/>
    </row>
    <row r="13" spans="2:20" x14ac:dyDescent="0.25">
      <c r="B13" s="7"/>
      <c r="C13" s="7">
        <v>1</v>
      </c>
      <c r="D13" s="25" t="s">
        <v>76</v>
      </c>
      <c r="E13" s="47">
        <f>IF(MOD(ROW(A13),2)=1,E12+E11,E12)</f>
        <v>0.1</v>
      </c>
      <c r="F13" s="161">
        <f>IF(MOD(ROW(A13),2)=0,L13,F12)</f>
        <v>0</v>
      </c>
      <c r="G13" s="48">
        <f t="shared" si="0"/>
        <v>0.52497918747894001</v>
      </c>
      <c r="H13" s="79">
        <f t="shared" si="0"/>
        <v>0.47502081252105999</v>
      </c>
      <c r="I13" s="82">
        <f t="shared" si="1"/>
        <v>0.74439666007357097</v>
      </c>
      <c r="J13" s="157">
        <f>(I13-I12)</f>
        <v>0</v>
      </c>
      <c r="K13" s="7"/>
      <c r="L13" s="122">
        <f>$T$4*LN($T$6/$S$6)+E13</f>
        <v>3.2780538303479458</v>
      </c>
      <c r="M13" s="122">
        <f>IF( D13="Seller",((F13-F12)-J13)*$T$6,"")</f>
        <v>0</v>
      </c>
      <c r="N13" t="str">
        <f>IF(D13="Buyer",J13,"")</f>
        <v/>
      </c>
      <c r="P13" s="162"/>
      <c r="Q13" s="7"/>
      <c r="R13" s="164"/>
    </row>
    <row r="14" spans="2:20" x14ac:dyDescent="0.25">
      <c r="B14" s="7"/>
      <c r="C14" s="7"/>
      <c r="D14" s="25" t="s">
        <v>75</v>
      </c>
      <c r="E14" s="47">
        <f>IF(MOD(ROW(A14),2)=1,E13+$E$12,E13)</f>
        <v>0.1</v>
      </c>
      <c r="F14" s="161">
        <f>IF(MOD(ROW(A14),2)=0,L14,F13)</f>
        <v>3.2780538303479458</v>
      </c>
      <c r="G14" s="48">
        <f t="shared" si="0"/>
        <v>3.9999999999999994E-2</v>
      </c>
      <c r="H14" s="79">
        <f t="shared" si="0"/>
        <v>0.96000000000000008</v>
      </c>
      <c r="I14" s="82">
        <f t="shared" si="1"/>
        <v>3.3188758248682011</v>
      </c>
      <c r="J14" s="157">
        <f>(I14-I13)</f>
        <v>2.5744791647946301</v>
      </c>
      <c r="K14" s="7"/>
      <c r="L14" s="122">
        <f>$T$4*LN($T$6/$S$6)+E14</f>
        <v>3.2780538303479458</v>
      </c>
      <c r="M14" s="122" t="str">
        <f t="shared" ref="M14:M29" si="2">IF( D14="Seller",((F14-F13)-J14)*$T$6,"")</f>
        <v/>
      </c>
      <c r="N14">
        <f>IF(D14="Buyer",J14,"")</f>
        <v>2.5744791647946301</v>
      </c>
      <c r="P14" s="7"/>
      <c r="Q14" s="7"/>
    </row>
    <row r="15" spans="2:20" x14ac:dyDescent="0.25">
      <c r="B15" s="7"/>
      <c r="C15" s="7">
        <v>2</v>
      </c>
      <c r="D15" s="25" t="s">
        <v>76</v>
      </c>
      <c r="E15" s="47">
        <f t="shared" ref="E15:E28" si="3">IF(MOD(ROW(A15),2)=1,E14+$E$12,E14)</f>
        <v>0.2</v>
      </c>
      <c r="F15" s="161">
        <f>IF(MOD(ROW(A15),2)=0,L15,F14)</f>
        <v>3.2780538303479458</v>
      </c>
      <c r="G15" s="48">
        <f t="shared" ref="G15:G29" si="4">EXP(E15/$T$4)/(EXP($F15/$T$4)+EXP($E15/$T$4))</f>
        <v>4.4021644850859298E-2</v>
      </c>
      <c r="H15" s="79">
        <f t="shared" ref="H15:H29" si="5">EXP(F15/$T$4)/(EXP($F15/$T$4)+EXP($E15/$T$4))</f>
        <v>0.95597835514914065</v>
      </c>
      <c r="I15" s="82">
        <f t="shared" si="1"/>
        <v>3.3230738375923785</v>
      </c>
      <c r="J15" s="157">
        <f t="shared" ref="J15:J29" si="6">(I15-I14)</f>
        <v>4.1980127241774134E-3</v>
      </c>
      <c r="K15" s="7"/>
      <c r="L15" s="122">
        <f t="shared" ref="L15:L28" si="7">$T$4*LN($T$6/$S$6)+E15</f>
        <v>3.3780538303479459</v>
      </c>
      <c r="M15" s="122">
        <f>IF( D15="Seller",((F15-F14)-J15)*$T$6,"")</f>
        <v>-4.0300922152103165E-3</v>
      </c>
      <c r="N15" t="str">
        <f t="shared" ref="N15:N29" si="8">IF(D15="Buyer",J15,"")</f>
        <v/>
      </c>
      <c r="O15" s="7"/>
      <c r="P15" s="7"/>
      <c r="Q15" s="7"/>
    </row>
    <row r="16" spans="2:20" x14ac:dyDescent="0.25">
      <c r="B16" s="7"/>
      <c r="D16" s="25" t="s">
        <v>75</v>
      </c>
      <c r="E16" s="47">
        <f t="shared" si="3"/>
        <v>0.2</v>
      </c>
      <c r="F16" s="161">
        <f t="shared" ref="F16:F19" si="9">IF(MOD(ROW(A16),2)=0,L16,F15)</f>
        <v>3.3780538303479459</v>
      </c>
      <c r="G16" s="48">
        <f t="shared" si="4"/>
        <v>3.9999999999999987E-2</v>
      </c>
      <c r="H16" s="79">
        <f t="shared" si="5"/>
        <v>0.96</v>
      </c>
      <c r="I16" s="82">
        <f t="shared" si="1"/>
        <v>3.4188758248682012</v>
      </c>
      <c r="J16" s="157">
        <f t="shared" si="6"/>
        <v>9.5801987275822675E-2</v>
      </c>
      <c r="K16" s="7"/>
      <c r="L16" s="122">
        <f t="shared" si="7"/>
        <v>3.3780538303479459</v>
      </c>
      <c r="M16" s="122" t="str">
        <f t="shared" si="2"/>
        <v/>
      </c>
      <c r="N16">
        <f t="shared" si="8"/>
        <v>9.5801987275822675E-2</v>
      </c>
      <c r="O16" s="7"/>
      <c r="P16" s="7"/>
      <c r="Q16" s="7"/>
    </row>
    <row r="17" spans="2:17" x14ac:dyDescent="0.25">
      <c r="B17" s="7"/>
      <c r="C17">
        <v>3</v>
      </c>
      <c r="D17" s="25" t="s">
        <v>76</v>
      </c>
      <c r="E17" s="47">
        <f t="shared" si="3"/>
        <v>0.30000000000000004</v>
      </c>
      <c r="F17" s="161">
        <f t="shared" si="9"/>
        <v>3.3780538303479459</v>
      </c>
      <c r="G17" s="48">
        <f t="shared" si="4"/>
        <v>4.4021644850859298E-2</v>
      </c>
      <c r="H17" s="79">
        <f t="shared" si="5"/>
        <v>0.95597835514914076</v>
      </c>
      <c r="I17" s="82">
        <f t="shared" si="1"/>
        <v>3.4230738375923786</v>
      </c>
      <c r="J17" s="157">
        <f t="shared" si="6"/>
        <v>4.1980127241774134E-3</v>
      </c>
      <c r="K17" s="7"/>
      <c r="L17" s="122">
        <f t="shared" si="7"/>
        <v>3.478053830347946</v>
      </c>
      <c r="M17" s="122">
        <f>IF( D17="Seller",((F17-F16)-J17)*$T$6,"")</f>
        <v>-4.0300922152103165E-3</v>
      </c>
      <c r="N17" t="str">
        <f t="shared" si="8"/>
        <v/>
      </c>
      <c r="O17" s="7"/>
      <c r="P17" s="7"/>
      <c r="Q17" s="7"/>
    </row>
    <row r="18" spans="2:17" x14ac:dyDescent="0.25">
      <c r="B18" s="7"/>
      <c r="C18" s="7"/>
      <c r="D18" s="25" t="s">
        <v>75</v>
      </c>
      <c r="E18" s="47">
        <f t="shared" si="3"/>
        <v>0.30000000000000004</v>
      </c>
      <c r="F18" s="161">
        <f t="shared" si="9"/>
        <v>3.478053830347946</v>
      </c>
      <c r="G18" s="48">
        <f t="shared" si="4"/>
        <v>3.9999999999999987E-2</v>
      </c>
      <c r="H18" s="79">
        <f t="shared" si="5"/>
        <v>0.96</v>
      </c>
      <c r="I18" s="82">
        <f t="shared" si="1"/>
        <v>3.5188758248682013</v>
      </c>
      <c r="J18" s="157">
        <f t="shared" si="6"/>
        <v>9.5801987275822675E-2</v>
      </c>
      <c r="K18" s="7"/>
      <c r="L18" s="122">
        <f t="shared" si="7"/>
        <v>3.478053830347946</v>
      </c>
      <c r="M18" s="122" t="str">
        <f t="shared" si="2"/>
        <v/>
      </c>
      <c r="N18">
        <f t="shared" si="8"/>
        <v>9.5801987275822675E-2</v>
      </c>
      <c r="O18" s="7"/>
      <c r="P18" s="7"/>
      <c r="Q18" s="7"/>
    </row>
    <row r="19" spans="2:17" x14ac:dyDescent="0.25">
      <c r="B19" s="7"/>
      <c r="C19" s="7">
        <v>4</v>
      </c>
      <c r="D19" s="25" t="s">
        <v>76</v>
      </c>
      <c r="E19" s="47">
        <f t="shared" si="3"/>
        <v>0.4</v>
      </c>
      <c r="F19" s="161">
        <f t="shared" si="9"/>
        <v>3.478053830347946</v>
      </c>
      <c r="G19" s="48">
        <f t="shared" si="4"/>
        <v>4.4021644850859291E-2</v>
      </c>
      <c r="H19" s="79">
        <f t="shared" si="5"/>
        <v>0.95597835514914076</v>
      </c>
      <c r="I19" s="82">
        <f t="shared" si="1"/>
        <v>3.5230738375923787</v>
      </c>
      <c r="J19" s="157">
        <f t="shared" si="6"/>
        <v>4.1980127241774134E-3</v>
      </c>
      <c r="K19" s="7"/>
      <c r="L19" s="122">
        <f t="shared" si="7"/>
        <v>3.5780538303479457</v>
      </c>
      <c r="M19" s="122">
        <f>IF( D19="Seller",((F19-F18)-J19)*$T$6,"")</f>
        <v>-4.0300922152103165E-3</v>
      </c>
      <c r="N19" t="str">
        <f t="shared" si="8"/>
        <v/>
      </c>
      <c r="O19" s="7"/>
      <c r="P19" s="7"/>
      <c r="Q19" s="7"/>
    </row>
    <row r="20" spans="2:17" x14ac:dyDescent="0.25">
      <c r="B20" s="7"/>
      <c r="C20" s="7"/>
      <c r="D20" s="25" t="s">
        <v>75</v>
      </c>
      <c r="E20" s="47">
        <f t="shared" si="3"/>
        <v>0.4</v>
      </c>
      <c r="F20" s="161">
        <f t="shared" ref="F20:F28" si="10">IF(MOD(ROW(A20),2)=0,L20,F19)</f>
        <v>3.5780538303479457</v>
      </c>
      <c r="G20" s="48">
        <f t="shared" si="4"/>
        <v>0.04</v>
      </c>
      <c r="H20" s="79">
        <f t="shared" si="5"/>
        <v>0.96</v>
      </c>
      <c r="I20" s="82">
        <f t="shared" si="1"/>
        <v>3.6188758248682009</v>
      </c>
      <c r="J20" s="157">
        <f t="shared" si="6"/>
        <v>9.5801987275822231E-2</v>
      </c>
      <c r="K20" s="7"/>
      <c r="L20" s="122">
        <f t="shared" si="7"/>
        <v>3.5780538303479457</v>
      </c>
      <c r="M20" s="122" t="str">
        <f t="shared" si="2"/>
        <v/>
      </c>
      <c r="N20">
        <f t="shared" si="8"/>
        <v>9.5801987275822231E-2</v>
      </c>
      <c r="O20" s="7"/>
      <c r="P20" s="7"/>
      <c r="Q20" s="7"/>
    </row>
    <row r="21" spans="2:17" x14ac:dyDescent="0.25">
      <c r="B21" s="7"/>
      <c r="C21" s="7">
        <v>5</v>
      </c>
      <c r="D21" s="25" t="s">
        <v>76</v>
      </c>
      <c r="E21" s="47">
        <f t="shared" si="3"/>
        <v>0.5</v>
      </c>
      <c r="F21" s="161">
        <f t="shared" si="10"/>
        <v>3.5780538303479457</v>
      </c>
      <c r="G21" s="48">
        <f t="shared" si="4"/>
        <v>4.4021644850859305E-2</v>
      </c>
      <c r="H21" s="79">
        <f t="shared" si="5"/>
        <v>0.95597835514914065</v>
      </c>
      <c r="I21" s="82">
        <f t="shared" si="1"/>
        <v>3.6230738375923783</v>
      </c>
      <c r="J21" s="157">
        <f>(I21-I20)</f>
        <v>4.1980127241774134E-3</v>
      </c>
      <c r="K21" s="7"/>
      <c r="L21" s="122">
        <f>$T$4*LN($T$6/$S$6)+E21</f>
        <v>3.6780538303479458</v>
      </c>
      <c r="M21" s="122">
        <f t="shared" si="2"/>
        <v>-4.0300922152103165E-3</v>
      </c>
      <c r="N21" t="str">
        <f t="shared" si="8"/>
        <v/>
      </c>
      <c r="O21" s="7"/>
      <c r="P21" s="7"/>
      <c r="Q21" s="7"/>
    </row>
    <row r="22" spans="2:17" x14ac:dyDescent="0.25">
      <c r="B22" s="7"/>
      <c r="C22" s="7"/>
      <c r="D22" s="25" t="s">
        <v>75</v>
      </c>
      <c r="E22" s="47">
        <f t="shared" si="3"/>
        <v>0.5</v>
      </c>
      <c r="F22" s="161">
        <f t="shared" si="10"/>
        <v>3.6780538303479458</v>
      </c>
      <c r="G22" s="48">
        <f t="shared" si="4"/>
        <v>3.9999999999999994E-2</v>
      </c>
      <c r="H22" s="79">
        <f t="shared" si="5"/>
        <v>0.96</v>
      </c>
      <c r="I22" s="82">
        <f t="shared" si="1"/>
        <v>3.718875824868201</v>
      </c>
      <c r="J22" s="157">
        <f t="shared" si="6"/>
        <v>9.5801987275822675E-2</v>
      </c>
      <c r="K22" s="7"/>
      <c r="L22" s="122">
        <f t="shared" si="7"/>
        <v>3.6780538303479458</v>
      </c>
      <c r="M22" s="122" t="str">
        <f t="shared" si="2"/>
        <v/>
      </c>
      <c r="N22">
        <f>IF(D22="Buyer",J22,"")</f>
        <v>9.5801987275822675E-2</v>
      </c>
      <c r="O22" s="7"/>
      <c r="P22" s="7"/>
      <c r="Q22" s="7"/>
    </row>
    <row r="23" spans="2:17" x14ac:dyDescent="0.25">
      <c r="B23" s="7"/>
      <c r="C23">
        <v>6</v>
      </c>
      <c r="D23" s="25" t="s">
        <v>76</v>
      </c>
      <c r="E23" s="47">
        <f t="shared" si="3"/>
        <v>0.6</v>
      </c>
      <c r="F23" s="161">
        <f t="shared" si="10"/>
        <v>3.6780538303479458</v>
      </c>
      <c r="G23" s="48">
        <f t="shared" si="4"/>
        <v>4.4021644850859298E-2</v>
      </c>
      <c r="H23" s="79">
        <f t="shared" si="5"/>
        <v>0.95597835514914076</v>
      </c>
      <c r="I23" s="82">
        <f t="shared" si="1"/>
        <v>3.7230738375923784</v>
      </c>
      <c r="J23" s="157">
        <f t="shared" si="6"/>
        <v>4.1980127241774134E-3</v>
      </c>
      <c r="K23" s="7"/>
      <c r="L23" s="122">
        <f t="shared" si="7"/>
        <v>3.7780538303479458</v>
      </c>
      <c r="M23" s="122">
        <f t="shared" si="2"/>
        <v>-4.0300922152103165E-3</v>
      </c>
      <c r="N23" t="str">
        <f>IF(D23="Buyer",J23,"")</f>
        <v/>
      </c>
      <c r="O23" s="7"/>
      <c r="P23" s="7"/>
      <c r="Q23" s="7"/>
    </row>
    <row r="24" spans="2:17" x14ac:dyDescent="0.25">
      <c r="B24" s="7"/>
      <c r="C24" s="7"/>
      <c r="D24" s="25" t="s">
        <v>75</v>
      </c>
      <c r="E24" s="47">
        <f t="shared" si="3"/>
        <v>0.6</v>
      </c>
      <c r="F24" s="161">
        <f t="shared" si="10"/>
        <v>3.7780538303479458</v>
      </c>
      <c r="G24" s="48">
        <f t="shared" si="4"/>
        <v>3.9999999999999994E-2</v>
      </c>
      <c r="H24" s="79">
        <f t="shared" si="5"/>
        <v>0.96000000000000008</v>
      </c>
      <c r="I24" s="82">
        <f t="shared" si="1"/>
        <v>3.8188758248682011</v>
      </c>
      <c r="J24" s="157">
        <f t="shared" si="6"/>
        <v>9.5801987275822675E-2</v>
      </c>
      <c r="K24" s="7"/>
      <c r="L24" s="122">
        <f t="shared" si="7"/>
        <v>3.7780538303479458</v>
      </c>
      <c r="M24" s="122" t="str">
        <f t="shared" si="2"/>
        <v/>
      </c>
      <c r="N24">
        <f t="shared" si="8"/>
        <v>9.5801987275822675E-2</v>
      </c>
      <c r="O24" s="7"/>
      <c r="P24" s="7"/>
      <c r="Q24" s="7"/>
    </row>
    <row r="25" spans="2:17" x14ac:dyDescent="0.25">
      <c r="B25" s="7"/>
      <c r="C25" s="7">
        <v>7</v>
      </c>
      <c r="D25" s="25" t="s">
        <v>76</v>
      </c>
      <c r="E25" s="47">
        <f t="shared" si="3"/>
        <v>0.7</v>
      </c>
      <c r="F25" s="161">
        <f t="shared" si="10"/>
        <v>3.7780538303479458</v>
      </c>
      <c r="G25" s="48">
        <f t="shared" si="4"/>
        <v>4.4021644850859298E-2</v>
      </c>
      <c r="H25" s="79">
        <f t="shared" si="5"/>
        <v>0.95597835514914076</v>
      </c>
      <c r="I25" s="82">
        <f t="shared" si="1"/>
        <v>3.8230738375923785</v>
      </c>
      <c r="J25" s="157">
        <f>(I25-I24)</f>
        <v>4.1980127241774134E-3</v>
      </c>
      <c r="K25" s="7"/>
      <c r="L25" s="122">
        <f t="shared" si="7"/>
        <v>3.8780538303479455</v>
      </c>
      <c r="M25" s="122">
        <f t="shared" si="2"/>
        <v>-4.0300922152103165E-3</v>
      </c>
      <c r="N25" t="str">
        <f t="shared" si="8"/>
        <v/>
      </c>
      <c r="O25" s="7"/>
      <c r="P25" s="7"/>
      <c r="Q25" s="7"/>
    </row>
    <row r="26" spans="2:17" x14ac:dyDescent="0.25">
      <c r="B26" s="7"/>
      <c r="C26" s="7"/>
      <c r="D26" s="25" t="s">
        <v>75</v>
      </c>
      <c r="E26" s="47">
        <f t="shared" si="3"/>
        <v>0.7</v>
      </c>
      <c r="F26" s="161">
        <f t="shared" si="10"/>
        <v>3.8780538303479455</v>
      </c>
      <c r="G26" s="48">
        <f t="shared" si="4"/>
        <v>4.0000000000000008E-2</v>
      </c>
      <c r="H26" s="79">
        <f t="shared" si="5"/>
        <v>0.96000000000000008</v>
      </c>
      <c r="I26" s="82">
        <f t="shared" si="1"/>
        <v>3.9188758248682007</v>
      </c>
      <c r="J26" s="157">
        <f t="shared" si="6"/>
        <v>9.5801987275822231E-2</v>
      </c>
      <c r="K26" s="7"/>
      <c r="L26" s="122">
        <f t="shared" si="7"/>
        <v>3.8780538303479455</v>
      </c>
      <c r="M26" s="122" t="str">
        <f t="shared" si="2"/>
        <v/>
      </c>
      <c r="N26">
        <f t="shared" si="8"/>
        <v>9.5801987275822231E-2</v>
      </c>
      <c r="O26" s="7"/>
      <c r="P26" s="7"/>
      <c r="Q26" s="7"/>
    </row>
    <row r="27" spans="2:17" x14ac:dyDescent="0.25">
      <c r="B27" s="7"/>
      <c r="C27" s="7">
        <v>8</v>
      </c>
      <c r="D27" s="25" t="s">
        <v>76</v>
      </c>
      <c r="E27" s="47">
        <f t="shared" si="3"/>
        <v>0.79999999999999993</v>
      </c>
      <c r="F27" s="161">
        <f t="shared" si="10"/>
        <v>3.8780538303479455</v>
      </c>
      <c r="G27" s="48">
        <f t="shared" si="4"/>
        <v>4.4021644850859305E-2</v>
      </c>
      <c r="H27" s="79">
        <f t="shared" si="5"/>
        <v>0.95597835514914065</v>
      </c>
      <c r="I27" s="82">
        <f t="shared" si="1"/>
        <v>3.9230738375923782</v>
      </c>
      <c r="J27" s="157">
        <f t="shared" si="6"/>
        <v>4.1980127241774134E-3</v>
      </c>
      <c r="K27" s="7"/>
      <c r="L27" s="122">
        <f t="shared" si="7"/>
        <v>3.9780538303479456</v>
      </c>
      <c r="M27" s="122">
        <f>IF( D27="Seller",((F27-F26)-J27)*$T$6,"")</f>
        <v>-4.0300922152103165E-3</v>
      </c>
      <c r="N27" t="str">
        <f t="shared" si="8"/>
        <v/>
      </c>
      <c r="O27" s="7"/>
      <c r="P27" s="7"/>
      <c r="Q27" s="7"/>
    </row>
    <row r="28" spans="2:17" x14ac:dyDescent="0.25">
      <c r="B28" s="7"/>
      <c r="D28" s="21" t="s">
        <v>77</v>
      </c>
      <c r="E28" s="47">
        <f t="shared" si="3"/>
        <v>0.79999999999999993</v>
      </c>
      <c r="F28" s="161">
        <f t="shared" si="10"/>
        <v>3.9780538303479456</v>
      </c>
      <c r="G28" s="48">
        <f t="shared" si="4"/>
        <v>0.04</v>
      </c>
      <c r="H28" s="79">
        <f t="shared" si="5"/>
        <v>0.96000000000000008</v>
      </c>
      <c r="I28" s="82">
        <f t="shared" si="1"/>
        <v>4.0188758248682008</v>
      </c>
      <c r="J28" s="157">
        <f t="shared" si="6"/>
        <v>9.5801987275822675E-2</v>
      </c>
      <c r="K28" s="7"/>
      <c r="L28" s="122">
        <f t="shared" si="7"/>
        <v>3.9780538303479456</v>
      </c>
      <c r="M28" s="122" t="str">
        <f t="shared" si="2"/>
        <v/>
      </c>
      <c r="N28" t="str">
        <f t="shared" si="8"/>
        <v/>
      </c>
      <c r="O28" s="7"/>
      <c r="P28" s="7"/>
      <c r="Q28" s="7"/>
    </row>
    <row r="29" spans="2:17" ht="15.75" thickBot="1" x14ac:dyDescent="0.3">
      <c r="B29" s="7"/>
      <c r="C29" s="7"/>
      <c r="D29" s="25" t="s">
        <v>38</v>
      </c>
      <c r="E29" s="47">
        <v>0</v>
      </c>
      <c r="F29" s="163">
        <f t="shared" ref="F29" si="11">F28</f>
        <v>3.9780538303479456</v>
      </c>
      <c r="G29" s="48">
        <f t="shared" si="4"/>
        <v>1.8377967132622502E-2</v>
      </c>
      <c r="H29" s="79">
        <f t="shared" si="5"/>
        <v>0.98162203286737748</v>
      </c>
      <c r="I29" s="114">
        <f t="shared" si="1"/>
        <v>3.9966027703138742</v>
      </c>
      <c r="J29" s="158">
        <f t="shared" si="6"/>
        <v>-2.2273054554326599E-2</v>
      </c>
      <c r="K29" s="7"/>
      <c r="L29" s="122">
        <f>$T$4*LN($T$6/$S$6)+E29</f>
        <v>3.1780538303479458</v>
      </c>
      <c r="M29" s="122" t="str">
        <f t="shared" si="2"/>
        <v/>
      </c>
      <c r="N29" t="str">
        <f t="shared" si="8"/>
        <v/>
      </c>
      <c r="O29" s="7"/>
      <c r="P29" s="7"/>
      <c r="Q29" s="7"/>
    </row>
    <row r="30" spans="2:17" ht="16.5" thickTop="1" thickBot="1" x14ac:dyDescent="0.3">
      <c r="B30" s="7"/>
      <c r="C30" s="7"/>
      <c r="D30" s="25" t="s">
        <v>0</v>
      </c>
      <c r="E30" s="51">
        <f>E29</f>
        <v>0</v>
      </c>
      <c r="F30" s="165">
        <f>F29</f>
        <v>3.9780538303479456</v>
      </c>
      <c r="G30" s="52">
        <f>EXP(E30)/(EXP($F30)+EXP($E30))</f>
        <v>1.8377967132622502E-2</v>
      </c>
      <c r="H30" s="80">
        <f>EXP(F30)/(EXP($F30)+EXP($E30))</f>
        <v>0.98162203286737748</v>
      </c>
      <c r="I30" s="83">
        <f t="shared" si="1"/>
        <v>3.9966027703138742</v>
      </c>
      <c r="J30" s="159">
        <f>SUM(J11:J29)</f>
        <v>3.9966027703138742</v>
      </c>
      <c r="K30" s="8" t="s">
        <v>43</v>
      </c>
      <c r="L30" s="7"/>
      <c r="M30" s="7"/>
      <c r="N30" s="7"/>
      <c r="O30" s="7"/>
      <c r="P30" s="7"/>
      <c r="Q30" s="8"/>
    </row>
    <row r="31" spans="2:17" ht="15.75" thickBot="1" x14ac:dyDescent="0.3">
      <c r="B31" s="7"/>
      <c r="E31" s="33"/>
      <c r="F31" s="33"/>
      <c r="G31" s="33"/>
      <c r="H31" s="33"/>
      <c r="I31" s="113">
        <v>0</v>
      </c>
      <c r="J31" s="160">
        <f>J30-(SUMPRODUCT(G30:H30,E30:F30))</f>
        <v>9.1657482511866117E-2</v>
      </c>
      <c r="K31" t="s">
        <v>57</v>
      </c>
      <c r="L31" s="7"/>
      <c r="M31" s="7"/>
      <c r="N31" s="7"/>
      <c r="O31" s="7"/>
      <c r="P31" s="7"/>
    </row>
    <row r="33" spans="8:15" x14ac:dyDescent="0.25">
      <c r="M33" t="s">
        <v>80</v>
      </c>
      <c r="N33" t="s">
        <v>81</v>
      </c>
      <c r="O33" t="s">
        <v>82</v>
      </c>
    </row>
    <row r="34" spans="8:15" x14ac:dyDescent="0.25">
      <c r="M34">
        <f>M13+(M27*($S$8-1))</f>
        <v>-20.146430983836371</v>
      </c>
      <c r="N34">
        <f>N12+(N26*($S$8-1))</f>
        <v>478.96538387134893</v>
      </c>
      <c r="O34">
        <f>K6</f>
        <v>0.69314718055994529</v>
      </c>
    </row>
    <row r="36" spans="8:15" x14ac:dyDescent="0.25">
      <c r="H36" t="s">
        <v>85</v>
      </c>
      <c r="J36">
        <f>(J25*S8)+J13</f>
        <v>20.990063620887067</v>
      </c>
      <c r="M36" t="s">
        <v>79</v>
      </c>
    </row>
    <row r="37" spans="8:15" x14ac:dyDescent="0.25">
      <c r="H37" t="s">
        <v>88</v>
      </c>
      <c r="J37" s="173">
        <f>M34/J36</f>
        <v>-0.95980799999999988</v>
      </c>
    </row>
    <row r="38" spans="8:15" x14ac:dyDescent="0.25">
      <c r="H38" t="s">
        <v>89</v>
      </c>
      <c r="M38" t="s">
        <v>84</v>
      </c>
    </row>
    <row r="39" spans="8:15" x14ac:dyDescent="0.25">
      <c r="N39">
        <f>S6*S7</f>
        <v>20</v>
      </c>
    </row>
    <row r="40" spans="8:15" x14ac:dyDescent="0.25">
      <c r="H40" t="s">
        <v>90</v>
      </c>
    </row>
    <row r="41" spans="8:15" x14ac:dyDescent="0.25">
      <c r="H41" t="s">
        <v>91</v>
      </c>
    </row>
    <row r="49" spans="3:20" x14ac:dyDescent="0.25">
      <c r="D49" t="s">
        <v>67</v>
      </c>
    </row>
    <row r="50" spans="3:20" ht="15.75" thickBot="1" x14ac:dyDescent="0.3">
      <c r="D50" t="s">
        <v>68</v>
      </c>
    </row>
    <row r="51" spans="3:20" ht="15.75" thickBot="1" x14ac:dyDescent="0.3">
      <c r="Q51" s="166" t="s">
        <v>5</v>
      </c>
      <c r="R51" s="10"/>
      <c r="S51" s="10"/>
      <c r="T51" s="167">
        <v>1</v>
      </c>
    </row>
    <row r="52" spans="3:20" ht="21" x14ac:dyDescent="0.35">
      <c r="D52" s="141"/>
      <c r="E52" s="33"/>
      <c r="F52" s="33"/>
      <c r="G52" s="33"/>
      <c r="H52" s="33"/>
      <c r="I52" s="33"/>
      <c r="J52" s="33"/>
      <c r="K52" t="s">
        <v>44</v>
      </c>
      <c r="Q52" s="116" t="s">
        <v>70</v>
      </c>
      <c r="R52" s="7"/>
      <c r="S52" s="9" t="s">
        <v>2</v>
      </c>
      <c r="T52" s="11" t="s">
        <v>3</v>
      </c>
    </row>
    <row r="53" spans="3:20" ht="15.75" thickBot="1" x14ac:dyDescent="0.3">
      <c r="D53" t="s">
        <v>69</v>
      </c>
      <c r="E53" s="25" t="s">
        <v>2</v>
      </c>
      <c r="F53" s="25" t="s">
        <v>3</v>
      </c>
      <c r="G53" s="33"/>
      <c r="H53" s="33" t="s">
        <v>42</v>
      </c>
      <c r="I53" s="33">
        <f>COUNTA(E57:F57)</f>
        <v>2</v>
      </c>
      <c r="J53" s="33"/>
      <c r="K53">
        <f>I58</f>
        <v>0.69314718055994529</v>
      </c>
      <c r="Q53" s="116"/>
      <c r="R53" s="7"/>
      <c r="S53" s="169">
        <v>0.04</v>
      </c>
      <c r="T53" s="170">
        <f>1-S53</f>
        <v>0.96</v>
      </c>
    </row>
    <row r="54" spans="3:20" x14ac:dyDescent="0.25">
      <c r="D54" s="7"/>
      <c r="E54" s="17"/>
      <c r="F54" s="17"/>
      <c r="G54" s="33"/>
      <c r="H54" s="33"/>
      <c r="I54" s="33"/>
      <c r="J54" s="33"/>
      <c r="P54" s="7"/>
      <c r="Q54" s="116" t="s">
        <v>72</v>
      </c>
      <c r="R54" s="7"/>
      <c r="S54" s="7">
        <v>500</v>
      </c>
      <c r="T54" s="102"/>
    </row>
    <row r="55" spans="3:20" ht="15.75" thickBot="1" x14ac:dyDescent="0.3">
      <c r="E55" s="33"/>
      <c r="F55" s="33"/>
      <c r="G55" s="33"/>
      <c r="H55" s="33"/>
      <c r="I55" s="33"/>
      <c r="J55" s="33"/>
      <c r="Q55" s="121" t="s">
        <v>71</v>
      </c>
      <c r="R55" s="168"/>
      <c r="S55" s="168">
        <v>5000</v>
      </c>
      <c r="T55" s="104"/>
    </row>
    <row r="56" spans="3:20" x14ac:dyDescent="0.25">
      <c r="E56" s="61" t="s">
        <v>12</v>
      </c>
      <c r="F56" s="62"/>
      <c r="G56" s="62" t="s">
        <v>13</v>
      </c>
      <c r="H56" s="63"/>
      <c r="I56" s="61" t="s">
        <v>36</v>
      </c>
      <c r="J56" s="63" t="s">
        <v>35</v>
      </c>
      <c r="K56" s="20"/>
      <c r="L56" s="7"/>
      <c r="M56" s="7"/>
      <c r="N56" s="7"/>
      <c r="O56" s="7"/>
      <c r="P56" s="7"/>
      <c r="Q56" s="20"/>
    </row>
    <row r="57" spans="3:20" ht="15.75" thickBot="1" x14ac:dyDescent="0.3">
      <c r="D57" s="34" t="s">
        <v>34</v>
      </c>
      <c r="E57" s="39" t="s">
        <v>6</v>
      </c>
      <c r="F57" s="40" t="s">
        <v>7</v>
      </c>
      <c r="G57" s="76" t="s">
        <v>6</v>
      </c>
      <c r="H57" s="77" t="s">
        <v>7</v>
      </c>
      <c r="I57" s="42">
        <v>0</v>
      </c>
      <c r="J57" s="43"/>
      <c r="K57" s="7"/>
      <c r="L57" s="7"/>
      <c r="M57" s="7"/>
      <c r="N57" s="7" t="s">
        <v>78</v>
      </c>
      <c r="O57" s="7"/>
      <c r="P57" s="7"/>
      <c r="Q57" s="172"/>
    </row>
    <row r="58" spans="3:20" ht="15.75" thickTop="1" x14ac:dyDescent="0.25">
      <c r="D58" s="25" t="s">
        <v>39</v>
      </c>
      <c r="E58" s="44">
        <v>0</v>
      </c>
      <c r="F58" s="45">
        <v>0</v>
      </c>
      <c r="G58" s="50">
        <f t="shared" ref="G58:H61" si="12">EXP(E58/$T$4)/(EXP($F58/$T$4)+EXP($E58/$T$4))</f>
        <v>0.5</v>
      </c>
      <c r="H58" s="78">
        <f t="shared" si="12"/>
        <v>0.5</v>
      </c>
      <c r="I58" s="81">
        <f t="shared" ref="I58:I77" si="13">$T$4*LN(EXP($F58/$T$4)+EXP($E58/$T$4))</f>
        <v>0.69314718055994529</v>
      </c>
      <c r="J58" s="156">
        <f>(I58-I57)</f>
        <v>0.69314718055994529</v>
      </c>
      <c r="K58" s="7"/>
      <c r="L58" s="7"/>
      <c r="M58" s="7"/>
      <c r="N58" t="str">
        <f>IF(D58="Buyer",J58,"")</f>
        <v/>
      </c>
      <c r="P58" s="7"/>
      <c r="Q58" s="7"/>
    </row>
    <row r="59" spans="3:20" x14ac:dyDescent="0.25">
      <c r="D59" s="25" t="s">
        <v>75</v>
      </c>
      <c r="E59" s="47">
        <v>500</v>
      </c>
      <c r="F59" s="41">
        <v>503.18</v>
      </c>
      <c r="G59" s="48">
        <f t="shared" si="12"/>
        <v>3.992533395281353E-2</v>
      </c>
      <c r="H59" s="79">
        <f t="shared" si="12"/>
        <v>0.96007466604718639</v>
      </c>
      <c r="I59" s="82">
        <f t="shared" si="13"/>
        <v>503.22074422041226</v>
      </c>
      <c r="J59" s="157">
        <f>(I59-I58)</f>
        <v>502.52759703985231</v>
      </c>
      <c r="K59" s="7"/>
      <c r="L59" s="7" t="s">
        <v>73</v>
      </c>
      <c r="M59" s="7" t="s">
        <v>74</v>
      </c>
      <c r="N59" s="171">
        <f>IF(D59="Buyer",J59,"")</f>
        <v>502.52759703985231</v>
      </c>
      <c r="P59" s="7"/>
      <c r="Q59" s="7"/>
    </row>
    <row r="60" spans="3:20" x14ac:dyDescent="0.25">
      <c r="D60" s="25" t="s">
        <v>76</v>
      </c>
      <c r="E60" s="47">
        <f>IF(MOD(ROW(A60),2)=1,E59+E58,E59)</f>
        <v>500</v>
      </c>
      <c r="F60" s="41">
        <v>503.18</v>
      </c>
      <c r="G60" s="48">
        <f t="shared" si="12"/>
        <v>3.992533395281353E-2</v>
      </c>
      <c r="H60" s="79">
        <f t="shared" si="12"/>
        <v>0.96007466604718639</v>
      </c>
      <c r="I60" s="82">
        <f t="shared" si="13"/>
        <v>503.22074422041226</v>
      </c>
      <c r="J60" s="157">
        <f>(I60-I59)</f>
        <v>0</v>
      </c>
      <c r="K60" s="7"/>
      <c r="L60" s="122">
        <f>$T$4*LN($T$6/$S$6)+E60</f>
        <v>503.17805383034795</v>
      </c>
      <c r="M60" s="122">
        <f>IF( D60="Seller",((F60-F59)-J60)*$T$6,"")</f>
        <v>0</v>
      </c>
      <c r="N60" t="str">
        <f>IF(D60="Buyer",J60,"")</f>
        <v/>
      </c>
      <c r="P60" s="162"/>
      <c r="Q60" s="7" t="s">
        <v>87</v>
      </c>
      <c r="R60" s="164"/>
    </row>
    <row r="61" spans="3:20" x14ac:dyDescent="0.25">
      <c r="C61" t="s">
        <v>86</v>
      </c>
      <c r="D61" s="25" t="s">
        <v>75</v>
      </c>
      <c r="E61" s="47">
        <v>510</v>
      </c>
      <c r="F61" s="161">
        <f>F60</f>
        <v>503.18</v>
      </c>
      <c r="G61" s="48">
        <f t="shared" si="12"/>
        <v>0.99890946963253902</v>
      </c>
      <c r="H61" s="79">
        <f t="shared" si="12"/>
        <v>1.0905303674609804E-3</v>
      </c>
      <c r="I61" s="82">
        <f t="shared" si="13"/>
        <v>510.00109112542839</v>
      </c>
      <c r="J61" s="157">
        <f t="shared" ref="J61:J76" si="14">(I61-I60)</f>
        <v>6.7803469050161311</v>
      </c>
      <c r="K61" s="7"/>
      <c r="L61" s="122">
        <f>$T$4*LN($T$6/$S$6)+E61</f>
        <v>513.17805383034795</v>
      </c>
      <c r="M61" s="122" t="str">
        <f t="shared" ref="M61" si="15">IF( D61="Seller",((F61-F60)-J61)*$T$6,"")</f>
        <v/>
      </c>
      <c r="N61">
        <f>IF(D61="Buyer",J61,"")</f>
        <v>6.7803469050161311</v>
      </c>
      <c r="P61" s="7"/>
      <c r="Q61" s="7"/>
    </row>
    <row r="62" spans="3:20" x14ac:dyDescent="0.25">
      <c r="D62" s="25" t="s">
        <v>76</v>
      </c>
      <c r="E62" s="47">
        <v>510</v>
      </c>
      <c r="F62" s="161">
        <v>0</v>
      </c>
      <c r="G62" s="48">
        <f t="shared" ref="G62:G76" si="16">EXP(E62/$T$4)/(EXP($F62/$T$4)+EXP($E62/$T$4))</f>
        <v>1</v>
      </c>
      <c r="H62" s="79">
        <f t="shared" ref="H62:H76" si="17">EXP(F62/$T$4)/(EXP($F62/$T$4)+EXP($E62/$T$4))</f>
        <v>3.2345526845351109E-222</v>
      </c>
      <c r="I62" s="82">
        <f t="shared" si="13"/>
        <v>510</v>
      </c>
      <c r="J62" s="157">
        <f>(I62-I61)</f>
        <v>-1.0911254283882954E-3</v>
      </c>
      <c r="K62" s="7"/>
      <c r="L62" s="122">
        <f t="shared" ref="L62:L75" si="18">$T$4*LN($T$6/$S$6)+E62</f>
        <v>513.17805383034795</v>
      </c>
      <c r="M62" s="122">
        <f>IF( D62="Seller",((F62-F61)-J62)*$T$6,"")</f>
        <v>-483.05175251958872</v>
      </c>
      <c r="N62" t="str">
        <f t="shared" ref="N62:N68" si="19">IF(D62="Buyer",J62,"")</f>
        <v/>
      </c>
      <c r="O62" s="7"/>
      <c r="P62" s="7"/>
      <c r="Q62" s="7" t="s">
        <v>96</v>
      </c>
    </row>
    <row r="63" spans="3:20" x14ac:dyDescent="0.25">
      <c r="D63" s="25" t="s">
        <v>75</v>
      </c>
      <c r="E63" s="47"/>
      <c r="F63" s="161"/>
      <c r="G63" s="48">
        <f t="shared" si="16"/>
        <v>0.5</v>
      </c>
      <c r="H63" s="79">
        <f t="shared" si="17"/>
        <v>0.5</v>
      </c>
      <c r="I63" s="82">
        <f t="shared" si="13"/>
        <v>0.69314718055994529</v>
      </c>
      <c r="J63" s="157">
        <f t="shared" si="14"/>
        <v>-509.30685281944005</v>
      </c>
      <c r="K63" s="7"/>
      <c r="L63" s="122">
        <f t="shared" si="18"/>
        <v>3.1780538303479458</v>
      </c>
      <c r="M63" s="122" t="str">
        <f t="shared" ref="M63" si="20">IF( D63="Seller",((F63-F62)-J63)*$T$6,"")</f>
        <v/>
      </c>
      <c r="N63">
        <f t="shared" si="19"/>
        <v>-509.30685281944005</v>
      </c>
      <c r="O63" s="7"/>
      <c r="P63" s="7"/>
      <c r="Q63" s="7"/>
    </row>
    <row r="64" spans="3:20" x14ac:dyDescent="0.25">
      <c r="D64" s="25" t="s">
        <v>76</v>
      </c>
      <c r="E64" s="47"/>
      <c r="F64" s="161"/>
      <c r="G64" s="48">
        <f t="shared" si="16"/>
        <v>0.5</v>
      </c>
      <c r="H64" s="79">
        <f t="shared" si="17"/>
        <v>0.5</v>
      </c>
      <c r="I64" s="82">
        <f t="shared" si="13"/>
        <v>0.69314718055994529</v>
      </c>
      <c r="J64" s="157">
        <f t="shared" si="14"/>
        <v>0</v>
      </c>
      <c r="K64" s="7"/>
      <c r="L64" s="122">
        <f t="shared" si="18"/>
        <v>3.1780538303479458</v>
      </c>
      <c r="M64" s="122">
        <f>IF( D64="Seller",((F64-F63)-J64)*$T$6,"")</f>
        <v>0</v>
      </c>
      <c r="N64" t="str">
        <f t="shared" si="19"/>
        <v/>
      </c>
      <c r="O64" s="7"/>
      <c r="P64" s="7"/>
      <c r="Q64" s="7" t="s">
        <v>94</v>
      </c>
    </row>
    <row r="65" spans="4:17" x14ac:dyDescent="0.25">
      <c r="D65" s="25" t="s">
        <v>75</v>
      </c>
      <c r="E65" s="47"/>
      <c r="F65" s="161"/>
      <c r="G65" s="48">
        <f t="shared" si="16"/>
        <v>0.5</v>
      </c>
      <c r="H65" s="79">
        <f t="shared" si="17"/>
        <v>0.5</v>
      </c>
      <c r="I65" s="82">
        <f t="shared" si="13"/>
        <v>0.69314718055994529</v>
      </c>
      <c r="J65" s="157">
        <f t="shared" si="14"/>
        <v>0</v>
      </c>
      <c r="K65" s="7"/>
      <c r="L65" s="122">
        <f t="shared" si="18"/>
        <v>3.1780538303479458</v>
      </c>
      <c r="M65" s="122" t="str">
        <f t="shared" ref="M65" si="21">IF( D65="Seller",((F65-F64)-J65)*$T$6,"")</f>
        <v/>
      </c>
      <c r="N65">
        <f t="shared" si="19"/>
        <v>0</v>
      </c>
      <c r="O65" s="7"/>
      <c r="P65" s="7"/>
      <c r="Q65" s="8" t="s">
        <v>95</v>
      </c>
    </row>
    <row r="66" spans="4:17" x14ac:dyDescent="0.25">
      <c r="D66" s="25" t="s">
        <v>76</v>
      </c>
      <c r="E66" s="47"/>
      <c r="F66" s="161"/>
      <c r="G66" s="48">
        <f t="shared" si="16"/>
        <v>0.5</v>
      </c>
      <c r="H66" s="79">
        <f t="shared" si="17"/>
        <v>0.5</v>
      </c>
      <c r="I66" s="82">
        <f t="shared" si="13"/>
        <v>0.69314718055994529</v>
      </c>
      <c r="J66" s="157">
        <f t="shared" si="14"/>
        <v>0</v>
      </c>
      <c r="K66" s="7"/>
      <c r="L66" s="122">
        <f t="shared" si="18"/>
        <v>3.1780538303479458</v>
      </c>
      <c r="M66" s="122">
        <f>IF( D66="Seller",((F66-F65)-J66)*$T$6,"")</f>
        <v>0</v>
      </c>
      <c r="N66" t="str">
        <f t="shared" si="19"/>
        <v/>
      </c>
      <c r="O66" s="7"/>
      <c r="P66" s="7"/>
      <c r="Q66" s="8" t="s">
        <v>92</v>
      </c>
    </row>
    <row r="67" spans="4:17" x14ac:dyDescent="0.25">
      <c r="D67" s="25" t="s">
        <v>75</v>
      </c>
      <c r="E67" s="47"/>
      <c r="F67" s="161"/>
      <c r="G67" s="48">
        <f t="shared" si="16"/>
        <v>0.5</v>
      </c>
      <c r="H67" s="79">
        <f t="shared" si="17"/>
        <v>0.5</v>
      </c>
      <c r="I67" s="82">
        <f t="shared" si="13"/>
        <v>0.69314718055994529</v>
      </c>
      <c r="J67" s="157">
        <f t="shared" si="14"/>
        <v>0</v>
      </c>
      <c r="K67" s="7"/>
      <c r="L67" s="122">
        <f t="shared" si="18"/>
        <v>3.1780538303479458</v>
      </c>
      <c r="M67" s="122" t="str">
        <f t="shared" ref="M67:M73" si="22">IF( D67="Seller",((F67-F66)-J67)*$T$6,"")</f>
        <v/>
      </c>
      <c r="N67">
        <f t="shared" si="19"/>
        <v>0</v>
      </c>
      <c r="O67" s="7"/>
      <c r="P67" s="7"/>
      <c r="Q67" s="8" t="s">
        <v>93</v>
      </c>
    </row>
    <row r="68" spans="4:17" x14ac:dyDescent="0.25">
      <c r="D68" s="25" t="s">
        <v>76</v>
      </c>
      <c r="E68" s="47"/>
      <c r="F68" s="161"/>
      <c r="G68" s="48">
        <f t="shared" si="16"/>
        <v>0.5</v>
      </c>
      <c r="H68" s="79">
        <f t="shared" si="17"/>
        <v>0.5</v>
      </c>
      <c r="I68" s="82">
        <f t="shared" si="13"/>
        <v>0.69314718055994529</v>
      </c>
      <c r="J68" s="157">
        <f t="shared" si="14"/>
        <v>0</v>
      </c>
      <c r="K68" s="7"/>
      <c r="L68" s="122">
        <f t="shared" si="18"/>
        <v>3.1780538303479458</v>
      </c>
      <c r="M68" s="122">
        <f t="shared" si="22"/>
        <v>0</v>
      </c>
      <c r="N68" t="str">
        <f t="shared" si="19"/>
        <v/>
      </c>
      <c r="O68" s="7"/>
      <c r="P68" s="7"/>
      <c r="Q68" s="7"/>
    </row>
    <row r="69" spans="4:17" x14ac:dyDescent="0.25">
      <c r="D69" s="25" t="s">
        <v>75</v>
      </c>
      <c r="E69" s="47"/>
      <c r="F69" s="161"/>
      <c r="G69" s="48">
        <f t="shared" si="16"/>
        <v>0.5</v>
      </c>
      <c r="H69" s="79">
        <f t="shared" si="17"/>
        <v>0.5</v>
      </c>
      <c r="I69" s="82">
        <f t="shared" si="13"/>
        <v>0.69314718055994529</v>
      </c>
      <c r="J69" s="157">
        <f t="shared" si="14"/>
        <v>0</v>
      </c>
      <c r="K69" s="7"/>
      <c r="L69" s="122">
        <f t="shared" si="18"/>
        <v>3.1780538303479458</v>
      </c>
      <c r="M69" s="122" t="str">
        <f t="shared" si="22"/>
        <v/>
      </c>
      <c r="N69">
        <f>IF(D69="Buyer",J69,"")</f>
        <v>0</v>
      </c>
      <c r="O69" s="7"/>
      <c r="P69" s="7"/>
      <c r="Q69" s="7"/>
    </row>
    <row r="70" spans="4:17" x14ac:dyDescent="0.25">
      <c r="D70" s="25" t="s">
        <v>76</v>
      </c>
      <c r="E70" s="47"/>
      <c r="F70" s="161"/>
      <c r="G70" s="48">
        <f t="shared" si="16"/>
        <v>0.5</v>
      </c>
      <c r="H70" s="79">
        <f t="shared" si="17"/>
        <v>0.5</v>
      </c>
      <c r="I70" s="82">
        <f t="shared" si="13"/>
        <v>0.69314718055994529</v>
      </c>
      <c r="J70" s="157">
        <f t="shared" si="14"/>
        <v>0</v>
      </c>
      <c r="K70" s="7"/>
      <c r="L70" s="122">
        <f t="shared" si="18"/>
        <v>3.1780538303479458</v>
      </c>
      <c r="M70" s="122">
        <f t="shared" si="22"/>
        <v>0</v>
      </c>
      <c r="N70" t="str">
        <f>IF(D70="Buyer",J70,"")</f>
        <v/>
      </c>
      <c r="O70" s="7"/>
      <c r="P70" s="7"/>
      <c r="Q70" s="7"/>
    </row>
    <row r="71" spans="4:17" x14ac:dyDescent="0.25">
      <c r="D71" s="25" t="s">
        <v>75</v>
      </c>
      <c r="E71" s="47"/>
      <c r="F71" s="161"/>
      <c r="G71" s="48">
        <f t="shared" si="16"/>
        <v>0.5</v>
      </c>
      <c r="H71" s="79">
        <f t="shared" si="17"/>
        <v>0.5</v>
      </c>
      <c r="I71" s="82">
        <f t="shared" si="13"/>
        <v>0.69314718055994529</v>
      </c>
      <c r="J71" s="157">
        <f t="shared" si="14"/>
        <v>0</v>
      </c>
      <c r="K71" s="7"/>
      <c r="L71" s="122">
        <f t="shared" si="18"/>
        <v>3.1780538303479458</v>
      </c>
      <c r="M71" s="122" t="str">
        <f t="shared" si="22"/>
        <v/>
      </c>
      <c r="N71">
        <f t="shared" ref="N71:N76" si="23">IF(D71="Buyer",J71,"")</f>
        <v>0</v>
      </c>
      <c r="O71" s="7"/>
      <c r="P71" s="7"/>
      <c r="Q71" s="7"/>
    </row>
    <row r="72" spans="4:17" x14ac:dyDescent="0.25">
      <c r="D72" s="25" t="s">
        <v>76</v>
      </c>
      <c r="E72" s="47"/>
      <c r="F72" s="161"/>
      <c r="G72" s="48">
        <f t="shared" si="16"/>
        <v>0.5</v>
      </c>
      <c r="H72" s="79">
        <f t="shared" si="17"/>
        <v>0.5</v>
      </c>
      <c r="I72" s="82">
        <f t="shared" si="13"/>
        <v>0.69314718055994529</v>
      </c>
      <c r="J72" s="157">
        <f t="shared" si="14"/>
        <v>0</v>
      </c>
      <c r="K72" s="7"/>
      <c r="L72" s="122">
        <f t="shared" si="18"/>
        <v>3.1780538303479458</v>
      </c>
      <c r="M72" s="122">
        <f t="shared" si="22"/>
        <v>0</v>
      </c>
      <c r="N72" t="str">
        <f t="shared" si="23"/>
        <v/>
      </c>
      <c r="O72" s="7"/>
      <c r="P72" s="7"/>
      <c r="Q72" s="7"/>
    </row>
    <row r="73" spans="4:17" x14ac:dyDescent="0.25">
      <c r="D73" s="25" t="s">
        <v>75</v>
      </c>
      <c r="E73" s="47"/>
      <c r="F73" s="161"/>
      <c r="G73" s="48">
        <f t="shared" si="16"/>
        <v>0.5</v>
      </c>
      <c r="H73" s="79">
        <f t="shared" si="17"/>
        <v>0.5</v>
      </c>
      <c r="I73" s="82">
        <f t="shared" si="13"/>
        <v>0.69314718055994529</v>
      </c>
      <c r="J73" s="157">
        <f t="shared" si="14"/>
        <v>0</v>
      </c>
      <c r="K73" s="7"/>
      <c r="L73" s="122">
        <f t="shared" si="18"/>
        <v>3.1780538303479458</v>
      </c>
      <c r="M73" s="122" t="str">
        <f t="shared" si="22"/>
        <v/>
      </c>
      <c r="N73">
        <f t="shared" si="23"/>
        <v>0</v>
      </c>
      <c r="O73" s="7"/>
      <c r="P73" s="7"/>
      <c r="Q73" s="7"/>
    </row>
    <row r="74" spans="4:17" x14ac:dyDescent="0.25">
      <c r="D74" s="25" t="s">
        <v>76</v>
      </c>
      <c r="E74" s="47"/>
      <c r="F74" s="161"/>
      <c r="G74" s="48">
        <f t="shared" si="16"/>
        <v>0.5</v>
      </c>
      <c r="H74" s="79">
        <f t="shared" si="17"/>
        <v>0.5</v>
      </c>
      <c r="I74" s="82">
        <f t="shared" si="13"/>
        <v>0.69314718055994529</v>
      </c>
      <c r="J74" s="157">
        <f t="shared" si="14"/>
        <v>0</v>
      </c>
      <c r="K74" s="7"/>
      <c r="L74" s="122">
        <f t="shared" si="18"/>
        <v>3.1780538303479458</v>
      </c>
      <c r="M74" s="122">
        <f>IF( D74="Seller",((F74-F73)-J74)*$T$6,"")</f>
        <v>0</v>
      </c>
      <c r="N74" t="str">
        <f t="shared" si="23"/>
        <v/>
      </c>
      <c r="O74" s="7"/>
      <c r="P74" s="7"/>
      <c r="Q74" s="7"/>
    </row>
    <row r="75" spans="4:17" x14ac:dyDescent="0.25">
      <c r="D75" s="21" t="s">
        <v>77</v>
      </c>
      <c r="E75" s="47"/>
      <c r="F75" s="161"/>
      <c r="G75" s="48">
        <f t="shared" si="16"/>
        <v>0.5</v>
      </c>
      <c r="H75" s="79">
        <f t="shared" si="17"/>
        <v>0.5</v>
      </c>
      <c r="I75" s="82">
        <f t="shared" si="13"/>
        <v>0.69314718055994529</v>
      </c>
      <c r="J75" s="157">
        <f t="shared" si="14"/>
        <v>0</v>
      </c>
      <c r="K75" s="7"/>
      <c r="L75" s="122">
        <f t="shared" si="18"/>
        <v>3.1780538303479458</v>
      </c>
      <c r="M75" s="122" t="str">
        <f t="shared" ref="M75:M76" si="24">IF( D75="Seller",((F75-F74)-J75)*$T$6,"")</f>
        <v/>
      </c>
      <c r="N75" t="str">
        <f t="shared" si="23"/>
        <v/>
      </c>
      <c r="O75" s="7"/>
      <c r="P75" s="7"/>
      <c r="Q75" s="7"/>
    </row>
    <row r="76" spans="4:17" ht="15.75" thickBot="1" x14ac:dyDescent="0.3">
      <c r="D76" s="25" t="s">
        <v>38</v>
      </c>
      <c r="E76" s="47"/>
      <c r="F76" s="163"/>
      <c r="G76" s="48">
        <f t="shared" si="16"/>
        <v>0.5</v>
      </c>
      <c r="H76" s="79">
        <f t="shared" si="17"/>
        <v>0.5</v>
      </c>
      <c r="I76" s="114">
        <f t="shared" si="13"/>
        <v>0.69314718055994529</v>
      </c>
      <c r="J76" s="158">
        <f t="shared" si="14"/>
        <v>0</v>
      </c>
      <c r="K76" s="7"/>
      <c r="L76" s="122">
        <f>$T$4*LN($T$6/$S$6)+E76</f>
        <v>3.1780538303479458</v>
      </c>
      <c r="M76" s="122" t="str">
        <f t="shared" si="24"/>
        <v/>
      </c>
      <c r="N76" t="str">
        <f t="shared" si="23"/>
        <v/>
      </c>
      <c r="O76" s="7"/>
      <c r="P76" s="7"/>
      <c r="Q76" s="7"/>
    </row>
    <row r="77" spans="4:17" ht="16.5" thickTop="1" thickBot="1" x14ac:dyDescent="0.3">
      <c r="D77" s="25" t="s">
        <v>0</v>
      </c>
      <c r="E77" s="51">
        <f>E76</f>
        <v>0</v>
      </c>
      <c r="F77" s="165">
        <f>F76</f>
        <v>0</v>
      </c>
      <c r="G77" s="52">
        <f>EXP(E77)/(EXP($F77)+EXP($E77))</f>
        <v>0.5</v>
      </c>
      <c r="H77" s="80">
        <f>EXP(F77)/(EXP($F77)+EXP($E77))</f>
        <v>0.5</v>
      </c>
      <c r="I77" s="83">
        <f t="shared" si="13"/>
        <v>0.69314718055994529</v>
      </c>
      <c r="J77" s="159">
        <f>SUM(J58:J76)</f>
        <v>0.69314718055994717</v>
      </c>
      <c r="K77" s="8" t="s">
        <v>43</v>
      </c>
      <c r="L77" s="7"/>
      <c r="M77" s="7"/>
      <c r="N77" s="7"/>
      <c r="O77" s="7"/>
      <c r="P77" s="7"/>
      <c r="Q77" s="8"/>
    </row>
    <row r="78" spans="4:17" ht="15.75" thickBot="1" x14ac:dyDescent="0.3">
      <c r="E78" s="33"/>
      <c r="F78" s="33"/>
      <c r="G78" s="33"/>
      <c r="H78" s="33"/>
      <c r="I78" s="113">
        <v>0</v>
      </c>
      <c r="J78" s="160">
        <f>J77-(SUMPRODUCT(G77:H77,E77:F77))</f>
        <v>0.69314718055994717</v>
      </c>
      <c r="K78" t="s">
        <v>57</v>
      </c>
      <c r="L78" s="7"/>
      <c r="M78" s="7"/>
      <c r="N78" s="7"/>
      <c r="O78" s="7"/>
      <c r="P78" s="7"/>
    </row>
    <row r="80" spans="4:17" x14ac:dyDescent="0.25">
      <c r="M80" t="s">
        <v>80</v>
      </c>
      <c r="N80" t="s">
        <v>81</v>
      </c>
      <c r="O80" t="s">
        <v>82</v>
      </c>
    </row>
    <row r="81" spans="13:15" x14ac:dyDescent="0.25">
      <c r="M81">
        <f>M60+(M74*($S$8-1))</f>
        <v>0</v>
      </c>
      <c r="N81">
        <f>N59+(N73*($S$8-1))</f>
        <v>502.52759703985231</v>
      </c>
      <c r="O81">
        <f>K53</f>
        <v>0.69314718055994529</v>
      </c>
    </row>
    <row r="83" spans="13:15" x14ac:dyDescent="0.25">
      <c r="M83" t="s">
        <v>79</v>
      </c>
    </row>
    <row r="85" spans="13:15" x14ac:dyDescent="0.25">
      <c r="M85" t="s">
        <v>84</v>
      </c>
    </row>
    <row r="86" spans="13:15" x14ac:dyDescent="0.25">
      <c r="N86">
        <f>S53*S54</f>
        <v>20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499984740745262"/>
  </sheetPr>
  <dimension ref="A2:BB89"/>
  <sheetViews>
    <sheetView topLeftCell="A82" zoomScale="115" zoomScaleNormal="115" workbookViewId="0">
      <selection activeCell="O11" sqref="O11"/>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hidden="1" customWidth="1"/>
    <col min="12" max="13" width="13.42578125" hidden="1" customWidth="1"/>
    <col min="14" max="15" width="13.42578125" customWidth="1"/>
    <col min="16" max="19" width="15" customWidth="1"/>
    <col min="20" max="20" width="11.5703125" style="86" customWidth="1"/>
    <col min="21" max="22" width="15.42578125" customWidth="1"/>
    <col min="24" max="24" width="5.5703125" bestFit="1" customWidth="1"/>
    <col min="25" max="25" width="12.28515625" bestFit="1" customWidth="1"/>
    <col min="26" max="27" width="14.140625" customWidth="1"/>
    <col min="28" max="28" width="9.140625"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08" t="s">
        <v>387</v>
      </c>
      <c r="D2" s="808"/>
      <c r="H2" s="17"/>
      <c r="I2" s="17"/>
      <c r="J2" s="17"/>
      <c r="R2" s="33"/>
    </row>
    <row r="3" spans="2:31" x14ac:dyDescent="0.25">
      <c r="B3" s="7"/>
      <c r="C3" s="7"/>
      <c r="D3" s="7"/>
      <c r="E3" s="7"/>
      <c r="F3" s="17"/>
      <c r="G3" s="241"/>
      <c r="H3" s="191"/>
      <c r="I3" s="17"/>
      <c r="J3" s="17"/>
      <c r="K3"/>
      <c r="R3" s="33"/>
    </row>
    <row r="4" spans="2:31" x14ac:dyDescent="0.25">
      <c r="B4" s="7"/>
      <c r="C4" s="1172" t="s">
        <v>163</v>
      </c>
      <c r="D4" s="152" t="s">
        <v>4</v>
      </c>
      <c r="E4" s="266" t="s">
        <v>145</v>
      </c>
      <c r="F4" s="152"/>
      <c r="G4" s="266"/>
      <c r="H4" s="273"/>
      <c r="I4" s="261"/>
      <c r="J4" s="191"/>
      <c r="K4"/>
      <c r="P4" s="33"/>
      <c r="Q4" s="33"/>
      <c r="R4" s="33"/>
      <c r="AB4" s="7"/>
      <c r="AC4" s="7"/>
      <c r="AD4" s="888"/>
    </row>
    <row r="5" spans="2:31" x14ac:dyDescent="0.25">
      <c r="B5" s="7"/>
      <c r="C5" s="1173"/>
      <c r="D5" s="17" t="s">
        <v>134</v>
      </c>
      <c r="E5" s="17" t="s">
        <v>3</v>
      </c>
      <c r="F5" s="7"/>
      <c r="G5" s="17"/>
      <c r="H5" s="191"/>
      <c r="I5" s="241"/>
      <c r="J5" s="191"/>
      <c r="K5"/>
      <c r="P5" s="33"/>
      <c r="Q5" s="33"/>
      <c r="R5" s="33"/>
      <c r="AB5" s="7"/>
      <c r="AC5" s="314"/>
      <c r="AD5" s="809"/>
    </row>
    <row r="6" spans="2:31" x14ac:dyDescent="0.25">
      <c r="B6" s="7"/>
      <c r="C6" s="1174"/>
      <c r="D6" s="259" t="s">
        <v>135</v>
      </c>
      <c r="E6" s="259" t="s">
        <v>2</v>
      </c>
      <c r="F6" s="247"/>
      <c r="G6" s="259"/>
      <c r="H6" s="274"/>
      <c r="I6" s="262"/>
      <c r="J6" s="191"/>
      <c r="K6"/>
      <c r="P6" s="33"/>
      <c r="Q6" s="33"/>
      <c r="R6" s="33"/>
      <c r="AB6" s="7"/>
      <c r="AC6" s="7"/>
      <c r="AD6" s="888"/>
    </row>
    <row r="7" spans="2:31" ht="15.75" thickBot="1" x14ac:dyDescent="0.3">
      <c r="B7" s="7"/>
      <c r="C7" s="272"/>
      <c r="D7" s="17"/>
      <c r="E7" s="17"/>
      <c r="F7" s="7"/>
      <c r="G7" s="241"/>
      <c r="H7" s="191"/>
      <c r="I7" s="17"/>
      <c r="J7" s="191"/>
      <c r="K7"/>
      <c r="P7" s="33"/>
      <c r="Q7" s="33"/>
      <c r="R7" s="33"/>
      <c r="AB7" s="7"/>
      <c r="AC7" s="7"/>
      <c r="AD7" s="888"/>
    </row>
    <row r="8" spans="2:31" x14ac:dyDescent="0.25">
      <c r="B8" s="7"/>
      <c r="C8" s="1175" t="s">
        <v>152</v>
      </c>
      <c r="D8" s="275" t="s">
        <v>164</v>
      </c>
      <c r="E8" s="278" t="s">
        <v>165</v>
      </c>
      <c r="F8" s="253" t="s">
        <v>166</v>
      </c>
      <c r="G8" s="253"/>
      <c r="H8" s="180"/>
      <c r="I8" s="17"/>
      <c r="J8" s="191"/>
      <c r="K8"/>
      <c r="P8" s="33"/>
      <c r="Q8" s="33"/>
      <c r="R8" s="33"/>
      <c r="AB8" s="8"/>
      <c r="AC8" s="7"/>
      <c r="AD8" s="888"/>
    </row>
    <row r="9" spans="2:31" x14ac:dyDescent="0.25">
      <c r="B9" s="7"/>
      <c r="C9" s="1176"/>
      <c r="D9" s="17" t="s">
        <v>139</v>
      </c>
      <c r="E9" s="256">
        <v>2</v>
      </c>
      <c r="F9" s="17" t="s">
        <v>140</v>
      </c>
      <c r="G9" s="7"/>
      <c r="H9" s="279"/>
      <c r="I9" s="17"/>
      <c r="J9" s="191"/>
      <c r="K9"/>
      <c r="P9" s="33"/>
      <c r="Q9" s="33"/>
      <c r="R9" s="33"/>
      <c r="AC9" s="7"/>
      <c r="AD9" s="888"/>
      <c r="AE9" s="888"/>
    </row>
    <row r="10" spans="2:31" x14ac:dyDescent="0.25">
      <c r="B10" s="7"/>
      <c r="C10" s="1176"/>
      <c r="D10" s="17" t="s">
        <v>5</v>
      </c>
      <c r="E10" s="810">
        <f>S40/LN(EXP($G15/D40)+EXP($F15/D40))</f>
        <v>0.2</v>
      </c>
      <c r="F10" s="17" t="s">
        <v>143</v>
      </c>
      <c r="G10" s="7"/>
      <c r="H10" s="279"/>
      <c r="I10" s="17"/>
      <c r="J10" s="1260" t="s">
        <v>361</v>
      </c>
      <c r="K10" s="1260"/>
      <c r="L10" s="1260"/>
      <c r="P10" s="33"/>
      <c r="Q10" s="33"/>
      <c r="R10" s="33"/>
      <c r="AC10" s="7"/>
      <c r="AD10" s="888"/>
      <c r="AE10" s="888"/>
    </row>
    <row r="11" spans="2:31" ht="15.75" thickBot="1" x14ac:dyDescent="0.3">
      <c r="B11" s="7"/>
      <c r="C11" s="1177"/>
      <c r="D11" s="168" t="s">
        <v>141</v>
      </c>
      <c r="E11" s="277">
        <f>E10*LN(E9)</f>
        <v>0.13862943611198905</v>
      </c>
      <c r="F11" s="168" t="s">
        <v>142</v>
      </c>
      <c r="G11" s="168"/>
      <c r="H11" s="181"/>
      <c r="I11" s="17"/>
      <c r="J11" s="191"/>
      <c r="K11"/>
      <c r="P11" s="33"/>
      <c r="Q11" s="33"/>
      <c r="R11" s="33"/>
      <c r="AC11" s="7"/>
      <c r="AD11" s="888"/>
      <c r="AE11" s="888"/>
    </row>
    <row r="12" spans="2:31" s="7" customFormat="1" ht="12.75" customHeight="1" thickBot="1" x14ac:dyDescent="0.3">
      <c r="D12"/>
      <c r="E12"/>
      <c r="F12" s="33"/>
      <c r="G12" s="241"/>
      <c r="H12" s="33"/>
      <c r="I12" s="33"/>
      <c r="J12" s="33"/>
      <c r="K12" s="33"/>
      <c r="L12"/>
      <c r="M12" s="8"/>
      <c r="N12" s="8"/>
      <c r="O12" s="8"/>
      <c r="T12" s="888"/>
      <c r="U12" s="888"/>
      <c r="V12" s="888"/>
      <c r="W12" s="888"/>
      <c r="X12" s="888"/>
      <c r="Y12" s="888"/>
    </row>
    <row r="13" spans="2:31" s="7" customFormat="1" ht="33" customHeight="1" thickBot="1" x14ac:dyDescent="0.3">
      <c r="E13"/>
      <c r="F13" s="436" t="s">
        <v>12</v>
      </c>
      <c r="G13" s="439"/>
      <c r="H13" s="247"/>
      <c r="I13" s="247"/>
      <c r="J13" s="247"/>
      <c r="K13" s="247"/>
      <c r="L13" s="247"/>
      <c r="M13" s="247"/>
      <c r="P13" s="436" t="s">
        <v>13</v>
      </c>
      <c r="Q13" s="439"/>
      <c r="R13" s="811" t="s">
        <v>36</v>
      </c>
      <c r="S13" s="812" t="s">
        <v>1</v>
      </c>
      <c r="T13" s="888"/>
      <c r="U13" s="888"/>
      <c r="V13" s="888"/>
      <c r="W13" s="888"/>
      <c r="X13" s="888"/>
      <c r="Y13" s="888"/>
      <c r="Z13" s="1216"/>
      <c r="AA13" s="1216"/>
    </row>
    <row r="14" spans="2:31" s="7" customFormat="1" ht="15.75" thickBot="1" x14ac:dyDescent="0.3">
      <c r="B14" s="1261" t="s">
        <v>363</v>
      </c>
      <c r="D14" s="7" t="s">
        <v>5</v>
      </c>
      <c r="E14" s="117" t="s">
        <v>45</v>
      </c>
      <c r="F14" s="249" t="s">
        <v>134</v>
      </c>
      <c r="G14" s="250" t="s">
        <v>135</v>
      </c>
      <c r="H14" s="13"/>
      <c r="I14" s="13"/>
      <c r="J14" s="13"/>
      <c r="K14" s="13"/>
      <c r="L14" s="13"/>
      <c r="M14" s="13"/>
      <c r="N14" s="13"/>
      <c r="O14" s="13"/>
      <c r="P14" s="249" t="s">
        <v>134</v>
      </c>
      <c r="Q14" s="250" t="s">
        <v>135</v>
      </c>
      <c r="R14" s="813">
        <v>0</v>
      </c>
      <c r="S14" s="814"/>
      <c r="T14" s="888" t="s">
        <v>364</v>
      </c>
      <c r="U14" s="1258" t="s">
        <v>365</v>
      </c>
      <c r="V14" s="1259"/>
      <c r="W14" s="888"/>
      <c r="X14" s="145"/>
      <c r="Y14" s="888"/>
      <c r="AA14" s="8"/>
    </row>
    <row r="15" spans="2:31" s="7" customFormat="1" ht="18" customHeight="1" thickTop="1" x14ac:dyDescent="0.25">
      <c r="B15" s="1256"/>
      <c r="D15" s="815">
        <f>$E$10</f>
        <v>0.2</v>
      </c>
      <c r="E15" s="25">
        <v>1</v>
      </c>
      <c r="F15" s="320">
        <f t="shared" ref="F15:G30" si="0">F40</f>
        <v>5</v>
      </c>
      <c r="G15" s="816">
        <f t="shared" si="0"/>
        <v>5</v>
      </c>
      <c r="P15" s="330">
        <f t="shared" ref="P15:P30" si="1">EXP(F15/$D15)/(EXP($G15/$D15)+EXP($F15/$D15))</f>
        <v>0.5</v>
      </c>
      <c r="Q15" s="817">
        <f t="shared" ref="Q15:Q30" si="2">EXP(G15/$D15)/(EXP($G15/$D15)+EXP($F15/$D15))</f>
        <v>0.5</v>
      </c>
      <c r="R15" s="818">
        <f t="shared" ref="R15:R30" si="3">D15*LN(EXP($G15/D15)+EXP($F15/D15))</f>
        <v>5.13862943611199</v>
      </c>
      <c r="S15" s="819">
        <f t="shared" ref="S15:S30" si="4">(R15-R14)</f>
        <v>5.13862943611199</v>
      </c>
      <c r="T15" s="820">
        <f t="shared" ref="T15:T30" si="5">SUM(P15:Q15) - 1</f>
        <v>0</v>
      </c>
      <c r="U15" s="644">
        <f t="shared" ref="U15:V30" si="6">P15-($T15/2)</f>
        <v>0.5</v>
      </c>
      <c r="V15" s="645">
        <f t="shared" si="6"/>
        <v>0.5</v>
      </c>
      <c r="W15" s="888"/>
      <c r="X15" s="821"/>
      <c r="Y15" s="888"/>
    </row>
    <row r="16" spans="2:31" s="7" customFormat="1" x14ac:dyDescent="0.25">
      <c r="B16" s="1256"/>
      <c r="D16" s="7">
        <f t="shared" ref="D16:D30" si="7">$E$10</f>
        <v>0.2</v>
      </c>
      <c r="E16" s="25">
        <v>2</v>
      </c>
      <c r="F16" s="320">
        <f t="shared" si="0"/>
        <v>75</v>
      </c>
      <c r="G16" s="816">
        <f t="shared" si="0"/>
        <v>80</v>
      </c>
      <c r="P16" s="330">
        <f t="shared" si="1"/>
        <v>1.3887943864771144E-11</v>
      </c>
      <c r="Q16" s="817">
        <f t="shared" si="2"/>
        <v>0.99999999998611211</v>
      </c>
      <c r="R16" s="818">
        <f t="shared" si="3"/>
        <v>80.000000000002785</v>
      </c>
      <c r="S16" s="414">
        <f t="shared" si="4"/>
        <v>74.861370563890802</v>
      </c>
      <c r="T16" s="820">
        <f t="shared" si="5"/>
        <v>0</v>
      </c>
      <c r="U16" s="644">
        <f t="shared" si="6"/>
        <v>1.3887943864771144E-11</v>
      </c>
      <c r="V16" s="645">
        <f t="shared" si="6"/>
        <v>0.99999999998611211</v>
      </c>
      <c r="W16" s="888"/>
      <c r="X16" s="821"/>
      <c r="Y16" s="888"/>
    </row>
    <row r="17" spans="2:25" s="7" customFormat="1" x14ac:dyDescent="0.25">
      <c r="B17" s="1256"/>
      <c r="D17" s="7">
        <f t="shared" si="7"/>
        <v>0.2</v>
      </c>
      <c r="E17" s="25">
        <v>3</v>
      </c>
      <c r="F17" s="320">
        <f t="shared" si="0"/>
        <v>77</v>
      </c>
      <c r="G17" s="816">
        <f t="shared" si="0"/>
        <v>90</v>
      </c>
      <c r="P17" s="330">
        <f t="shared" si="1"/>
        <v>5.9000905415970609E-29</v>
      </c>
      <c r="Q17" s="817">
        <f t="shared" si="2"/>
        <v>1</v>
      </c>
      <c r="R17" s="818">
        <f t="shared" si="3"/>
        <v>90</v>
      </c>
      <c r="S17" s="414">
        <f t="shared" si="4"/>
        <v>9.9999999999972147</v>
      </c>
      <c r="T17" s="820">
        <f t="shared" si="5"/>
        <v>0</v>
      </c>
      <c r="U17" s="644">
        <f t="shared" si="6"/>
        <v>5.9000905415970609E-29</v>
      </c>
      <c r="V17" s="645">
        <f t="shared" si="6"/>
        <v>1</v>
      </c>
      <c r="W17" s="888"/>
      <c r="X17" s="821"/>
      <c r="Y17" s="888"/>
    </row>
    <row r="18" spans="2:25" s="7" customFormat="1" x14ac:dyDescent="0.25">
      <c r="B18" s="1256"/>
      <c r="D18" s="7">
        <f t="shared" si="7"/>
        <v>0.2</v>
      </c>
      <c r="E18" s="25">
        <v>4</v>
      </c>
      <c r="F18" s="320">
        <f t="shared" si="0"/>
        <v>120</v>
      </c>
      <c r="G18" s="816">
        <f t="shared" si="0"/>
        <v>1000</v>
      </c>
      <c r="P18" s="330" t="e">
        <f>EXP(F18/$D18)/(EXP($G18/$D18)+EXP($F18/$D18))</f>
        <v>#NUM!</v>
      </c>
      <c r="Q18" s="817" t="e">
        <f t="shared" si="2"/>
        <v>#NUM!</v>
      </c>
      <c r="R18" s="818" t="e">
        <f t="shared" si="3"/>
        <v>#NUM!</v>
      </c>
      <c r="S18" s="414" t="e">
        <f t="shared" si="4"/>
        <v>#NUM!</v>
      </c>
      <c r="T18" s="820" t="e">
        <f t="shared" si="5"/>
        <v>#NUM!</v>
      </c>
      <c r="U18" s="644" t="e">
        <f t="shared" si="6"/>
        <v>#NUM!</v>
      </c>
      <c r="V18" s="645" t="e">
        <f t="shared" si="6"/>
        <v>#NUM!</v>
      </c>
      <c r="W18" s="888"/>
      <c r="X18" s="821"/>
      <c r="Y18" s="888"/>
    </row>
    <row r="19" spans="2:25" s="7" customFormat="1" x14ac:dyDescent="0.25">
      <c r="B19" s="1256"/>
      <c r="D19" s="7">
        <f t="shared" si="7"/>
        <v>0.2</v>
      </c>
      <c r="E19" s="25">
        <v>5</v>
      </c>
      <c r="F19" s="320">
        <f t="shared" si="0"/>
        <v>400</v>
      </c>
      <c r="G19" s="816">
        <f t="shared" si="0"/>
        <v>1000</v>
      </c>
      <c r="P19" s="330" t="e">
        <f t="shared" si="1"/>
        <v>#NUM!</v>
      </c>
      <c r="Q19" s="817" t="e">
        <f t="shared" si="2"/>
        <v>#NUM!</v>
      </c>
      <c r="R19" s="818" t="e">
        <f t="shared" si="3"/>
        <v>#NUM!</v>
      </c>
      <c r="S19" s="414" t="e">
        <f t="shared" si="4"/>
        <v>#NUM!</v>
      </c>
      <c r="T19" s="820" t="e">
        <f t="shared" si="5"/>
        <v>#NUM!</v>
      </c>
      <c r="U19" s="644" t="e">
        <f t="shared" si="6"/>
        <v>#NUM!</v>
      </c>
      <c r="V19" s="645" t="e">
        <f t="shared" si="6"/>
        <v>#NUM!</v>
      </c>
      <c r="W19" s="888"/>
      <c r="X19" s="821"/>
      <c r="Y19" s="888"/>
    </row>
    <row r="20" spans="2:25" s="7" customFormat="1" x14ac:dyDescent="0.25">
      <c r="B20" s="1256"/>
      <c r="D20" s="7">
        <f t="shared" si="7"/>
        <v>0.2</v>
      </c>
      <c r="E20" s="25">
        <v>6</v>
      </c>
      <c r="F20" s="320">
        <f t="shared" si="0"/>
        <v>800</v>
      </c>
      <c r="G20" s="816">
        <f t="shared" si="0"/>
        <v>1000</v>
      </c>
      <c r="P20" s="330" t="e">
        <f t="shared" si="1"/>
        <v>#NUM!</v>
      </c>
      <c r="Q20" s="817" t="e">
        <f t="shared" si="2"/>
        <v>#NUM!</v>
      </c>
      <c r="R20" s="818" t="e">
        <f t="shared" si="3"/>
        <v>#NUM!</v>
      </c>
      <c r="S20" s="414" t="e">
        <f t="shared" si="4"/>
        <v>#NUM!</v>
      </c>
      <c r="T20" s="820" t="e">
        <f t="shared" si="5"/>
        <v>#NUM!</v>
      </c>
      <c r="U20" s="644" t="e">
        <f t="shared" si="6"/>
        <v>#NUM!</v>
      </c>
      <c r="V20" s="645" t="e">
        <f t="shared" si="6"/>
        <v>#NUM!</v>
      </c>
      <c r="W20" s="888"/>
      <c r="X20" s="821"/>
      <c r="Y20" s="888"/>
    </row>
    <row r="21" spans="2:25" s="7" customFormat="1" x14ac:dyDescent="0.25">
      <c r="B21" s="1256"/>
      <c r="D21" s="7">
        <f t="shared" si="7"/>
        <v>0.2</v>
      </c>
      <c r="E21" s="25">
        <v>7</v>
      </c>
      <c r="F21" s="320">
        <f t="shared" si="0"/>
        <v>950</v>
      </c>
      <c r="G21" s="816">
        <f t="shared" si="0"/>
        <v>1000</v>
      </c>
      <c r="P21" s="330" t="e">
        <f>EXP(F21/$D21)/(EXP($G21/$D21)+EXP($F21/$D21))</f>
        <v>#NUM!</v>
      </c>
      <c r="Q21" s="817" t="e">
        <f t="shared" si="2"/>
        <v>#NUM!</v>
      </c>
      <c r="R21" s="818" t="e">
        <f t="shared" si="3"/>
        <v>#NUM!</v>
      </c>
      <c r="S21" s="414" t="e">
        <f t="shared" si="4"/>
        <v>#NUM!</v>
      </c>
      <c r="T21" s="820" t="e">
        <f t="shared" si="5"/>
        <v>#NUM!</v>
      </c>
      <c r="U21" s="644" t="e">
        <f t="shared" si="6"/>
        <v>#NUM!</v>
      </c>
      <c r="V21" s="645" t="e">
        <f t="shared" si="6"/>
        <v>#NUM!</v>
      </c>
      <c r="W21" s="888"/>
      <c r="X21" s="821"/>
      <c r="Y21" s="888"/>
    </row>
    <row r="22" spans="2:25" s="7" customFormat="1" x14ac:dyDescent="0.25">
      <c r="B22" s="1256"/>
      <c r="D22" s="7">
        <f t="shared" si="7"/>
        <v>0.2</v>
      </c>
      <c r="E22" s="25">
        <v>8</v>
      </c>
      <c r="F22" s="320">
        <f t="shared" si="0"/>
        <v>1000</v>
      </c>
      <c r="G22" s="816">
        <f t="shared" si="0"/>
        <v>1000</v>
      </c>
      <c r="P22" s="330" t="e">
        <f t="shared" si="1"/>
        <v>#NUM!</v>
      </c>
      <c r="Q22" s="817" t="e">
        <f t="shared" si="2"/>
        <v>#NUM!</v>
      </c>
      <c r="R22" s="818" t="e">
        <f t="shared" si="3"/>
        <v>#NUM!</v>
      </c>
      <c r="S22" s="414" t="e">
        <f t="shared" si="4"/>
        <v>#NUM!</v>
      </c>
      <c r="T22" s="820" t="e">
        <f t="shared" si="5"/>
        <v>#NUM!</v>
      </c>
      <c r="U22" s="644" t="e">
        <f t="shared" si="6"/>
        <v>#NUM!</v>
      </c>
      <c r="V22" s="645" t="e">
        <f t="shared" si="6"/>
        <v>#NUM!</v>
      </c>
      <c r="W22" s="888"/>
      <c r="X22" s="821"/>
      <c r="Y22" s="888"/>
    </row>
    <row r="23" spans="2:25" s="7" customFormat="1" x14ac:dyDescent="0.25">
      <c r="B23" s="1256"/>
      <c r="D23" s="7">
        <f t="shared" si="7"/>
        <v>0.2</v>
      </c>
      <c r="E23" s="25">
        <v>9</v>
      </c>
      <c r="F23" s="320">
        <f t="shared" si="0"/>
        <v>1004</v>
      </c>
      <c r="G23" s="816">
        <f t="shared" si="0"/>
        <v>1000</v>
      </c>
      <c r="P23" s="330" t="e">
        <f t="shared" si="1"/>
        <v>#NUM!</v>
      </c>
      <c r="Q23" s="817" t="e">
        <f t="shared" si="2"/>
        <v>#NUM!</v>
      </c>
      <c r="R23" s="818" t="e">
        <f t="shared" si="3"/>
        <v>#NUM!</v>
      </c>
      <c r="S23" s="414" t="e">
        <f t="shared" si="4"/>
        <v>#NUM!</v>
      </c>
      <c r="T23" s="820" t="e">
        <f t="shared" si="5"/>
        <v>#NUM!</v>
      </c>
      <c r="U23" s="644" t="e">
        <f t="shared" si="6"/>
        <v>#NUM!</v>
      </c>
      <c r="V23" s="645" t="e">
        <f t="shared" si="6"/>
        <v>#NUM!</v>
      </c>
      <c r="W23" s="888"/>
      <c r="X23" s="821"/>
      <c r="Y23" s="888"/>
    </row>
    <row r="24" spans="2:25" s="7" customFormat="1" x14ac:dyDescent="0.25">
      <c r="B24" s="1256"/>
      <c r="D24" s="7">
        <f t="shared" si="7"/>
        <v>0.2</v>
      </c>
      <c r="E24" s="25">
        <v>10</v>
      </c>
      <c r="F24" s="320">
        <f t="shared" si="0"/>
        <v>1000</v>
      </c>
      <c r="G24" s="816">
        <f t="shared" si="0"/>
        <v>997</v>
      </c>
      <c r="P24" s="330" t="e">
        <f t="shared" si="1"/>
        <v>#NUM!</v>
      </c>
      <c r="Q24" s="817" t="e">
        <f t="shared" si="2"/>
        <v>#NUM!</v>
      </c>
      <c r="R24" s="818" t="e">
        <f t="shared" si="3"/>
        <v>#NUM!</v>
      </c>
      <c r="S24" s="414" t="e">
        <f t="shared" si="4"/>
        <v>#NUM!</v>
      </c>
      <c r="T24" s="820" t="e">
        <f t="shared" si="5"/>
        <v>#NUM!</v>
      </c>
      <c r="U24" s="644" t="e">
        <f t="shared" si="6"/>
        <v>#NUM!</v>
      </c>
      <c r="V24" s="645" t="e">
        <f t="shared" si="6"/>
        <v>#NUM!</v>
      </c>
      <c r="W24" s="888"/>
      <c r="X24" s="821"/>
      <c r="Y24" s="888"/>
    </row>
    <row r="25" spans="2:25" s="7" customFormat="1" x14ac:dyDescent="0.25">
      <c r="B25" s="1256"/>
      <c r="D25" s="7">
        <f t="shared" si="7"/>
        <v>0.2</v>
      </c>
      <c r="E25" s="25">
        <v>11</v>
      </c>
      <c r="F25" s="320">
        <f t="shared" si="0"/>
        <v>1000</v>
      </c>
      <c r="G25" s="816">
        <f t="shared" si="0"/>
        <v>1000</v>
      </c>
      <c r="P25" s="330" t="e">
        <f t="shared" si="1"/>
        <v>#NUM!</v>
      </c>
      <c r="Q25" s="817" t="e">
        <f t="shared" si="2"/>
        <v>#NUM!</v>
      </c>
      <c r="R25" s="818" t="e">
        <f t="shared" si="3"/>
        <v>#NUM!</v>
      </c>
      <c r="S25" s="414" t="e">
        <f t="shared" si="4"/>
        <v>#NUM!</v>
      </c>
      <c r="T25" s="820" t="e">
        <f t="shared" si="5"/>
        <v>#NUM!</v>
      </c>
      <c r="U25" s="644" t="e">
        <f t="shared" si="6"/>
        <v>#NUM!</v>
      </c>
      <c r="V25" s="645" t="e">
        <f t="shared" si="6"/>
        <v>#NUM!</v>
      </c>
      <c r="W25" s="888"/>
      <c r="X25" s="821"/>
      <c r="Y25" s="888"/>
    </row>
    <row r="26" spans="2:25" s="7" customFormat="1" x14ac:dyDescent="0.25">
      <c r="B26" s="1256"/>
      <c r="D26" s="7">
        <f t="shared" si="7"/>
        <v>0.2</v>
      </c>
      <c r="E26" s="25">
        <v>12</v>
      </c>
      <c r="F26" s="320">
        <f t="shared" si="0"/>
        <v>100</v>
      </c>
      <c r="G26" s="816">
        <f t="shared" si="0"/>
        <v>100</v>
      </c>
      <c r="P26" s="330">
        <f t="shared" si="1"/>
        <v>0.5</v>
      </c>
      <c r="Q26" s="817">
        <f t="shared" si="2"/>
        <v>0.5</v>
      </c>
      <c r="R26" s="818">
        <f t="shared" si="3"/>
        <v>100.138629436112</v>
      </c>
      <c r="S26" s="414" t="e">
        <f t="shared" si="4"/>
        <v>#NUM!</v>
      </c>
      <c r="T26" s="820">
        <f t="shared" si="5"/>
        <v>0</v>
      </c>
      <c r="U26" s="644">
        <f t="shared" si="6"/>
        <v>0.5</v>
      </c>
      <c r="V26" s="645">
        <f t="shared" si="6"/>
        <v>0.5</v>
      </c>
      <c r="W26" s="888"/>
      <c r="X26" s="821"/>
      <c r="Y26" s="888"/>
    </row>
    <row r="27" spans="2:25" s="7" customFormat="1" x14ac:dyDescent="0.25">
      <c r="B27" s="1256"/>
      <c r="D27" s="7">
        <f t="shared" si="7"/>
        <v>0.2</v>
      </c>
      <c r="E27" s="25">
        <v>13</v>
      </c>
      <c r="F27" s="320">
        <f t="shared" si="0"/>
        <v>30</v>
      </c>
      <c r="G27" s="816">
        <f t="shared" si="0"/>
        <v>33</v>
      </c>
      <c r="P27" s="330">
        <f t="shared" si="1"/>
        <v>3.0590222692562477E-7</v>
      </c>
      <c r="Q27" s="817">
        <f t="shared" si="2"/>
        <v>0.99999969409777312</v>
      </c>
      <c r="R27" s="818">
        <f t="shared" si="3"/>
        <v>33.000000061180451</v>
      </c>
      <c r="S27" s="414">
        <f t="shared" si="4"/>
        <v>-67.138629374931554</v>
      </c>
      <c r="T27" s="820">
        <f t="shared" si="5"/>
        <v>0</v>
      </c>
      <c r="U27" s="644">
        <f t="shared" si="6"/>
        <v>3.0590222692562477E-7</v>
      </c>
      <c r="V27" s="645">
        <f t="shared" si="6"/>
        <v>0.99999969409777312</v>
      </c>
      <c r="W27" s="888"/>
      <c r="X27" s="821"/>
      <c r="Y27" s="888"/>
    </row>
    <row r="28" spans="2:25" s="7" customFormat="1" x14ac:dyDescent="0.25">
      <c r="B28" s="1256"/>
      <c r="D28" s="7">
        <f t="shared" si="7"/>
        <v>0.2</v>
      </c>
      <c r="E28" s="25">
        <v>14</v>
      </c>
      <c r="F28" s="320">
        <f t="shared" si="0"/>
        <v>30</v>
      </c>
      <c r="G28" s="816">
        <f t="shared" si="0"/>
        <v>34</v>
      </c>
      <c r="P28" s="330">
        <f t="shared" si="1"/>
        <v>2.0611536181902033E-9</v>
      </c>
      <c r="Q28" s="817">
        <f t="shared" si="2"/>
        <v>0.99999999793884642</v>
      </c>
      <c r="R28" s="818">
        <f t="shared" si="3"/>
        <v>34.000000000412228</v>
      </c>
      <c r="S28" s="414">
        <f t="shared" si="4"/>
        <v>0.99999993923177755</v>
      </c>
      <c r="T28" s="820">
        <f t="shared" si="5"/>
        <v>0</v>
      </c>
      <c r="U28" s="644">
        <f t="shared" si="6"/>
        <v>2.0611536181902033E-9</v>
      </c>
      <c r="V28" s="645">
        <f t="shared" si="6"/>
        <v>0.99999999793884642</v>
      </c>
      <c r="W28" s="888"/>
      <c r="X28" s="821"/>
      <c r="Y28" s="888"/>
    </row>
    <row r="29" spans="2:25" s="7" customFormat="1" x14ac:dyDescent="0.25">
      <c r="B29" s="1256"/>
      <c r="D29" s="7">
        <f t="shared" si="7"/>
        <v>0.2</v>
      </c>
      <c r="E29" s="25">
        <v>15</v>
      </c>
      <c r="F29" s="320">
        <f t="shared" si="0"/>
        <v>5</v>
      </c>
      <c r="G29" s="816">
        <f t="shared" si="0"/>
        <v>9</v>
      </c>
      <c r="P29" s="330">
        <f t="shared" si="1"/>
        <v>2.0611536181902037E-9</v>
      </c>
      <c r="Q29" s="817">
        <f t="shared" si="2"/>
        <v>0.99999999793884642</v>
      </c>
      <c r="R29" s="818">
        <f t="shared" si="3"/>
        <v>9.000000000412232</v>
      </c>
      <c r="S29" s="414">
        <f t="shared" si="4"/>
        <v>-24.999999999999996</v>
      </c>
      <c r="T29" s="820">
        <f t="shared" si="5"/>
        <v>0</v>
      </c>
      <c r="U29" s="644">
        <f t="shared" si="6"/>
        <v>2.0611536181902037E-9</v>
      </c>
      <c r="V29" s="645">
        <f t="shared" si="6"/>
        <v>0.99999999793884642</v>
      </c>
      <c r="W29" s="888"/>
      <c r="X29" s="821"/>
      <c r="Y29" s="888"/>
    </row>
    <row r="30" spans="2:25" s="7" customFormat="1" ht="15.75" thickBot="1" x14ac:dyDescent="0.3">
      <c r="B30" s="1256"/>
      <c r="D30" s="7">
        <f t="shared" si="7"/>
        <v>0.2</v>
      </c>
      <c r="E30" s="25">
        <v>16</v>
      </c>
      <c r="F30" s="322">
        <f t="shared" si="0"/>
        <v>5</v>
      </c>
      <c r="G30" s="829">
        <f t="shared" si="0"/>
        <v>8</v>
      </c>
      <c r="H30" s="13"/>
      <c r="I30" s="13"/>
      <c r="J30" s="13"/>
      <c r="K30" s="13"/>
      <c r="L30" s="13"/>
      <c r="M30" s="13"/>
      <c r="N30" s="13"/>
      <c r="O30" s="13"/>
      <c r="P30" s="332">
        <f t="shared" si="1"/>
        <v>3.0590222692562472E-7</v>
      </c>
      <c r="Q30" s="830">
        <f t="shared" si="2"/>
        <v>0.99999969409777312</v>
      </c>
      <c r="R30" s="813">
        <f t="shared" si="3"/>
        <v>8.0000000611804563</v>
      </c>
      <c r="S30" s="814">
        <f t="shared" si="4"/>
        <v>-0.99999993923177577</v>
      </c>
      <c r="T30" s="820">
        <f t="shared" si="5"/>
        <v>0</v>
      </c>
      <c r="U30" s="646">
        <f t="shared" si="6"/>
        <v>3.0590222692562472E-7</v>
      </c>
      <c r="V30" s="648">
        <f t="shared" si="6"/>
        <v>0.99999969409777312</v>
      </c>
      <c r="W30" s="888"/>
      <c r="X30" s="821"/>
      <c r="Y30" s="888"/>
    </row>
    <row r="31" spans="2:25" s="7" customFormat="1" ht="16.5" thickTop="1" thickBot="1" x14ac:dyDescent="0.3">
      <c r="B31" s="1257"/>
      <c r="E31" s="25" t="s">
        <v>97</v>
      </c>
      <c r="F31" s="324">
        <f t="shared" ref="F31:G31" si="8">F56</f>
        <v>5</v>
      </c>
      <c r="G31" s="831">
        <f t="shared" si="8"/>
        <v>8</v>
      </c>
      <c r="H31" s="832"/>
      <c r="I31" s="247"/>
      <c r="J31" s="247"/>
      <c r="K31" s="247"/>
      <c r="L31" s="247"/>
      <c r="M31" s="247"/>
      <c r="P31" s="473">
        <v>0</v>
      </c>
      <c r="Q31" s="475">
        <v>1</v>
      </c>
      <c r="R31" s="833">
        <f>$E$10*LN(EXP($G31/$E$10)+EXP($F31/$E$10))</f>
        <v>8.0000000611804563</v>
      </c>
      <c r="S31" s="145" t="s">
        <v>132</v>
      </c>
      <c r="T31" s="888"/>
    </row>
    <row r="32" spans="2:25" s="7" customFormat="1" x14ac:dyDescent="0.25">
      <c r="E32"/>
      <c r="F32" s="253"/>
      <c r="G32" s="253"/>
      <c r="P32" s="17"/>
      <c r="Q32" s="33"/>
      <c r="R32" s="834">
        <f>SUMPRODUCT(P31:Q31,F31:G31)</f>
        <v>8</v>
      </c>
      <c r="S32" t="s">
        <v>110</v>
      </c>
      <c r="T32" s="888"/>
    </row>
    <row r="33" spans="1:54" s="7" customFormat="1" x14ac:dyDescent="0.25">
      <c r="F33" s="17"/>
      <c r="G33" s="17"/>
      <c r="P33" s="17"/>
      <c r="Q33" s="17"/>
      <c r="R33" s="835">
        <f>R31-R32</f>
        <v>6.1180456256693105E-8</v>
      </c>
      <c r="S33" s="7" t="s">
        <v>102</v>
      </c>
      <c r="T33" s="888"/>
    </row>
    <row r="34" spans="1:54" s="7" customFormat="1" x14ac:dyDescent="0.25">
      <c r="F34" s="17"/>
      <c r="G34" s="17"/>
      <c r="H34" s="17"/>
      <c r="I34" s="17"/>
      <c r="J34" s="196"/>
      <c r="K34" s="54"/>
      <c r="L34" s="28"/>
      <c r="T34" s="888"/>
    </row>
    <row r="35" spans="1:54" x14ac:dyDescent="0.25">
      <c r="C35" s="7"/>
      <c r="D35" s="7"/>
      <c r="F35" s="17"/>
      <c r="G35" s="17"/>
      <c r="H35" s="17"/>
    </row>
    <row r="36" spans="1:54" x14ac:dyDescent="0.25">
      <c r="C36" s="7"/>
      <c r="D36" s="7"/>
      <c r="E36" s="7"/>
      <c r="F36" s="17"/>
      <c r="G36" s="17"/>
      <c r="H36" s="17"/>
      <c r="I36" s="17"/>
      <c r="J36" s="17"/>
      <c r="K36" s="17"/>
      <c r="L36" s="7"/>
      <c r="M36" s="7"/>
      <c r="N36" s="7"/>
      <c r="O36" s="7"/>
    </row>
    <row r="37" spans="1:54" s="33" customFormat="1" ht="15.75" thickBot="1" x14ac:dyDescent="0.3">
      <c r="A37"/>
      <c r="B37"/>
      <c r="C37" s="7"/>
      <c r="D37" s="7"/>
      <c r="E37" s="7"/>
      <c r="F37" s="7"/>
      <c r="G37" s="7"/>
      <c r="H37" s="7"/>
      <c r="I37" s="7"/>
      <c r="J37" s="7"/>
      <c r="K37" s="7"/>
      <c r="L37" s="7"/>
      <c r="M37" s="7"/>
      <c r="N37" s="7"/>
      <c r="O37" s="7"/>
      <c r="P37" s="7"/>
      <c r="Q37" s="7"/>
      <c r="R37" s="7"/>
      <c r="S37" s="7"/>
      <c r="T37" s="888"/>
      <c r="U37" s="888"/>
      <c r="V37" s="888"/>
      <c r="W37" s="888"/>
      <c r="X37" s="888"/>
      <c r="Y37" s="888"/>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c r="D38" s="7"/>
      <c r="E38"/>
      <c r="F38" s="436" t="s">
        <v>12</v>
      </c>
      <c r="G38" s="439"/>
      <c r="H38" s="428"/>
      <c r="I38" s="428"/>
      <c r="J38" s="428"/>
      <c r="K38" s="836"/>
      <c r="L38" s="836"/>
      <c r="M38" s="836"/>
      <c r="N38" s="889" t="s">
        <v>426</v>
      </c>
      <c r="O38" s="894" t="s">
        <v>427</v>
      </c>
      <c r="P38" s="436" t="s">
        <v>13</v>
      </c>
      <c r="Q38" s="428"/>
      <c r="R38" s="439" t="s">
        <v>36</v>
      </c>
      <c r="S38" s="837" t="s">
        <v>35</v>
      </c>
      <c r="T38" s="888"/>
      <c r="U38" s="888"/>
      <c r="V38" s="888"/>
      <c r="W38" s="888"/>
      <c r="X38" s="888"/>
      <c r="Y38" s="888"/>
      <c r="Z38" s="1216"/>
      <c r="AA38" s="1216"/>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255" t="s">
        <v>369</v>
      </c>
      <c r="C39" s="7" t="s">
        <v>4</v>
      </c>
      <c r="D39" s="7" t="s">
        <v>370</v>
      </c>
      <c r="E39" s="117" t="s">
        <v>45</v>
      </c>
      <c r="F39" s="249" t="s">
        <v>134</v>
      </c>
      <c r="G39" s="250" t="s">
        <v>135</v>
      </c>
      <c r="H39" s="838" t="s">
        <v>371</v>
      </c>
      <c r="I39" s="838" t="s">
        <v>372</v>
      </c>
      <c r="J39" s="838" t="s">
        <v>373</v>
      </c>
      <c r="K39" s="838" t="s">
        <v>374</v>
      </c>
      <c r="L39" s="838" t="s">
        <v>375</v>
      </c>
      <c r="M39" s="838" t="s">
        <v>376</v>
      </c>
      <c r="N39" s="890"/>
      <c r="O39" s="895"/>
      <c r="P39" s="249" t="s">
        <v>134</v>
      </c>
      <c r="Q39" s="175" t="s">
        <v>135</v>
      </c>
      <c r="R39" s="839">
        <v>0</v>
      </c>
      <c r="S39" s="840"/>
      <c r="T39" s="888" t="s">
        <v>364</v>
      </c>
      <c r="U39" s="1258" t="s">
        <v>365</v>
      </c>
      <c r="V39" s="1259"/>
      <c r="W39" s="888"/>
      <c r="X39" s="145"/>
      <c r="Y39" s="888"/>
      <c r="Z39" s="7"/>
      <c r="AA39" s="8"/>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5.75" thickTop="1" x14ac:dyDescent="0.25">
      <c r="A40"/>
      <c r="B40" s="1256"/>
      <c r="C40" s="841">
        <v>0.02</v>
      </c>
      <c r="D40" s="815">
        <f>$C$40*H40</f>
        <v>0.2</v>
      </c>
      <c r="E40" s="25">
        <v>1</v>
      </c>
      <c r="F40" s="320">
        <v>5</v>
      </c>
      <c r="G40" s="816">
        <v>5</v>
      </c>
      <c r="H40" s="145">
        <f t="shared" ref="H40:H56" si="9">SUM(F40:G40)</f>
        <v>10</v>
      </c>
      <c r="I40" s="145">
        <f t="shared" ref="I40:I56" si="10">F40/D40</f>
        <v>25</v>
      </c>
      <c r="J40" s="145">
        <f t="shared" ref="J40:J56" si="11">G40/D40</f>
        <v>25</v>
      </c>
      <c r="K40" s="145">
        <f t="shared" ref="K40:L56" si="12">EXP(I40)</f>
        <v>72004899337.38588</v>
      </c>
      <c r="L40" s="145">
        <f t="shared" si="12"/>
        <v>72004899337.38588</v>
      </c>
      <c r="M40" s="145">
        <f t="shared" ref="M40:M56" si="13">SUM(K40:L40)</f>
        <v>144009798674.77176</v>
      </c>
      <c r="N40" s="892">
        <v>0.5</v>
      </c>
      <c r="O40" s="896">
        <f>U40</f>
        <v>0.5</v>
      </c>
      <c r="P40" s="842">
        <f t="shared" ref="P40:P55" si="14">( $C$40*LN($M40) ) + (($H40*K40) - SUMPRODUCT($F40:$G40,$K40:$L40))/($H40* $M40)</f>
        <v>0.513862943611199</v>
      </c>
      <c r="Q40" s="843">
        <f t="shared" ref="Q40:Q55" si="15">( $C$40*LN($M40) ) + (($H40*L40) - SUMPRODUCT($F40:$G40,$K40:$L40))/($H40* $M40)</f>
        <v>0.513862943611199</v>
      </c>
      <c r="R40" s="844">
        <f t="shared" ref="R40:R56" si="16">$D40*LN(EXP($G40/$D40)+EXP($F40/$D40))</f>
        <v>5.13862943611199</v>
      </c>
      <c r="S40" s="414">
        <f t="shared" ref="S40:S55" si="17">(R40-R39)</f>
        <v>5.13862943611199</v>
      </c>
      <c r="T40" s="820">
        <f t="shared" ref="T40:T55" si="18">SUM(P40:Q40) - 1</f>
        <v>2.7725887222397994E-2</v>
      </c>
      <c r="U40" s="644">
        <f t="shared" ref="U40:U55" si="19">P40-($T40/2)</f>
        <v>0.5</v>
      </c>
      <c r="V40" s="645">
        <f t="shared" ref="V40:V55" si="20">Q40-($T40/2)</f>
        <v>0.5</v>
      </c>
      <c r="W40" s="888"/>
      <c r="X40" s="821"/>
      <c r="Y40" s="888"/>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256"/>
      <c r="C41" s="7"/>
      <c r="D41" s="7">
        <f t="shared" ref="D41:D56" si="21">$C$40*H41</f>
        <v>3.1</v>
      </c>
      <c r="E41" s="25">
        <v>2</v>
      </c>
      <c r="F41" s="320">
        <v>75</v>
      </c>
      <c r="G41" s="816">
        <v>80</v>
      </c>
      <c r="H41" s="145">
        <f t="shared" si="9"/>
        <v>155</v>
      </c>
      <c r="I41" s="145">
        <f t="shared" si="10"/>
        <v>24.193548387096772</v>
      </c>
      <c r="J41" s="145">
        <f t="shared" si="11"/>
        <v>25.806451612903224</v>
      </c>
      <c r="K41" s="145">
        <f t="shared" si="12"/>
        <v>32145823969.09565</v>
      </c>
      <c r="L41" s="145">
        <f t="shared" si="12"/>
        <v>161287062779.02615</v>
      </c>
      <c r="M41" s="145">
        <f t="shared" si="13"/>
        <v>193432886748.1218</v>
      </c>
      <c r="N41" s="892">
        <v>0.16618592892610989</v>
      </c>
      <c r="O41" s="896">
        <f t="shared" ref="O41:O55" si="22">U41</f>
        <v>0.16618592892610989</v>
      </c>
      <c r="P41" s="842">
        <f t="shared" si="14"/>
        <v>0.17518166209987401</v>
      </c>
      <c r="Q41" s="843">
        <f t="shared" si="15"/>
        <v>0.84280980424765417</v>
      </c>
      <c r="R41" s="844">
        <f t="shared" si="16"/>
        <v>80.563408997302872</v>
      </c>
      <c r="S41" s="414">
        <f t="shared" si="17"/>
        <v>75.424779561190888</v>
      </c>
      <c r="T41" s="820">
        <f t="shared" si="18"/>
        <v>1.799146634752824E-2</v>
      </c>
      <c r="U41" s="644">
        <f t="shared" si="19"/>
        <v>0.16618592892610989</v>
      </c>
      <c r="V41" s="645">
        <f t="shared" si="20"/>
        <v>0.83381407107389005</v>
      </c>
      <c r="W41" s="888"/>
      <c r="X41" s="821"/>
      <c r="Y41" s="888"/>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256"/>
      <c r="C42" s="7"/>
      <c r="D42" s="7">
        <f t="shared" si="21"/>
        <v>3.34</v>
      </c>
      <c r="E42" s="25">
        <v>3</v>
      </c>
      <c r="F42" s="320">
        <v>77</v>
      </c>
      <c r="G42" s="816">
        <v>90</v>
      </c>
      <c r="H42" s="145">
        <f t="shared" si="9"/>
        <v>167</v>
      </c>
      <c r="I42" s="145">
        <f t="shared" si="10"/>
        <v>23.053892215568862</v>
      </c>
      <c r="J42" s="145">
        <f t="shared" si="11"/>
        <v>26.946107784431138</v>
      </c>
      <c r="K42" s="145">
        <f t="shared" si="12"/>
        <v>10284381432.599691</v>
      </c>
      <c r="L42" s="145">
        <f t="shared" si="12"/>
        <v>504133920213.46686</v>
      </c>
      <c r="M42" s="145">
        <f t="shared" si="13"/>
        <v>514418301646.06653</v>
      </c>
      <c r="N42" s="892">
        <v>1.999225416298589E-2</v>
      </c>
      <c r="O42" s="896">
        <f t="shared" si="22"/>
        <v>1.999225416298589E-2</v>
      </c>
      <c r="P42" s="842">
        <f t="shared" si="14"/>
        <v>2.1952433489850987E-2</v>
      </c>
      <c r="Q42" s="843">
        <f t="shared" si="15"/>
        <v>0.98196792516387932</v>
      </c>
      <c r="R42" s="844">
        <f>$D42*LN(EXP($G42/$D42)+EXP($F42/$D42))</f>
        <v>90.067450643467666</v>
      </c>
      <c r="S42" s="414">
        <f t="shared" si="17"/>
        <v>9.5040416461647936</v>
      </c>
      <c r="T42" s="820">
        <f t="shared" si="18"/>
        <v>3.9203586537301938E-3</v>
      </c>
      <c r="U42" s="644">
        <f t="shared" si="19"/>
        <v>1.999225416298589E-2</v>
      </c>
      <c r="V42" s="645">
        <f t="shared" si="20"/>
        <v>0.98000774583701422</v>
      </c>
      <c r="W42" s="888"/>
      <c r="X42" s="821"/>
      <c r="Y42" s="888"/>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256"/>
      <c r="C43" s="7"/>
      <c r="D43" s="7">
        <f t="shared" si="21"/>
        <v>22.400000000000002</v>
      </c>
      <c r="E43" s="25">
        <v>4</v>
      </c>
      <c r="F43" s="320">
        <v>120</v>
      </c>
      <c r="G43" s="816">
        <v>1000</v>
      </c>
      <c r="H43" s="145">
        <f t="shared" si="9"/>
        <v>1120</v>
      </c>
      <c r="I43" s="145">
        <f t="shared" si="10"/>
        <v>5.3571428571428568</v>
      </c>
      <c r="J43" s="145">
        <f t="shared" si="11"/>
        <v>44.642857142857139</v>
      </c>
      <c r="K43" s="145">
        <f t="shared" si="12"/>
        <v>212.11802832702099</v>
      </c>
      <c r="L43" s="145">
        <f t="shared" si="12"/>
        <v>2.4442550072141074E+19</v>
      </c>
      <c r="M43" s="145">
        <f t="shared" si="13"/>
        <v>2.4442550072141074E+19</v>
      </c>
      <c r="N43" s="892">
        <v>0</v>
      </c>
      <c r="O43" s="896">
        <f t="shared" si="22"/>
        <v>0</v>
      </c>
      <c r="P43" s="842">
        <f t="shared" si="14"/>
        <v>0</v>
      </c>
      <c r="Q43" s="843">
        <f t="shared" si="15"/>
        <v>0.99999999999999989</v>
      </c>
      <c r="R43" s="844">
        <f t="shared" si="16"/>
        <v>1000</v>
      </c>
      <c r="S43" s="414">
        <f t="shared" si="17"/>
        <v>909.93254935653238</v>
      </c>
      <c r="T43" s="820">
        <f t="shared" si="18"/>
        <v>0</v>
      </c>
      <c r="U43" s="644">
        <f t="shared" si="19"/>
        <v>0</v>
      </c>
      <c r="V43" s="645">
        <f t="shared" si="20"/>
        <v>0.99999999999999989</v>
      </c>
      <c r="W43" s="888"/>
      <c r="X43" s="821"/>
      <c r="Y43" s="888"/>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256"/>
      <c r="C44" s="7"/>
      <c r="D44" s="7">
        <f t="shared" si="21"/>
        <v>28</v>
      </c>
      <c r="E44" s="25">
        <v>5</v>
      </c>
      <c r="F44" s="320">
        <v>400</v>
      </c>
      <c r="G44" s="816">
        <v>1000</v>
      </c>
      <c r="H44" s="145">
        <f t="shared" si="9"/>
        <v>1400</v>
      </c>
      <c r="I44" s="145">
        <f t="shared" si="10"/>
        <v>14.285714285714286</v>
      </c>
      <c r="J44" s="145">
        <f t="shared" si="11"/>
        <v>35.714285714285715</v>
      </c>
      <c r="K44" s="145">
        <f t="shared" si="12"/>
        <v>1600320.1896405087</v>
      </c>
      <c r="L44" s="145">
        <f t="shared" si="12"/>
        <v>3239792612846907.5</v>
      </c>
      <c r="M44" s="145">
        <f t="shared" si="13"/>
        <v>3239792614447227.5</v>
      </c>
      <c r="N44" s="892">
        <v>4.9395765255866309E-10</v>
      </c>
      <c r="O44" s="896">
        <f t="shared" si="22"/>
        <v>4.9395765255866309E-10</v>
      </c>
      <c r="P44" s="842">
        <f t="shared" si="14"/>
        <v>7.1553285518888288E-10</v>
      </c>
      <c r="Q44" s="843">
        <f t="shared" si="15"/>
        <v>0.99999999972761766</v>
      </c>
      <c r="R44" s="844">
        <f t="shared" si="16"/>
        <v>1000.0000000138308</v>
      </c>
      <c r="S44" s="414">
        <f t="shared" si="17"/>
        <v>1.3830799616698641E-8</v>
      </c>
      <c r="T44" s="820">
        <f t="shared" si="18"/>
        <v>4.4315040526043958E-10</v>
      </c>
      <c r="U44" s="644">
        <f t="shared" si="19"/>
        <v>4.9395765255866309E-10</v>
      </c>
      <c r="V44" s="645">
        <f t="shared" si="20"/>
        <v>0.99999999950604246</v>
      </c>
      <c r="W44" s="888"/>
      <c r="X44" s="821"/>
      <c r="Y44" s="888"/>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256"/>
      <c r="C45" s="7"/>
      <c r="D45" s="7">
        <f t="shared" si="21"/>
        <v>36</v>
      </c>
      <c r="E45" s="25">
        <v>6</v>
      </c>
      <c r="F45" s="320">
        <v>800</v>
      </c>
      <c r="G45" s="816">
        <v>1000</v>
      </c>
      <c r="H45" s="145">
        <f t="shared" si="9"/>
        <v>1800</v>
      </c>
      <c r="I45" s="145">
        <f t="shared" si="10"/>
        <v>22.222222222222221</v>
      </c>
      <c r="J45" s="145">
        <f t="shared" si="11"/>
        <v>27.777777777777779</v>
      </c>
      <c r="K45" s="145">
        <f t="shared" si="12"/>
        <v>4477014353.3610363</v>
      </c>
      <c r="L45" s="145">
        <f t="shared" si="12"/>
        <v>1158072125610.8438</v>
      </c>
      <c r="M45" s="145">
        <f t="shared" si="13"/>
        <v>1162549139964.2048</v>
      </c>
      <c r="N45" s="892">
        <v>3.8510323559302062E-3</v>
      </c>
      <c r="O45" s="896">
        <f t="shared" si="22"/>
        <v>3.8510323559302062E-3</v>
      </c>
      <c r="P45" s="842">
        <f t="shared" si="14"/>
        <v>4.3560941733966629E-3</v>
      </c>
      <c r="Q45" s="843">
        <f t="shared" si="15"/>
        <v>0.99665402946153614</v>
      </c>
      <c r="R45" s="844">
        <f t="shared" si="16"/>
        <v>1000.1389048002534</v>
      </c>
      <c r="S45" s="414">
        <f>(R45-R44)</f>
        <v>0.13890478642258586</v>
      </c>
      <c r="T45" s="820">
        <f t="shared" si="18"/>
        <v>1.0101236349329135E-3</v>
      </c>
      <c r="U45" s="644">
        <f t="shared" si="19"/>
        <v>3.8510323559302062E-3</v>
      </c>
      <c r="V45" s="645">
        <f t="shared" si="20"/>
        <v>0.99614896764406968</v>
      </c>
      <c r="W45" s="888"/>
      <c r="X45" s="821"/>
      <c r="Y45" s="888"/>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256"/>
      <c r="C46" s="7"/>
      <c r="D46" s="7">
        <f t="shared" si="21"/>
        <v>39</v>
      </c>
      <c r="E46" s="25">
        <v>7</v>
      </c>
      <c r="F46" s="320">
        <v>950</v>
      </c>
      <c r="G46" s="816">
        <v>1000</v>
      </c>
      <c r="H46" s="145">
        <f t="shared" si="9"/>
        <v>1950</v>
      </c>
      <c r="I46" s="145">
        <f t="shared" si="10"/>
        <v>24.358974358974358</v>
      </c>
      <c r="J46" s="145">
        <f t="shared" si="11"/>
        <v>25.641025641025642</v>
      </c>
      <c r="K46" s="145">
        <f t="shared" si="12"/>
        <v>37928716710.497704</v>
      </c>
      <c r="L46" s="145">
        <f t="shared" si="12"/>
        <v>136696044006.99583</v>
      </c>
      <c r="M46" s="145">
        <f t="shared" si="13"/>
        <v>174624760717.49353</v>
      </c>
      <c r="N46" s="892">
        <v>0.22</v>
      </c>
      <c r="O46" s="896">
        <f t="shared" si="22"/>
        <v>0.21720125230040233</v>
      </c>
      <c r="P46" s="842">
        <f t="shared" si="14"/>
        <v>0.22766810804454107</v>
      </c>
      <c r="Q46" s="843">
        <f t="shared" si="15"/>
        <v>0.79326560344373642</v>
      </c>
      <c r="R46" s="844">
        <f t="shared" si="16"/>
        <v>1009.5503060860506</v>
      </c>
      <c r="S46" s="414">
        <f>(R46-R45)</f>
        <v>9.4114012857971829</v>
      </c>
      <c r="T46" s="820">
        <f t="shared" si="18"/>
        <v>2.0933711488277496E-2</v>
      </c>
      <c r="U46" s="644">
        <f t="shared" si="19"/>
        <v>0.21720125230040233</v>
      </c>
      <c r="V46" s="645">
        <f t="shared" si="20"/>
        <v>0.78279874769959767</v>
      </c>
      <c r="W46" s="888"/>
      <c r="X46" s="821"/>
      <c r="Y46" s="888"/>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256"/>
      <c r="C47" s="7"/>
      <c r="D47" s="7">
        <f t="shared" si="21"/>
        <v>40</v>
      </c>
      <c r="E47" s="25">
        <v>8</v>
      </c>
      <c r="F47" s="320">
        <v>1000</v>
      </c>
      <c r="G47" s="816">
        <v>1000</v>
      </c>
      <c r="H47" s="145">
        <f t="shared" si="9"/>
        <v>2000</v>
      </c>
      <c r="I47" s="145">
        <f t="shared" si="10"/>
        <v>25</v>
      </c>
      <c r="J47" s="145">
        <f t="shared" si="11"/>
        <v>25</v>
      </c>
      <c r="K47" s="145">
        <f t="shared" si="12"/>
        <v>72004899337.38588</v>
      </c>
      <c r="L47" s="145">
        <f t="shared" si="12"/>
        <v>72004899337.38588</v>
      </c>
      <c r="M47" s="145">
        <f t="shared" si="13"/>
        <v>144009798674.77176</v>
      </c>
      <c r="N47" s="892">
        <v>0.5</v>
      </c>
      <c r="O47" s="896">
        <f t="shared" si="22"/>
        <v>0.5</v>
      </c>
      <c r="P47" s="842">
        <f t="shared" si="14"/>
        <v>0.513862943611199</v>
      </c>
      <c r="Q47" s="843">
        <f t="shared" si="15"/>
        <v>0.513862943611199</v>
      </c>
      <c r="R47" s="844">
        <f t="shared" si="16"/>
        <v>1027.7258872223979</v>
      </c>
      <c r="S47" s="414">
        <f>(R47-R46)</f>
        <v>18.175581136347319</v>
      </c>
      <c r="T47" s="820">
        <f t="shared" si="18"/>
        <v>2.7725887222397994E-2</v>
      </c>
      <c r="U47" s="644">
        <f t="shared" si="19"/>
        <v>0.5</v>
      </c>
      <c r="V47" s="645">
        <f t="shared" si="20"/>
        <v>0.5</v>
      </c>
      <c r="W47" s="888"/>
      <c r="X47" s="821"/>
      <c r="Y47" s="888"/>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256"/>
      <c r="C48" s="7"/>
      <c r="D48" s="7">
        <f t="shared" si="21"/>
        <v>40.08</v>
      </c>
      <c r="E48" s="25">
        <v>9</v>
      </c>
      <c r="F48" s="320">
        <v>1004</v>
      </c>
      <c r="G48" s="816">
        <v>1000</v>
      </c>
      <c r="H48" s="145">
        <f t="shared" si="9"/>
        <v>2004</v>
      </c>
      <c r="I48" s="145">
        <f t="shared" si="10"/>
        <v>25.049900199600799</v>
      </c>
      <c r="J48" s="145">
        <f t="shared" si="11"/>
        <v>24.950099800399201</v>
      </c>
      <c r="K48" s="145">
        <f t="shared" si="12"/>
        <v>75689115289.988922</v>
      </c>
      <c r="L48" s="145">
        <f t="shared" si="12"/>
        <v>68500014945.64743</v>
      </c>
      <c r="M48" s="145">
        <f t="shared" si="13"/>
        <v>144189130235.63635</v>
      </c>
      <c r="N48" s="892">
        <v>0.52</v>
      </c>
      <c r="O48" s="896">
        <f t="shared" si="22"/>
        <v>0.52492941157420447</v>
      </c>
      <c r="P48" s="842">
        <f t="shared" si="14"/>
        <v>0.53876748585317424</v>
      </c>
      <c r="Q48" s="843">
        <f t="shared" si="15"/>
        <v>0.4889086627047653</v>
      </c>
      <c r="R48" s="844">
        <f t="shared" si="16"/>
        <v>1029.8312185013522</v>
      </c>
      <c r="S48" s="414">
        <f t="shared" si="17"/>
        <v>2.1053312789542815</v>
      </c>
      <c r="T48" s="820">
        <f t="shared" si="18"/>
        <v>2.7676148557939539E-2</v>
      </c>
      <c r="U48" s="644">
        <f t="shared" si="19"/>
        <v>0.52492941157420447</v>
      </c>
      <c r="V48" s="645">
        <f t="shared" si="20"/>
        <v>0.47507058842579553</v>
      </c>
      <c r="W48" s="888"/>
      <c r="X48" s="821"/>
      <c r="Y48" s="888"/>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256"/>
      <c r="C49" s="7"/>
      <c r="D49" s="7">
        <f t="shared" si="21"/>
        <v>39.94</v>
      </c>
      <c r="E49" s="25">
        <v>10</v>
      </c>
      <c r="F49" s="320">
        <v>1000</v>
      </c>
      <c r="G49" s="816">
        <v>997</v>
      </c>
      <c r="H49" s="145">
        <f t="shared" si="9"/>
        <v>1997</v>
      </c>
      <c r="I49" s="145">
        <f t="shared" si="10"/>
        <v>25.037556334501755</v>
      </c>
      <c r="J49" s="145">
        <f t="shared" si="11"/>
        <v>24.962443665498249</v>
      </c>
      <c r="K49" s="145">
        <f t="shared" si="12"/>
        <v>74760561821.117325</v>
      </c>
      <c r="L49" s="145">
        <f t="shared" si="12"/>
        <v>69350810136.937561</v>
      </c>
      <c r="M49" s="145">
        <f t="shared" si="13"/>
        <v>144111371958.05487</v>
      </c>
      <c r="N49" s="892">
        <v>0.52</v>
      </c>
      <c r="O49" s="896">
        <f t="shared" si="22"/>
        <v>0.51876934349689741</v>
      </c>
      <c r="P49" s="842">
        <f t="shared" si="14"/>
        <v>0.53261819226649698</v>
      </c>
      <c r="Q49" s="843">
        <f t="shared" si="15"/>
        <v>0.49507950527270217</v>
      </c>
      <c r="R49" s="844">
        <f t="shared" si="16"/>
        <v>1026.2124590233809</v>
      </c>
      <c r="S49" s="414">
        <f t="shared" si="17"/>
        <v>-3.6187594779712526</v>
      </c>
      <c r="T49" s="820">
        <f t="shared" si="18"/>
        <v>2.7697697539199151E-2</v>
      </c>
      <c r="U49" s="644">
        <f t="shared" si="19"/>
        <v>0.51876934349689741</v>
      </c>
      <c r="V49" s="645">
        <f t="shared" si="20"/>
        <v>0.48123065650310259</v>
      </c>
      <c r="W49" s="888"/>
      <c r="X49" s="821"/>
      <c r="Y49" s="888"/>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256"/>
      <c r="C50" s="7"/>
      <c r="D50" s="7">
        <f t="shared" si="21"/>
        <v>40</v>
      </c>
      <c r="E50" s="25">
        <v>11</v>
      </c>
      <c r="F50" s="457">
        <v>1000</v>
      </c>
      <c r="G50" s="848">
        <v>1000</v>
      </c>
      <c r="H50" s="145">
        <f t="shared" si="9"/>
        <v>2000</v>
      </c>
      <c r="I50" s="145">
        <f t="shared" si="10"/>
        <v>25</v>
      </c>
      <c r="J50" s="145">
        <f t="shared" si="11"/>
        <v>25</v>
      </c>
      <c r="K50" s="145">
        <f t="shared" si="12"/>
        <v>72004899337.38588</v>
      </c>
      <c r="L50" s="145">
        <f t="shared" si="12"/>
        <v>72004899337.38588</v>
      </c>
      <c r="M50" s="145">
        <f t="shared" si="13"/>
        <v>144009798674.77176</v>
      </c>
      <c r="N50" s="892">
        <v>0.5</v>
      </c>
      <c r="O50" s="896">
        <f t="shared" si="22"/>
        <v>0.5</v>
      </c>
      <c r="P50" s="842">
        <f t="shared" si="14"/>
        <v>0.513862943611199</v>
      </c>
      <c r="Q50" s="843">
        <f t="shared" si="15"/>
        <v>0.513862943611199</v>
      </c>
      <c r="R50" s="844">
        <f t="shared" si="16"/>
        <v>1027.7258872223979</v>
      </c>
      <c r="S50" s="414">
        <f t="shared" si="17"/>
        <v>1.5134281990169711</v>
      </c>
      <c r="T50" s="820">
        <f t="shared" si="18"/>
        <v>2.7725887222397994E-2</v>
      </c>
      <c r="U50" s="644">
        <f t="shared" si="19"/>
        <v>0.5</v>
      </c>
      <c r="V50" s="645">
        <f t="shared" si="20"/>
        <v>0.5</v>
      </c>
      <c r="W50" s="888"/>
      <c r="X50" s="821"/>
      <c r="Y50" s="888"/>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256"/>
      <c r="C51" s="7"/>
      <c r="D51" s="7">
        <f t="shared" si="21"/>
        <v>4</v>
      </c>
      <c r="E51" s="25">
        <v>12</v>
      </c>
      <c r="F51" s="457">
        <v>100</v>
      </c>
      <c r="G51" s="848">
        <v>100</v>
      </c>
      <c r="H51" s="145">
        <f t="shared" si="9"/>
        <v>200</v>
      </c>
      <c r="I51" s="145">
        <f t="shared" si="10"/>
        <v>25</v>
      </c>
      <c r="J51" s="145">
        <f t="shared" si="11"/>
        <v>25</v>
      </c>
      <c r="K51" s="145">
        <f t="shared" si="12"/>
        <v>72004899337.38588</v>
      </c>
      <c r="L51" s="145">
        <f t="shared" si="12"/>
        <v>72004899337.38588</v>
      </c>
      <c r="M51" s="145">
        <f t="shared" si="13"/>
        <v>144009798674.77176</v>
      </c>
      <c r="N51" s="892">
        <v>0.5</v>
      </c>
      <c r="O51" s="896">
        <f t="shared" si="22"/>
        <v>0.5</v>
      </c>
      <c r="P51" s="842">
        <f t="shared" si="14"/>
        <v>0.513862943611199</v>
      </c>
      <c r="Q51" s="843">
        <f t="shared" si="15"/>
        <v>0.513862943611199</v>
      </c>
      <c r="R51" s="844">
        <f t="shared" si="16"/>
        <v>102.77258872223979</v>
      </c>
      <c r="S51" s="414">
        <f t="shared" si="17"/>
        <v>-924.9532985001581</v>
      </c>
      <c r="T51" s="820">
        <f t="shared" si="18"/>
        <v>2.7725887222397994E-2</v>
      </c>
      <c r="U51" s="644">
        <f t="shared" si="19"/>
        <v>0.5</v>
      </c>
      <c r="V51" s="645">
        <f t="shared" si="20"/>
        <v>0.5</v>
      </c>
      <c r="W51" s="888"/>
      <c r="X51" s="821"/>
      <c r="Y51" s="888"/>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256"/>
      <c r="C52" s="7"/>
      <c r="D52" s="7">
        <f t="shared" si="21"/>
        <v>1.26</v>
      </c>
      <c r="E52" s="25">
        <v>13</v>
      </c>
      <c r="F52" s="457">
        <v>30</v>
      </c>
      <c r="G52" s="848">
        <v>33</v>
      </c>
      <c r="H52" s="145">
        <f t="shared" si="9"/>
        <v>63</v>
      </c>
      <c r="I52" s="145">
        <f t="shared" si="10"/>
        <v>23.80952380952381</v>
      </c>
      <c r="J52" s="145">
        <f t="shared" si="11"/>
        <v>26.19047619047619</v>
      </c>
      <c r="K52" s="145">
        <f t="shared" si="12"/>
        <v>21894992825.535973</v>
      </c>
      <c r="L52" s="145">
        <f t="shared" si="12"/>
        <v>236798685886.76529</v>
      </c>
      <c r="M52" s="145">
        <f t="shared" si="13"/>
        <v>258693678712.30127</v>
      </c>
      <c r="N52" s="892">
        <v>8.4636752372623192E-2</v>
      </c>
      <c r="O52" s="896">
        <f t="shared" si="22"/>
        <v>8.4636752372623192E-2</v>
      </c>
      <c r="P52" s="842">
        <f t="shared" si="14"/>
        <v>9.0435759925068193E-2</v>
      </c>
      <c r="Q52" s="843">
        <f t="shared" si="15"/>
        <v>0.92116225517982175</v>
      </c>
      <c r="R52" s="844">
        <f t="shared" si="16"/>
        <v>33.111427218686174</v>
      </c>
      <c r="S52" s="414">
        <f t="shared" si="17"/>
        <v>-69.661161503553615</v>
      </c>
      <c r="T52" s="820">
        <f t="shared" si="18"/>
        <v>1.1598015104890003E-2</v>
      </c>
      <c r="U52" s="644">
        <f t="shared" si="19"/>
        <v>8.4636752372623192E-2</v>
      </c>
      <c r="V52" s="645">
        <f t="shared" si="20"/>
        <v>0.91536324762737675</v>
      </c>
      <c r="W52" s="888"/>
      <c r="X52" s="821"/>
      <c r="Y52" s="888"/>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256"/>
      <c r="C53" s="7"/>
      <c r="D53" s="7">
        <f t="shared" si="21"/>
        <v>1.28</v>
      </c>
      <c r="E53" s="25">
        <v>14</v>
      </c>
      <c r="F53" s="457">
        <v>30</v>
      </c>
      <c r="G53" s="848">
        <v>34</v>
      </c>
      <c r="H53" s="145">
        <f t="shared" si="9"/>
        <v>64</v>
      </c>
      <c r="I53" s="145">
        <f t="shared" si="10"/>
        <v>23.4375</v>
      </c>
      <c r="J53" s="145">
        <f t="shared" si="11"/>
        <v>26.5625</v>
      </c>
      <c r="K53" s="145">
        <f t="shared" si="12"/>
        <v>15093046831.784616</v>
      </c>
      <c r="L53" s="145">
        <f t="shared" si="12"/>
        <v>343516162533.10382</v>
      </c>
      <c r="M53" s="145">
        <f t="shared" si="13"/>
        <v>358609209364.88843</v>
      </c>
      <c r="N53" s="892">
        <v>4.2087727915618878E-2</v>
      </c>
      <c r="O53" s="896">
        <f t="shared" si="22"/>
        <v>4.2087727915618878E-2</v>
      </c>
      <c r="P53" s="842">
        <f t="shared" si="14"/>
        <v>4.5578192494926784E-2</v>
      </c>
      <c r="Q53" s="843">
        <f t="shared" si="15"/>
        <v>0.96140273666368914</v>
      </c>
      <c r="R53" s="844">
        <f t="shared" si="16"/>
        <v>34.055038821413234</v>
      </c>
      <c r="S53" s="414">
        <f t="shared" si="17"/>
        <v>0.94361160272706002</v>
      </c>
      <c r="T53" s="820">
        <f t="shared" si="18"/>
        <v>6.9809291586158118E-3</v>
      </c>
      <c r="U53" s="644">
        <f t="shared" si="19"/>
        <v>4.2087727915618878E-2</v>
      </c>
      <c r="V53" s="645">
        <f t="shared" si="20"/>
        <v>0.95791227208438123</v>
      </c>
      <c r="W53" s="888"/>
      <c r="X53" s="821"/>
      <c r="Y53" s="888"/>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256"/>
      <c r="C54" s="7"/>
      <c r="D54" s="7">
        <f t="shared" si="21"/>
        <v>0.28000000000000003</v>
      </c>
      <c r="E54" s="25">
        <v>15</v>
      </c>
      <c r="F54" s="457">
        <v>5</v>
      </c>
      <c r="G54" s="848">
        <v>9</v>
      </c>
      <c r="H54" s="145">
        <f t="shared" si="9"/>
        <v>14</v>
      </c>
      <c r="I54" s="145">
        <f t="shared" si="10"/>
        <v>17.857142857142854</v>
      </c>
      <c r="J54" s="145">
        <f t="shared" si="11"/>
        <v>32.142857142857139</v>
      </c>
      <c r="K54" s="145">
        <f t="shared" si="12"/>
        <v>56919176.143430643</v>
      </c>
      <c r="L54" s="145">
        <f t="shared" si="12"/>
        <v>91088906760036.281</v>
      </c>
      <c r="M54" s="145">
        <f t="shared" si="13"/>
        <v>91088963679212.422</v>
      </c>
      <c r="N54" s="892">
        <v>6.2487456053972323E-7</v>
      </c>
      <c r="O54" s="896">
        <f t="shared" si="22"/>
        <v>6.2487456053972323E-7</v>
      </c>
      <c r="P54" s="842">
        <f t="shared" si="14"/>
        <v>8.1590764433592256E-7</v>
      </c>
      <c r="Q54" s="843">
        <f t="shared" si="15"/>
        <v>0.99999956615852337</v>
      </c>
      <c r="R54" s="844">
        <f t="shared" si="16"/>
        <v>9.0000001749649314</v>
      </c>
      <c r="S54" s="414">
        <f t="shared" si="17"/>
        <v>-25.055038646448303</v>
      </c>
      <c r="T54" s="820">
        <f t="shared" si="18"/>
        <v>3.8206616759239864E-7</v>
      </c>
      <c r="U54" s="644">
        <f t="shared" si="19"/>
        <v>6.2487456053972323E-7</v>
      </c>
      <c r="V54" s="645">
        <f t="shared" si="20"/>
        <v>0.99999937512543957</v>
      </c>
      <c r="W54" s="888"/>
      <c r="X54" s="821"/>
      <c r="Y54" s="888"/>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256"/>
      <c r="C55" s="7"/>
      <c r="D55" s="7">
        <f t="shared" si="21"/>
        <v>0.26</v>
      </c>
      <c r="E55" s="25">
        <v>16</v>
      </c>
      <c r="F55" s="249">
        <v>5</v>
      </c>
      <c r="G55" s="250">
        <v>8</v>
      </c>
      <c r="H55" s="838">
        <f t="shared" si="9"/>
        <v>13</v>
      </c>
      <c r="I55" s="838">
        <f t="shared" si="10"/>
        <v>19.23076923076923</v>
      </c>
      <c r="J55" s="838">
        <f t="shared" si="11"/>
        <v>30.769230769230766</v>
      </c>
      <c r="K55" s="838">
        <f t="shared" si="12"/>
        <v>224810690.56995425</v>
      </c>
      <c r="L55" s="838">
        <f t="shared" si="12"/>
        <v>23062539932787.277</v>
      </c>
      <c r="M55" s="838">
        <f t="shared" si="13"/>
        <v>23062764743477.848</v>
      </c>
      <c r="N55" s="893">
        <v>9.7477771233700494E-6</v>
      </c>
      <c r="O55" s="897">
        <f t="shared" si="22"/>
        <v>9.7477771233700494E-6</v>
      </c>
      <c r="P55" s="849">
        <f t="shared" si="14"/>
        <v>1.2192220644524632E-5</v>
      </c>
      <c r="Q55" s="850">
        <f t="shared" si="15"/>
        <v>0.99999269666639778</v>
      </c>
      <c r="R55" s="851">
        <f t="shared" si="16"/>
        <v>8.0000025344344046</v>
      </c>
      <c r="S55" s="814">
        <f t="shared" si="17"/>
        <v>-0.99999764053052687</v>
      </c>
      <c r="T55" s="820">
        <f t="shared" si="18"/>
        <v>4.8888870423091646E-6</v>
      </c>
      <c r="U55" s="646">
        <f t="shared" si="19"/>
        <v>9.7477771233700494E-6</v>
      </c>
      <c r="V55" s="648">
        <f t="shared" si="20"/>
        <v>0.99999025222287663</v>
      </c>
      <c r="W55" s="888"/>
      <c r="X55" s="821"/>
      <c r="Y55" s="888"/>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257"/>
      <c r="C56" s="7"/>
      <c r="D56" s="7">
        <f t="shared" si="21"/>
        <v>0.26</v>
      </c>
      <c r="E56" s="25" t="s">
        <v>97</v>
      </c>
      <c r="F56" s="380">
        <v>5</v>
      </c>
      <c r="G56" s="377">
        <v>8</v>
      </c>
      <c r="H56" s="852">
        <f t="shared" si="9"/>
        <v>13</v>
      </c>
      <c r="I56" s="852">
        <f t="shared" si="10"/>
        <v>19.23076923076923</v>
      </c>
      <c r="J56" s="852">
        <f t="shared" si="11"/>
        <v>30.769230769230766</v>
      </c>
      <c r="K56" s="852">
        <f t="shared" si="12"/>
        <v>224810690.56995425</v>
      </c>
      <c r="L56" s="852">
        <f t="shared" si="12"/>
        <v>23062539932787.277</v>
      </c>
      <c r="M56" s="852">
        <f t="shared" si="13"/>
        <v>23062764743477.848</v>
      </c>
      <c r="N56" s="891"/>
      <c r="O56" s="898"/>
      <c r="P56" s="473">
        <v>0</v>
      </c>
      <c r="Q56" s="475">
        <v>1</v>
      </c>
      <c r="R56" s="853">
        <f t="shared" si="16"/>
        <v>8.0000025344344046</v>
      </c>
      <c r="S56" s="656" t="s">
        <v>132</v>
      </c>
      <c r="T56" s="888"/>
      <c r="U56" s="888"/>
      <c r="V56" s="888"/>
      <c r="W56" s="888"/>
      <c r="X56" s="888"/>
      <c r="Y56" s="888"/>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41"/>
      <c r="H57" s="142"/>
      <c r="I57" s="142"/>
      <c r="J57" s="142"/>
      <c r="K57" s="142"/>
      <c r="L57" s="142"/>
      <c r="M57" s="142"/>
      <c r="N57" s="142"/>
      <c r="O57" s="142"/>
      <c r="P57" s="17"/>
      <c r="Q57" s="33"/>
      <c r="R57" s="834">
        <f>SUMPRODUCT(P56:Q56,F56:G56)</f>
        <v>8</v>
      </c>
      <c r="S57" s="26" t="s">
        <v>110</v>
      </c>
      <c r="T57" s="888"/>
      <c r="U57" s="888"/>
      <c r="V57" s="888"/>
      <c r="W57" s="888"/>
      <c r="X57" s="888"/>
      <c r="Y57" s="888"/>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41"/>
      <c r="H58" s="142"/>
      <c r="I58" s="142"/>
      <c r="J58" s="142"/>
      <c r="K58" s="142"/>
      <c r="L58" s="142"/>
      <c r="M58" s="142"/>
      <c r="N58" s="142"/>
      <c r="O58" s="142"/>
      <c r="P58" s="17"/>
      <c r="Q58" s="17"/>
      <c r="R58" s="835">
        <f>R56-R57</f>
        <v>2.5344344045663547E-6</v>
      </c>
      <c r="S58" s="191" t="s">
        <v>102</v>
      </c>
      <c r="T58" s="888"/>
      <c r="U58" s="888"/>
      <c r="V58" s="888"/>
      <c r="W58" s="888"/>
      <c r="X58" s="888"/>
      <c r="Y58" s="888"/>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7"/>
      <c r="S59" s="7"/>
      <c r="T59" s="888"/>
      <c r="U59" s="888"/>
      <c r="V59" s="888"/>
      <c r="W59" s="888"/>
      <c r="X59" s="888"/>
      <c r="Y59" s="888"/>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54" t="s">
        <v>377</v>
      </c>
      <c r="F60"/>
      <c r="G60"/>
      <c r="H60"/>
      <c r="I60"/>
      <c r="J60"/>
      <c r="K60"/>
      <c r="T60" s="888"/>
      <c r="U60" s="888"/>
      <c r="V60" s="888"/>
      <c r="W60" s="86"/>
      <c r="X60" s="86"/>
      <c r="Y60" s="86"/>
      <c r="AD60"/>
      <c r="AE60"/>
      <c r="AF60"/>
      <c r="AG60"/>
      <c r="AH60"/>
      <c r="AI60"/>
      <c r="AJ60"/>
    </row>
    <row r="61" spans="2:54" x14ac:dyDescent="0.25">
      <c r="C61" t="s">
        <v>378</v>
      </c>
      <c r="E61" s="7"/>
      <c r="F61" s="7"/>
      <c r="G61" s="7"/>
      <c r="H61" s="7"/>
      <c r="I61" s="7"/>
      <c r="J61" s="7"/>
      <c r="K61" s="7"/>
      <c r="L61" s="7"/>
      <c r="M61" s="7"/>
      <c r="N61" s="7"/>
      <c r="O61" s="7"/>
      <c r="P61" s="7"/>
      <c r="Q61" s="7"/>
      <c r="R61" s="7"/>
      <c r="S61" s="7"/>
      <c r="T61" s="888"/>
      <c r="U61" s="888"/>
      <c r="V61" s="86"/>
      <c r="W61" s="86"/>
      <c r="X61" s="86"/>
      <c r="Y61" s="86"/>
      <c r="AD61"/>
      <c r="AE61"/>
      <c r="AF61"/>
      <c r="AG61"/>
      <c r="AH61"/>
      <c r="AI61"/>
      <c r="AJ61"/>
    </row>
    <row r="62" spans="2:54" x14ac:dyDescent="0.25">
      <c r="F62" s="854"/>
      <c r="G62"/>
      <c r="H62"/>
      <c r="I62"/>
      <c r="J62"/>
      <c r="K62"/>
      <c r="U62" s="86"/>
      <c r="V62" s="86"/>
      <c r="W62" s="86"/>
      <c r="X62" s="86"/>
      <c r="Y62" s="86"/>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379</v>
      </c>
      <c r="D63" s="33" t="s">
        <v>331</v>
      </c>
      <c r="E63" s="33"/>
      <c r="G63"/>
      <c r="H63"/>
      <c r="I63"/>
      <c r="J63"/>
      <c r="K63"/>
      <c r="U63" s="86"/>
      <c r="V63" s="86"/>
      <c r="W63" s="86"/>
      <c r="X63" s="86"/>
      <c r="Y63" s="86"/>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55">
        <v>0.05</v>
      </c>
      <c r="D64">
        <f>C64 / (2 *LN(2))</f>
        <v>3.6067376022224089E-2</v>
      </c>
      <c r="G64"/>
      <c r="H64"/>
      <c r="I64"/>
      <c r="J64"/>
      <c r="K64"/>
      <c r="U64" s="86"/>
      <c r="V64" s="86"/>
      <c r="W64" s="86"/>
      <c r="X64" s="86"/>
      <c r="Y64" s="86"/>
      <c r="AC64" s="855"/>
      <c r="AD64" s="855"/>
      <c r="AE64" s="855"/>
      <c r="AF64" s="855"/>
      <c r="AG64" s="855"/>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55">
        <v>0.2</v>
      </c>
      <c r="D65">
        <f>C65 / (2 *LN(2))</f>
        <v>0.14426950408889636</v>
      </c>
      <c r="G65"/>
      <c r="H65"/>
      <c r="I65"/>
      <c r="J65"/>
      <c r="K65"/>
      <c r="U65" s="86"/>
      <c r="V65" s="86"/>
      <c r="W65" s="86"/>
      <c r="X65" s="86"/>
      <c r="Y65" s="86"/>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55">
        <v>1</v>
      </c>
      <c r="D66">
        <f>C66 / (2 *LN(2))</f>
        <v>0.72134752044448169</v>
      </c>
      <c r="G66"/>
      <c r="H66"/>
      <c r="I66"/>
      <c r="J66"/>
      <c r="K66"/>
      <c r="U66" s="86"/>
      <c r="V66" s="86"/>
      <c r="W66" s="86"/>
      <c r="X66" s="86"/>
      <c r="Y66" s="86"/>
      <c r="AH66"/>
      <c r="AI66"/>
      <c r="AJ66"/>
    </row>
    <row r="67" spans="3:54" x14ac:dyDescent="0.25">
      <c r="C67" s="855">
        <v>1.1000000000000001</v>
      </c>
      <c r="D67">
        <f>C67 / (2 *LN(2))</f>
        <v>0.79348227248893</v>
      </c>
      <c r="E67" t="s">
        <v>380</v>
      </c>
      <c r="G67"/>
      <c r="H67"/>
      <c r="I67"/>
      <c r="J67"/>
      <c r="K67"/>
      <c r="U67" s="86"/>
      <c r="V67" s="86"/>
      <c r="W67" s="86"/>
      <c r="X67" s="86"/>
      <c r="Y67" s="86"/>
      <c r="AH67"/>
      <c r="AI67"/>
      <c r="AJ67"/>
    </row>
    <row r="68" spans="3:54" x14ac:dyDescent="0.25">
      <c r="G68"/>
      <c r="H68"/>
      <c r="I68"/>
      <c r="J68"/>
      <c r="K68"/>
      <c r="U68" s="86"/>
      <c r="V68" s="86"/>
      <c r="W68" s="86"/>
      <c r="X68" s="86"/>
      <c r="Y68" s="86"/>
      <c r="AH68"/>
      <c r="AI68"/>
      <c r="AJ68"/>
    </row>
    <row r="69" spans="3:54" x14ac:dyDescent="0.25">
      <c r="G69"/>
      <c r="H69"/>
      <c r="I69"/>
      <c r="J69"/>
      <c r="K69"/>
      <c r="U69" s="86"/>
      <c r="V69" s="86"/>
      <c r="W69" s="86"/>
      <c r="X69" s="86"/>
      <c r="Y69" s="86"/>
      <c r="AH69"/>
      <c r="AI69"/>
      <c r="AJ69"/>
    </row>
    <row r="70" spans="3:54" x14ac:dyDescent="0.25">
      <c r="K70" s="739"/>
      <c r="L70" s="739"/>
      <c r="M70" s="739"/>
      <c r="N70" s="739"/>
      <c r="O70" s="739"/>
      <c r="P70" s="739"/>
    </row>
    <row r="71" spans="3:54" x14ac:dyDescent="0.25">
      <c r="C71" t="s">
        <v>381</v>
      </c>
      <c r="G71" s="86" t="s">
        <v>45</v>
      </c>
      <c r="H71" s="86" t="s">
        <v>382</v>
      </c>
      <c r="I71" s="739" t="s">
        <v>383</v>
      </c>
      <c r="J71" s="86" t="str">
        <f>H71</f>
        <v>Log(Depth)</v>
      </c>
      <c r="K71" s="739" t="s">
        <v>384</v>
      </c>
      <c r="L71" s="739" t="s">
        <v>385</v>
      </c>
      <c r="M71" s="739" t="s">
        <v>291</v>
      </c>
      <c r="N71" s="739"/>
      <c r="O71" s="739"/>
      <c r="P71" s="739" t="s">
        <v>386</v>
      </c>
    </row>
    <row r="72" spans="3:54" x14ac:dyDescent="0.25">
      <c r="G72" s="86">
        <v>1</v>
      </c>
      <c r="H72" s="856">
        <f>LN(R40)-1</f>
        <v>0.63678639723971031</v>
      </c>
      <c r="I72" s="739">
        <f t="shared" ref="I72:I87" si="23">P15</f>
        <v>0.5</v>
      </c>
      <c r="J72" s="856">
        <f t="shared" ref="J72:J87" si="24">H72</f>
        <v>0.63678639723971031</v>
      </c>
      <c r="K72" s="739">
        <f t="shared" ref="K72:K87" si="25">P40</f>
        <v>0.513862943611199</v>
      </c>
      <c r="L72" s="739">
        <f t="shared" ref="L72:L87" si="26">U40</f>
        <v>0.5</v>
      </c>
      <c r="M72" s="739">
        <f t="shared" ref="M72:M87" si="27">K72-I72</f>
        <v>1.3862943611198997E-2</v>
      </c>
      <c r="N72" s="739"/>
      <c r="O72" s="739"/>
      <c r="P72" s="739">
        <f t="shared" ref="P72:P87" si="28">L72-I72</f>
        <v>0</v>
      </c>
    </row>
    <row r="73" spans="3:54" x14ac:dyDescent="0.25">
      <c r="G73" s="86">
        <v>2</v>
      </c>
      <c r="H73" s="856">
        <f t="shared" ref="H73:H87" si="29">LN(R41)-1</f>
        <v>3.3890445637675182</v>
      </c>
      <c r="I73" s="739">
        <f t="shared" si="23"/>
        <v>1.3887943864771144E-11</v>
      </c>
      <c r="J73" s="856">
        <f t="shared" si="24"/>
        <v>3.3890445637675182</v>
      </c>
      <c r="K73" s="739">
        <f t="shared" si="25"/>
        <v>0.17518166209987401</v>
      </c>
      <c r="L73" s="739">
        <f t="shared" si="26"/>
        <v>0.16618592892610989</v>
      </c>
      <c r="M73" s="739">
        <f t="shared" si="27"/>
        <v>0.17518166208598607</v>
      </c>
      <c r="N73" s="739"/>
      <c r="O73" s="739"/>
      <c r="P73" s="739">
        <f t="shared" si="28"/>
        <v>0.16618592891222195</v>
      </c>
    </row>
    <row r="74" spans="3:54" x14ac:dyDescent="0.25">
      <c r="G74" s="86">
        <v>3</v>
      </c>
      <c r="H74" s="856">
        <f t="shared" si="29"/>
        <v>3.5005588412257422</v>
      </c>
      <c r="I74" s="739">
        <f t="shared" si="23"/>
        <v>5.9000905415970609E-29</v>
      </c>
      <c r="J74" s="856">
        <f t="shared" si="24"/>
        <v>3.5005588412257422</v>
      </c>
      <c r="K74" s="739">
        <f t="shared" si="25"/>
        <v>2.1952433489850987E-2</v>
      </c>
      <c r="L74" s="739">
        <f t="shared" si="26"/>
        <v>1.999225416298589E-2</v>
      </c>
      <c r="M74" s="739">
        <f t="shared" si="27"/>
        <v>2.1952433489850987E-2</v>
      </c>
      <c r="N74" s="739"/>
      <c r="O74" s="739"/>
      <c r="P74" s="739">
        <f t="shared" si="28"/>
        <v>1.999225416298589E-2</v>
      </c>
    </row>
    <row r="75" spans="3:54" x14ac:dyDescent="0.25">
      <c r="G75" s="86">
        <v>4</v>
      </c>
      <c r="H75" s="856">
        <f t="shared" si="29"/>
        <v>5.9077552789821368</v>
      </c>
      <c r="I75" s="739" t="e">
        <f t="shared" si="23"/>
        <v>#NUM!</v>
      </c>
      <c r="J75" s="856">
        <f t="shared" si="24"/>
        <v>5.9077552789821368</v>
      </c>
      <c r="K75" s="739">
        <f t="shared" si="25"/>
        <v>0</v>
      </c>
      <c r="L75" s="739">
        <f t="shared" si="26"/>
        <v>0</v>
      </c>
      <c r="M75" s="739" t="e">
        <f t="shared" si="27"/>
        <v>#NUM!</v>
      </c>
      <c r="N75" s="739"/>
      <c r="O75" s="739"/>
      <c r="P75" s="739" t="e">
        <f t="shared" si="28"/>
        <v>#NUM!</v>
      </c>
    </row>
    <row r="76" spans="3:54" x14ac:dyDescent="0.25">
      <c r="G76" s="86">
        <v>5</v>
      </c>
      <c r="H76" s="856">
        <f t="shared" si="29"/>
        <v>5.9077552789959675</v>
      </c>
      <c r="I76" s="739" t="e">
        <f t="shared" si="23"/>
        <v>#NUM!</v>
      </c>
      <c r="J76" s="856">
        <f t="shared" si="24"/>
        <v>5.9077552789959675</v>
      </c>
      <c r="K76" s="739">
        <f t="shared" si="25"/>
        <v>7.1553285518888288E-10</v>
      </c>
      <c r="L76" s="739">
        <f t="shared" si="26"/>
        <v>4.9395765255866309E-10</v>
      </c>
      <c r="M76" s="739" t="e">
        <f t="shared" si="27"/>
        <v>#NUM!</v>
      </c>
      <c r="N76" s="739"/>
      <c r="O76" s="739"/>
      <c r="P76" s="739" t="e">
        <f t="shared" si="28"/>
        <v>#NUM!</v>
      </c>
    </row>
    <row r="77" spans="3:54" x14ac:dyDescent="0.25">
      <c r="G77" s="86">
        <v>6</v>
      </c>
      <c r="H77" s="856">
        <f t="shared" si="29"/>
        <v>5.907894174136012</v>
      </c>
      <c r="I77" s="739" t="e">
        <f t="shared" si="23"/>
        <v>#NUM!</v>
      </c>
      <c r="J77" s="856">
        <f t="shared" si="24"/>
        <v>5.907894174136012</v>
      </c>
      <c r="K77" s="739">
        <f t="shared" si="25"/>
        <v>4.3560941733966629E-3</v>
      </c>
      <c r="L77" s="739">
        <f t="shared" si="26"/>
        <v>3.8510323559302062E-3</v>
      </c>
      <c r="M77" s="739" t="e">
        <f t="shared" si="27"/>
        <v>#NUM!</v>
      </c>
      <c r="N77" s="739"/>
      <c r="O77" s="739"/>
      <c r="P77" s="739" t="e">
        <f t="shared" si="28"/>
        <v>#NUM!</v>
      </c>
    </row>
    <row r="78" spans="3:54" x14ac:dyDescent="0.25">
      <c r="G78" s="86">
        <v>7</v>
      </c>
      <c r="H78" s="856">
        <f t="shared" si="29"/>
        <v>5.9172602691869178</v>
      </c>
      <c r="I78" s="739" t="e">
        <f t="shared" si="23"/>
        <v>#NUM!</v>
      </c>
      <c r="J78" s="856">
        <f t="shared" si="24"/>
        <v>5.9172602691869178</v>
      </c>
      <c r="K78" s="739">
        <f t="shared" si="25"/>
        <v>0.22766810804454107</v>
      </c>
      <c r="L78" s="739">
        <f t="shared" si="26"/>
        <v>0.21720125230040233</v>
      </c>
      <c r="M78" s="739" t="e">
        <f t="shared" si="27"/>
        <v>#NUM!</v>
      </c>
      <c r="N78" s="739"/>
      <c r="O78" s="739"/>
      <c r="P78" s="739" t="e">
        <f t="shared" si="28"/>
        <v>#NUM!</v>
      </c>
    </row>
    <row r="79" spans="3:54" x14ac:dyDescent="0.25">
      <c r="G79" s="86">
        <v>8</v>
      </c>
      <c r="H79" s="856">
        <f t="shared" si="29"/>
        <v>5.9351037637877466</v>
      </c>
      <c r="I79" s="739" t="e">
        <f t="shared" si="23"/>
        <v>#NUM!</v>
      </c>
      <c r="J79" s="856">
        <f t="shared" si="24"/>
        <v>5.9351037637877466</v>
      </c>
      <c r="K79" s="739">
        <f t="shared" si="25"/>
        <v>0.513862943611199</v>
      </c>
      <c r="L79" s="739">
        <f t="shared" si="26"/>
        <v>0.5</v>
      </c>
      <c r="M79" s="739" t="e">
        <f t="shared" si="27"/>
        <v>#NUM!</v>
      </c>
      <c r="N79" s="739"/>
      <c r="O79" s="739"/>
      <c r="P79" s="739" t="e">
        <f t="shared" si="28"/>
        <v>#NUM!</v>
      </c>
    </row>
    <row r="80" spans="3:54" x14ac:dyDescent="0.25">
      <c r="G80" s="86">
        <v>9</v>
      </c>
      <c r="H80" s="856">
        <f t="shared" si="29"/>
        <v>5.9371502022635907</v>
      </c>
      <c r="I80" s="739" t="e">
        <f t="shared" si="23"/>
        <v>#NUM!</v>
      </c>
      <c r="J80" s="856">
        <f t="shared" si="24"/>
        <v>5.9371502022635907</v>
      </c>
      <c r="K80" s="739">
        <f t="shared" si="25"/>
        <v>0.53876748585317424</v>
      </c>
      <c r="L80" s="739">
        <f t="shared" si="26"/>
        <v>0.52492941157420447</v>
      </c>
      <c r="M80" s="739" t="e">
        <f t="shared" si="27"/>
        <v>#NUM!</v>
      </c>
      <c r="N80" s="739"/>
      <c r="O80" s="739"/>
      <c r="P80" s="739" t="e">
        <f t="shared" si="28"/>
        <v>#NUM!</v>
      </c>
    </row>
    <row r="81" spans="7:16" x14ac:dyDescent="0.25">
      <c r="G81" s="86">
        <v>10</v>
      </c>
      <c r="H81" s="856">
        <f t="shared" si="29"/>
        <v>5.9336300793651526</v>
      </c>
      <c r="I81" s="739" t="e">
        <f t="shared" si="23"/>
        <v>#NUM!</v>
      </c>
      <c r="J81" s="856">
        <f t="shared" si="24"/>
        <v>5.9336300793651526</v>
      </c>
      <c r="K81" s="739">
        <f t="shared" si="25"/>
        <v>0.53261819226649698</v>
      </c>
      <c r="L81" s="739">
        <f t="shared" si="26"/>
        <v>0.51876934349689741</v>
      </c>
      <c r="M81" s="739" t="e">
        <f t="shared" si="27"/>
        <v>#NUM!</v>
      </c>
      <c r="N81" s="739"/>
      <c r="O81" s="739"/>
      <c r="P81" s="739" t="e">
        <f t="shared" si="28"/>
        <v>#NUM!</v>
      </c>
    </row>
    <row r="82" spans="7:16" x14ac:dyDescent="0.25">
      <c r="G82" s="86">
        <v>11</v>
      </c>
      <c r="H82" s="856">
        <f t="shared" si="29"/>
        <v>5.9351037637877466</v>
      </c>
      <c r="I82" s="739" t="e">
        <f t="shared" si="23"/>
        <v>#NUM!</v>
      </c>
      <c r="J82" s="856">
        <f t="shared" si="24"/>
        <v>5.9351037637877466</v>
      </c>
      <c r="K82" s="739">
        <f t="shared" si="25"/>
        <v>0.513862943611199</v>
      </c>
      <c r="L82" s="739">
        <f t="shared" si="26"/>
        <v>0.5</v>
      </c>
      <c r="M82" s="739" t="e">
        <f t="shared" si="27"/>
        <v>#NUM!</v>
      </c>
      <c r="N82" s="739"/>
      <c r="O82" s="739"/>
      <c r="P82" s="739" t="e">
        <f t="shared" si="28"/>
        <v>#NUM!</v>
      </c>
    </row>
    <row r="83" spans="7:16" x14ac:dyDescent="0.25">
      <c r="G83" s="86">
        <v>12</v>
      </c>
      <c r="H83" s="856">
        <f t="shared" si="29"/>
        <v>3.6325186707937016</v>
      </c>
      <c r="I83" s="739">
        <f t="shared" si="23"/>
        <v>0.5</v>
      </c>
      <c r="J83" s="856">
        <f t="shared" si="24"/>
        <v>3.6325186707937016</v>
      </c>
      <c r="K83" s="739">
        <f t="shared" si="25"/>
        <v>0.513862943611199</v>
      </c>
      <c r="L83" s="739">
        <f t="shared" si="26"/>
        <v>0.5</v>
      </c>
      <c r="M83" s="739">
        <f t="shared" si="27"/>
        <v>1.3862943611198997E-2</v>
      </c>
      <c r="N83" s="739"/>
      <c r="O83" s="739"/>
      <c r="P83" s="739">
        <f t="shared" si="28"/>
        <v>0</v>
      </c>
    </row>
    <row r="84" spans="7:16" x14ac:dyDescent="0.25">
      <c r="G84" s="86">
        <v>13</v>
      </c>
      <c r="H84" s="856">
        <f t="shared" si="29"/>
        <v>2.4998784559966865</v>
      </c>
      <c r="I84" s="739">
        <f t="shared" si="23"/>
        <v>3.0590222692562477E-7</v>
      </c>
      <c r="J84" s="856">
        <f t="shared" si="24"/>
        <v>2.4998784559966865</v>
      </c>
      <c r="K84" s="739">
        <f t="shared" si="25"/>
        <v>9.0435759925068193E-2</v>
      </c>
      <c r="L84" s="739">
        <f t="shared" si="26"/>
        <v>8.4636752372623192E-2</v>
      </c>
      <c r="M84" s="739">
        <f t="shared" si="27"/>
        <v>9.0435454022841269E-2</v>
      </c>
      <c r="N84" s="739"/>
      <c r="O84" s="739"/>
      <c r="P84" s="739">
        <f t="shared" si="28"/>
        <v>8.4636446470396268E-2</v>
      </c>
    </row>
    <row r="85" spans="7:16" x14ac:dyDescent="0.25">
      <c r="G85" s="86">
        <v>14</v>
      </c>
      <c r="H85" s="856">
        <f t="shared" si="29"/>
        <v>2.5279780046548468</v>
      </c>
      <c r="I85" s="739">
        <f t="shared" si="23"/>
        <v>2.0611536181902033E-9</v>
      </c>
      <c r="J85" s="856">
        <f t="shared" si="24"/>
        <v>2.5279780046548468</v>
      </c>
      <c r="K85" s="739">
        <f t="shared" si="25"/>
        <v>4.5578192494926784E-2</v>
      </c>
      <c r="L85" s="739">
        <f t="shared" si="26"/>
        <v>4.2087727915618878E-2</v>
      </c>
      <c r="M85" s="739">
        <f t="shared" si="27"/>
        <v>4.5578190433773168E-2</v>
      </c>
      <c r="N85" s="739"/>
      <c r="O85" s="739"/>
      <c r="P85" s="739">
        <f t="shared" si="28"/>
        <v>4.2087725854465262E-2</v>
      </c>
    </row>
    <row r="86" spans="7:16" x14ac:dyDescent="0.25">
      <c r="G86" s="86">
        <v>15</v>
      </c>
      <c r="H86" s="856">
        <f t="shared" si="29"/>
        <v>1.197224596776767</v>
      </c>
      <c r="I86" s="739">
        <f t="shared" si="23"/>
        <v>2.0611536181902037E-9</v>
      </c>
      <c r="J86" s="856">
        <f t="shared" si="24"/>
        <v>1.197224596776767</v>
      </c>
      <c r="K86" s="739">
        <f t="shared" si="25"/>
        <v>8.1590764433592256E-7</v>
      </c>
      <c r="L86" s="739">
        <f t="shared" si="26"/>
        <v>6.2487456053972323E-7</v>
      </c>
      <c r="M86" s="739">
        <f t="shared" si="27"/>
        <v>8.1384649071773233E-7</v>
      </c>
      <c r="N86" s="739"/>
      <c r="O86" s="739"/>
      <c r="P86" s="739">
        <f t="shared" si="28"/>
        <v>6.2281340692153301E-7</v>
      </c>
    </row>
    <row r="87" spans="7:16" x14ac:dyDescent="0.25">
      <c r="G87" s="86">
        <v>16</v>
      </c>
      <c r="H87" s="856">
        <f t="shared" si="29"/>
        <v>1.0794418584840861</v>
      </c>
      <c r="I87" s="739">
        <f t="shared" si="23"/>
        <v>3.0590222692562472E-7</v>
      </c>
      <c r="J87" s="856">
        <f t="shared" si="24"/>
        <v>1.0794418584840861</v>
      </c>
      <c r="K87" s="739">
        <f t="shared" si="25"/>
        <v>1.2192220644524632E-5</v>
      </c>
      <c r="L87" s="739">
        <f t="shared" si="26"/>
        <v>9.7477771233700494E-6</v>
      </c>
      <c r="M87" s="739">
        <f t="shared" si="27"/>
        <v>1.1886318417599008E-5</v>
      </c>
      <c r="N87" s="739"/>
      <c r="O87" s="739"/>
      <c r="P87" s="739">
        <f t="shared" si="28"/>
        <v>9.4418748964444252E-6</v>
      </c>
    </row>
    <row r="88" spans="7:16" x14ac:dyDescent="0.25">
      <c r="H88" s="86"/>
      <c r="I88" s="86"/>
      <c r="J88" s="86"/>
      <c r="K88" s="86"/>
      <c r="L88" s="86"/>
      <c r="M88" s="86"/>
      <c r="N88" s="86"/>
      <c r="O88" s="86"/>
      <c r="P88" s="86"/>
    </row>
    <row r="89" spans="7:16" x14ac:dyDescent="0.25">
      <c r="H89" s="86"/>
      <c r="I89" s="86"/>
      <c r="J89" s="86"/>
      <c r="K89" s="86"/>
      <c r="L89" s="86"/>
      <c r="M89" s="86"/>
      <c r="N89" s="86"/>
      <c r="O89" s="86"/>
      <c r="P89" s="86"/>
    </row>
  </sheetData>
  <mergeCells count="9">
    <mergeCell ref="Z38:AA38"/>
    <mergeCell ref="B39:B56"/>
    <mergeCell ref="U39:V39"/>
    <mergeCell ref="C4:C6"/>
    <mergeCell ref="C8:C11"/>
    <mergeCell ref="J10:L10"/>
    <mergeCell ref="Z13:AA13"/>
    <mergeCell ref="B14:B31"/>
    <mergeCell ref="U14:V14"/>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0" tint="-0.249977111117893"/>
  </sheetPr>
  <dimension ref="B2:R73"/>
  <sheetViews>
    <sheetView topLeftCell="A46" workbookViewId="0">
      <selection activeCell="N23" sqref="N23"/>
    </sheetView>
  </sheetViews>
  <sheetFormatPr defaultRowHeight="15" x14ac:dyDescent="0.25"/>
  <sheetData>
    <row r="2" spans="2:15" ht="15.75" thickBot="1" x14ac:dyDescent="0.3">
      <c r="B2" t="s">
        <v>58</v>
      </c>
    </row>
    <row r="3" spans="2:15" ht="15.75" thickBot="1" x14ac:dyDescent="0.3">
      <c r="F3" s="96" t="s">
        <v>5</v>
      </c>
      <c r="G3" s="97">
        <v>5</v>
      </c>
    </row>
    <row r="5" spans="2:15" x14ac:dyDescent="0.25">
      <c r="B5" t="s">
        <v>45</v>
      </c>
      <c r="C5" t="s">
        <v>46</v>
      </c>
      <c r="D5" t="s">
        <v>47</v>
      </c>
      <c r="E5" t="s">
        <v>48</v>
      </c>
      <c r="F5" t="s">
        <v>49</v>
      </c>
      <c r="H5" t="s">
        <v>50</v>
      </c>
      <c r="I5" t="s">
        <v>51</v>
      </c>
      <c r="J5" t="s">
        <v>52</v>
      </c>
      <c r="K5" t="s">
        <v>53</v>
      </c>
      <c r="M5" t="s">
        <v>36</v>
      </c>
      <c r="N5" t="s">
        <v>1</v>
      </c>
    </row>
    <row r="6" spans="2:15" x14ac:dyDescent="0.25">
      <c r="B6">
        <v>1</v>
      </c>
      <c r="C6">
        <v>0</v>
      </c>
      <c r="D6">
        <v>0</v>
      </c>
      <c r="E6">
        <v>0</v>
      </c>
      <c r="F6">
        <v>0</v>
      </c>
      <c r="H6">
        <f>EXP(C6/$G$3)/SUM(EXP($C6/$G$3),EXP($D6/$G$3),EXP($E6/$G$3),EXP($F6/$G$3))</f>
        <v>0.25</v>
      </c>
      <c r="I6">
        <f t="shared" ref="I6:K14" si="0">EXP(D6/$G$3)/SUM(EXP($C6/$G$3),EXP($D6/$G$3),EXP($E6/$G$3),EXP($F6/$G$3))</f>
        <v>0.25</v>
      </c>
      <c r="J6">
        <f t="shared" si="0"/>
        <v>0.25</v>
      </c>
      <c r="K6">
        <f t="shared" si="0"/>
        <v>0.25</v>
      </c>
      <c r="M6">
        <f>LN(SUM(EXP(C6/$G$3),EXP(D6/$G$3),EXP(E6/$G$3),EXP(F6/$G$3)))</f>
        <v>1.3862943611198906</v>
      </c>
      <c r="N6">
        <f>IFERROR(M6-M5,M6)</f>
        <v>1.3862943611198906</v>
      </c>
    </row>
    <row r="7" spans="2:15" x14ac:dyDescent="0.25">
      <c r="B7">
        <v>2</v>
      </c>
      <c r="C7">
        <v>1</v>
      </c>
      <c r="D7">
        <v>0</v>
      </c>
      <c r="E7">
        <v>0</v>
      </c>
      <c r="F7">
        <v>0</v>
      </c>
      <c r="H7">
        <f t="shared" ref="H7:H14" si="1">EXP(C7/$G$3)/SUM(EXP($C7/$G$3),EXP($D7/$G$3),EXP($E7/$G$3),EXP($F7/$G$3))</f>
        <v>0.28933575594016492</v>
      </c>
      <c r="I7">
        <f t="shared" si="0"/>
        <v>0.23688808135327838</v>
      </c>
      <c r="J7">
        <f t="shared" si="0"/>
        <v>0.23688808135327838</v>
      </c>
      <c r="K7">
        <f t="shared" si="0"/>
        <v>0.23688808135327838</v>
      </c>
      <c r="M7">
        <f t="shared" ref="M7:M14" si="2">LN(SUM(EXP(C7/$G$3),EXP(D7/$G$3),EXP(E7/$G$3),EXP(F7/$G$3)))</f>
        <v>1.4401674799598645</v>
      </c>
      <c r="N7" s="98">
        <f t="shared" ref="N7:N14" si="3">IFERROR(M7-M6,M7)</f>
        <v>5.3873118839973921E-2</v>
      </c>
    </row>
    <row r="8" spans="2:15" x14ac:dyDescent="0.25">
      <c r="B8">
        <v>3</v>
      </c>
      <c r="C8">
        <v>2</v>
      </c>
      <c r="D8">
        <v>3</v>
      </c>
      <c r="E8">
        <v>0</v>
      </c>
      <c r="F8">
        <v>0</v>
      </c>
      <c r="H8">
        <f t="shared" si="1"/>
        <v>0.28073777942761796</v>
      </c>
      <c r="I8">
        <f t="shared" si="0"/>
        <v>0.34289389811265397</v>
      </c>
      <c r="J8">
        <f t="shared" si="0"/>
        <v>0.18818416122986403</v>
      </c>
      <c r="K8">
        <f t="shared" si="0"/>
        <v>0.18818416122986403</v>
      </c>
      <c r="M8">
        <f t="shared" si="2"/>
        <v>1.6703342146186519</v>
      </c>
      <c r="N8" s="98">
        <f t="shared" si="3"/>
        <v>0.23016673465878745</v>
      </c>
    </row>
    <row r="9" spans="2:15" x14ac:dyDescent="0.25">
      <c r="B9">
        <v>4</v>
      </c>
      <c r="C9">
        <v>8</v>
      </c>
      <c r="D9">
        <v>9</v>
      </c>
      <c r="E9">
        <v>11</v>
      </c>
      <c r="F9">
        <v>0</v>
      </c>
      <c r="H9">
        <f t="shared" si="1"/>
        <v>0.23554806192697511</v>
      </c>
      <c r="I9">
        <f t="shared" si="0"/>
        <v>0.28769905251688987</v>
      </c>
      <c r="J9">
        <f t="shared" si="0"/>
        <v>0.42919655203268925</v>
      </c>
      <c r="K9">
        <f t="shared" si="0"/>
        <v>4.755633352344573E-2</v>
      </c>
      <c r="M9">
        <f t="shared" si="2"/>
        <v>3.0458403017324911</v>
      </c>
      <c r="N9" s="98">
        <f t="shared" si="3"/>
        <v>1.3755060871138391</v>
      </c>
    </row>
    <row r="10" spans="2:15" x14ac:dyDescent="0.25">
      <c r="B10">
        <v>5</v>
      </c>
      <c r="C10">
        <v>21</v>
      </c>
      <c r="D10">
        <v>25</v>
      </c>
      <c r="E10">
        <v>27</v>
      </c>
      <c r="F10">
        <v>17</v>
      </c>
      <c r="H10">
        <f t="shared" si="1"/>
        <v>0.14295952607174461</v>
      </c>
      <c r="I10">
        <f t="shared" si="0"/>
        <v>0.31816227639055356</v>
      </c>
      <c r="J10">
        <f t="shared" si="0"/>
        <v>0.47464234177719605</v>
      </c>
      <c r="K10">
        <f t="shared" si="0"/>
        <v>6.4235855760505917E-2</v>
      </c>
      <c r="M10">
        <f t="shared" si="2"/>
        <v>6.1451937232473677</v>
      </c>
      <c r="N10" s="98">
        <f t="shared" si="3"/>
        <v>3.0993534215148766</v>
      </c>
      <c r="O10">
        <f>SUM(N7:N10)</f>
        <v>4.7588993621274769</v>
      </c>
    </row>
    <row r="11" spans="2:15" x14ac:dyDescent="0.25">
      <c r="B11">
        <v>6</v>
      </c>
      <c r="C11">
        <v>31</v>
      </c>
      <c r="D11">
        <v>36</v>
      </c>
      <c r="E11">
        <v>42</v>
      </c>
      <c r="F11">
        <v>57</v>
      </c>
      <c r="H11">
        <f t="shared" si="1"/>
        <v>5.1542263800937928E-3</v>
      </c>
      <c r="I11">
        <f t="shared" si="0"/>
        <v>1.4010639908773201E-2</v>
      </c>
      <c r="J11">
        <f t="shared" si="0"/>
        <v>4.6516962659485954E-2</v>
      </c>
      <c r="K11">
        <f t="shared" si="0"/>
        <v>0.93431817105164705</v>
      </c>
      <c r="M11">
        <f t="shared" si="2"/>
        <v>11.467938244531888</v>
      </c>
      <c r="N11" s="99">
        <f t="shared" si="3"/>
        <v>5.3227445212845206</v>
      </c>
    </row>
    <row r="12" spans="2:15" x14ac:dyDescent="0.25">
      <c r="B12">
        <v>7</v>
      </c>
      <c r="C12">
        <v>42</v>
      </c>
      <c r="D12">
        <v>53</v>
      </c>
      <c r="E12">
        <v>55</v>
      </c>
      <c r="F12">
        <v>40</v>
      </c>
      <c r="H12">
        <f t="shared" si="1"/>
        <v>4.1392319099229483E-2</v>
      </c>
      <c r="I12">
        <f t="shared" si="0"/>
        <v>0.37356623864343058</v>
      </c>
      <c r="J12">
        <f t="shared" si="0"/>
        <v>0.55729534101322264</v>
      </c>
      <c r="K12">
        <f t="shared" si="0"/>
        <v>2.7746101244117367E-2</v>
      </c>
      <c r="M12">
        <f t="shared" si="2"/>
        <v>11.584659944367623</v>
      </c>
      <c r="N12" s="99">
        <f>IFERROR(M12-M11,M12)</f>
        <v>0.11672169983573433</v>
      </c>
    </row>
    <row r="13" spans="2:15" x14ac:dyDescent="0.25">
      <c r="B13">
        <v>8</v>
      </c>
      <c r="C13">
        <v>50</v>
      </c>
      <c r="D13">
        <v>80</v>
      </c>
      <c r="E13">
        <v>70</v>
      </c>
      <c r="F13">
        <v>42</v>
      </c>
      <c r="H13">
        <f t="shared" si="1"/>
        <v>2.1775635866085013E-3</v>
      </c>
      <c r="I13">
        <f t="shared" si="0"/>
        <v>0.87849185049918066</v>
      </c>
      <c r="J13">
        <f t="shared" si="0"/>
        <v>0.11889094340836263</v>
      </c>
      <c r="K13">
        <f t="shared" si="0"/>
        <v>4.3964250584820985E-4</v>
      </c>
      <c r="M13">
        <f t="shared" si="2"/>
        <v>16.1295486480068</v>
      </c>
      <c r="N13" s="99">
        <f t="shared" si="3"/>
        <v>4.5448887036391774</v>
      </c>
    </row>
    <row r="14" spans="2:15" x14ac:dyDescent="0.25">
      <c r="B14">
        <v>9</v>
      </c>
      <c r="C14">
        <v>30</v>
      </c>
      <c r="D14">
        <v>40</v>
      </c>
      <c r="E14">
        <v>113</v>
      </c>
      <c r="F14">
        <v>47</v>
      </c>
      <c r="H14">
        <f t="shared" si="1"/>
        <v>6.1760467062892996E-8</v>
      </c>
      <c r="I14">
        <f t="shared" si="0"/>
        <v>4.5635155582387502E-7</v>
      </c>
      <c r="J14">
        <f t="shared" si="0"/>
        <v>0.99999763129116293</v>
      </c>
      <c r="K14">
        <f t="shared" si="0"/>
        <v>1.8505968140464941E-6</v>
      </c>
      <c r="M14">
        <f t="shared" si="2"/>
        <v>22.600002368711642</v>
      </c>
      <c r="N14" s="99">
        <f t="shared" si="3"/>
        <v>6.4704537207048425</v>
      </c>
      <c r="O14">
        <f>SUM(N11:N14)</f>
        <v>16.454808645464276</v>
      </c>
    </row>
    <row r="17" spans="2:15" x14ac:dyDescent="0.25">
      <c r="B17" t="s">
        <v>45</v>
      </c>
      <c r="C17" t="s">
        <v>46</v>
      </c>
      <c r="D17" t="s">
        <v>47</v>
      </c>
      <c r="E17" t="s">
        <v>48</v>
      </c>
      <c r="F17" t="s">
        <v>49</v>
      </c>
      <c r="H17" t="s">
        <v>50</v>
      </c>
      <c r="I17" t="s">
        <v>51</v>
      </c>
      <c r="J17" t="s">
        <v>52</v>
      </c>
      <c r="K17" t="s">
        <v>53</v>
      </c>
      <c r="M17" t="s">
        <v>36</v>
      </c>
      <c r="N17" t="s">
        <v>1</v>
      </c>
    </row>
    <row r="18" spans="2:15" ht="15.75" thickBot="1" x14ac:dyDescent="0.3">
      <c r="B18">
        <v>1</v>
      </c>
      <c r="C18">
        <v>0</v>
      </c>
      <c r="D18">
        <v>0</v>
      </c>
      <c r="E18">
        <v>0</v>
      </c>
      <c r="F18">
        <v>0</v>
      </c>
      <c r="H18">
        <f>EXP(C18/$G$3)/SUM(EXP($C18/$G$3),EXP($D18/$G$3),EXP($E18/$G$3),EXP($F18/$G$3))</f>
        <v>0.25</v>
      </c>
      <c r="I18">
        <f t="shared" ref="I18:K26" si="4">EXP(D18/$G$3)/SUM(EXP($C18/$G$3),EXP($D18/$G$3),EXP($E18/$G$3),EXP($F18/$G$3))</f>
        <v>0.25</v>
      </c>
      <c r="J18">
        <f t="shared" si="4"/>
        <v>0.25</v>
      </c>
      <c r="K18">
        <f t="shared" si="4"/>
        <v>0.25</v>
      </c>
      <c r="M18">
        <f>LN(SUM(EXP(C18/$G$3),EXP(D18/$G$3),EXP(E18/$G$3),EXP(F18/$G$3)))</f>
        <v>1.3862943611198906</v>
      </c>
      <c r="N18">
        <f>IFERROR(M18-M17,M18)</f>
        <v>1.3862943611198906</v>
      </c>
    </row>
    <row r="19" spans="2:15" x14ac:dyDescent="0.25">
      <c r="B19">
        <v>2</v>
      </c>
      <c r="C19">
        <v>0</v>
      </c>
      <c r="D19">
        <v>0</v>
      </c>
      <c r="E19">
        <v>0</v>
      </c>
      <c r="F19">
        <v>0</v>
      </c>
      <c r="H19">
        <f t="shared" ref="H19:H26" si="5">EXP(C19/$G$3)/SUM(EXP($C19/$G$3),EXP($D19/$G$3),EXP($E19/$G$3),EXP($F19/$G$3))</f>
        <v>0.25</v>
      </c>
      <c r="I19">
        <f t="shared" si="4"/>
        <v>0.25</v>
      </c>
      <c r="J19">
        <f t="shared" si="4"/>
        <v>0.25</v>
      </c>
      <c r="K19">
        <f t="shared" si="4"/>
        <v>0.25</v>
      </c>
      <c r="M19">
        <f t="shared" ref="M19:M26" si="6">LN(SUM(EXP(C19/$G$3),EXP(D19/$G$3),EXP(E19/$G$3),EXP(F19/$G$3)))</f>
        <v>1.3862943611198906</v>
      </c>
      <c r="N19" s="100">
        <f t="shared" ref="N19:N26" si="7">IFERROR(M19-M18,M19)</f>
        <v>0</v>
      </c>
      <c r="O19" s="11"/>
    </row>
    <row r="20" spans="2:15" x14ac:dyDescent="0.25">
      <c r="B20">
        <v>3</v>
      </c>
      <c r="C20">
        <v>0</v>
      </c>
      <c r="D20">
        <v>0</v>
      </c>
      <c r="E20">
        <v>0</v>
      </c>
      <c r="F20">
        <v>0</v>
      </c>
      <c r="H20">
        <f t="shared" si="5"/>
        <v>0.25</v>
      </c>
      <c r="I20">
        <f t="shared" si="4"/>
        <v>0.25</v>
      </c>
      <c r="J20">
        <f t="shared" si="4"/>
        <v>0.25</v>
      </c>
      <c r="K20">
        <f t="shared" si="4"/>
        <v>0.25</v>
      </c>
      <c r="M20">
        <f t="shared" si="6"/>
        <v>1.3862943611198906</v>
      </c>
      <c r="N20" s="101">
        <f t="shared" si="7"/>
        <v>0</v>
      </c>
      <c r="O20" s="102"/>
    </row>
    <row r="21" spans="2:15" x14ac:dyDescent="0.25">
      <c r="B21">
        <v>4</v>
      </c>
      <c r="C21">
        <v>0</v>
      </c>
      <c r="D21">
        <v>0</v>
      </c>
      <c r="E21">
        <v>0</v>
      </c>
      <c r="F21">
        <v>0</v>
      </c>
      <c r="H21">
        <f t="shared" si="5"/>
        <v>0.25</v>
      </c>
      <c r="I21">
        <f t="shared" si="4"/>
        <v>0.25</v>
      </c>
      <c r="J21">
        <f t="shared" si="4"/>
        <v>0.25</v>
      </c>
      <c r="K21">
        <f t="shared" si="4"/>
        <v>0.25</v>
      </c>
      <c r="M21">
        <f t="shared" si="6"/>
        <v>1.3862943611198906</v>
      </c>
      <c r="N21" s="101">
        <f>IFERROR(M21-M20,M21)</f>
        <v>0</v>
      </c>
      <c r="O21" s="102"/>
    </row>
    <row r="22" spans="2:15" ht="15.75" thickBot="1" x14ac:dyDescent="0.3">
      <c r="B22">
        <v>5</v>
      </c>
      <c r="C22">
        <v>21</v>
      </c>
      <c r="D22">
        <v>25</v>
      </c>
      <c r="E22">
        <v>27</v>
      </c>
      <c r="F22">
        <v>17</v>
      </c>
      <c r="H22">
        <f t="shared" si="5"/>
        <v>0.14295952607174461</v>
      </c>
      <c r="I22">
        <f t="shared" si="4"/>
        <v>0.31816227639055356</v>
      </c>
      <c r="J22">
        <f t="shared" si="4"/>
        <v>0.47464234177719605</v>
      </c>
      <c r="K22">
        <f t="shared" si="4"/>
        <v>6.4235855760505917E-2</v>
      </c>
      <c r="M22">
        <f t="shared" si="6"/>
        <v>6.1451937232473677</v>
      </c>
      <c r="N22" s="103">
        <f>IFERROR(M22-M21,M22)</f>
        <v>4.7588993621274769</v>
      </c>
      <c r="O22" s="104">
        <f>SUM(N19:N22)</f>
        <v>4.7588993621274769</v>
      </c>
    </row>
    <row r="23" spans="2:15" x14ac:dyDescent="0.25">
      <c r="B23">
        <v>6</v>
      </c>
      <c r="C23">
        <v>0</v>
      </c>
      <c r="D23">
        <v>0</v>
      </c>
      <c r="E23">
        <v>0</v>
      </c>
      <c r="F23">
        <v>0</v>
      </c>
      <c r="H23">
        <f t="shared" si="5"/>
        <v>0.25</v>
      </c>
      <c r="I23">
        <f t="shared" si="4"/>
        <v>0.25</v>
      </c>
      <c r="J23">
        <f t="shared" si="4"/>
        <v>0.25</v>
      </c>
      <c r="K23">
        <f t="shared" si="4"/>
        <v>0.25</v>
      </c>
      <c r="M23">
        <f t="shared" si="6"/>
        <v>1.3862943611198906</v>
      </c>
      <c r="N23" s="105">
        <f t="shared" si="7"/>
        <v>-4.7588993621274769</v>
      </c>
      <c r="O23" s="11"/>
    </row>
    <row r="24" spans="2:15" x14ac:dyDescent="0.25">
      <c r="B24">
        <v>7</v>
      </c>
      <c r="C24">
        <v>0</v>
      </c>
      <c r="D24">
        <v>0</v>
      </c>
      <c r="E24">
        <v>0</v>
      </c>
      <c r="F24">
        <v>0</v>
      </c>
      <c r="H24">
        <f t="shared" si="5"/>
        <v>0.25</v>
      </c>
      <c r="I24">
        <f t="shared" si="4"/>
        <v>0.25</v>
      </c>
      <c r="J24">
        <f t="shared" si="4"/>
        <v>0.25</v>
      </c>
      <c r="K24">
        <f t="shared" si="4"/>
        <v>0.25</v>
      </c>
      <c r="M24">
        <f t="shared" si="6"/>
        <v>1.3862943611198906</v>
      </c>
      <c r="N24" s="106">
        <f>IFERROR(M24-M23,M24)</f>
        <v>0</v>
      </c>
      <c r="O24" s="102"/>
    </row>
    <row r="25" spans="2:15" x14ac:dyDescent="0.25">
      <c r="B25">
        <v>8</v>
      </c>
      <c r="C25">
        <v>0</v>
      </c>
      <c r="D25">
        <v>0</v>
      </c>
      <c r="E25">
        <v>0</v>
      </c>
      <c r="F25">
        <v>0</v>
      </c>
      <c r="H25">
        <f t="shared" si="5"/>
        <v>0.25</v>
      </c>
      <c r="I25">
        <f t="shared" si="4"/>
        <v>0.25</v>
      </c>
      <c r="J25">
        <f t="shared" si="4"/>
        <v>0.25</v>
      </c>
      <c r="K25">
        <f t="shared" si="4"/>
        <v>0.25</v>
      </c>
      <c r="M25">
        <f t="shared" si="6"/>
        <v>1.3862943611198906</v>
      </c>
      <c r="N25" s="106">
        <f t="shared" si="7"/>
        <v>0</v>
      </c>
      <c r="O25" s="102"/>
    </row>
    <row r="26" spans="2:15" ht="15.75" thickBot="1" x14ac:dyDescent="0.3">
      <c r="B26">
        <v>9</v>
      </c>
      <c r="C26">
        <v>30</v>
      </c>
      <c r="D26">
        <v>40</v>
      </c>
      <c r="E26">
        <v>113</v>
      </c>
      <c r="F26">
        <v>47</v>
      </c>
      <c r="H26">
        <f t="shared" si="5"/>
        <v>6.1760467062892996E-8</v>
      </c>
      <c r="I26">
        <f t="shared" si="4"/>
        <v>4.5635155582387502E-7</v>
      </c>
      <c r="J26">
        <f t="shared" si="4"/>
        <v>0.99999763129116293</v>
      </c>
      <c r="K26">
        <f t="shared" si="4"/>
        <v>1.8505968140464941E-6</v>
      </c>
      <c r="M26">
        <f t="shared" si="6"/>
        <v>22.600002368711642</v>
      </c>
      <c r="N26" s="107">
        <f t="shared" si="7"/>
        <v>21.213708007591752</v>
      </c>
      <c r="O26" s="104">
        <f>SUM(N23:N26)</f>
        <v>16.454808645464276</v>
      </c>
    </row>
    <row r="29" spans="2:15" ht="15.75" thickBot="1" x14ac:dyDescent="0.3"/>
    <row r="30" spans="2:15" ht="15.75" thickBot="1" x14ac:dyDescent="0.3">
      <c r="F30" s="96" t="s">
        <v>5</v>
      </c>
      <c r="G30" s="97">
        <v>5</v>
      </c>
    </row>
    <row r="32" spans="2:15" x14ac:dyDescent="0.25">
      <c r="B32" t="s">
        <v>45</v>
      </c>
      <c r="C32" t="s">
        <v>46</v>
      </c>
      <c r="D32" t="s">
        <v>47</v>
      </c>
      <c r="E32" t="s">
        <v>48</v>
      </c>
      <c r="F32" t="s">
        <v>49</v>
      </c>
      <c r="H32" t="s">
        <v>50</v>
      </c>
      <c r="I32" t="s">
        <v>51</v>
      </c>
      <c r="J32" t="s">
        <v>52</v>
      </c>
      <c r="K32" t="s">
        <v>53</v>
      </c>
      <c r="M32" t="s">
        <v>36</v>
      </c>
      <c r="N32" t="s">
        <v>1</v>
      </c>
    </row>
    <row r="33" spans="2:18" x14ac:dyDescent="0.25">
      <c r="B33">
        <v>1</v>
      </c>
      <c r="C33">
        <v>0</v>
      </c>
      <c r="D33">
        <v>0</v>
      </c>
      <c r="E33">
        <v>0</v>
      </c>
      <c r="F33">
        <v>0</v>
      </c>
      <c r="H33">
        <f>EXP(C33/$G$3)/SUM(EXP($C33/$G$3),EXP($D33/$G$3),EXP($E33/$G$3),EXP($F33/$G$3))</f>
        <v>0.25</v>
      </c>
      <c r="I33">
        <f t="shared" ref="I33:K48" si="8">EXP(D33/$G$3)/SUM(EXP($C33/$G$3),EXP($D33/$G$3),EXP($E33/$G$3),EXP($F33/$G$3))</f>
        <v>0.25</v>
      </c>
      <c r="J33">
        <f t="shared" si="8"/>
        <v>0.25</v>
      </c>
      <c r="K33">
        <f t="shared" si="8"/>
        <v>0.25</v>
      </c>
      <c r="M33">
        <f>LN(SUM(EXP(C33/$G$3),EXP(D33/$G$3),EXP(E33/$G$3),EXP(F33/$G$3)))</f>
        <v>1.3862943611198906</v>
      </c>
      <c r="N33">
        <f>$G$30*IFERROR(M33-M32,M33)</f>
        <v>6.9314718055994531</v>
      </c>
      <c r="Q33">
        <f>SUM($N$33:N33)</f>
        <v>6.9314718055994531</v>
      </c>
    </row>
    <row r="34" spans="2:18" x14ac:dyDescent="0.25">
      <c r="B34">
        <v>2</v>
      </c>
      <c r="C34">
        <v>1</v>
      </c>
      <c r="D34">
        <v>0</v>
      </c>
      <c r="E34">
        <v>0</v>
      </c>
      <c r="F34">
        <v>0</v>
      </c>
      <c r="H34">
        <f t="shared" ref="H34:K49" si="9">EXP(C34/$G$3)/SUM(EXP($C34/$G$3),EXP($D34/$G$3),EXP($E34/$G$3),EXP($F34/$G$3))</f>
        <v>0.28933575594016492</v>
      </c>
      <c r="I34">
        <f t="shared" si="8"/>
        <v>0.23688808135327838</v>
      </c>
      <c r="J34">
        <f t="shared" si="8"/>
        <v>0.23688808135327838</v>
      </c>
      <c r="K34">
        <f t="shared" si="8"/>
        <v>0.23688808135327838</v>
      </c>
      <c r="M34">
        <f t="shared" ref="M34:M73" si="10">LN(SUM(EXP(C34/$G$3),EXP(D34/$G$3),EXP(E34/$G$3),EXP(F34/$G$3)))</f>
        <v>1.4401674799598645</v>
      </c>
      <c r="N34" s="98">
        <f t="shared" ref="N34:N73" si="11">$G$30*IFERROR(M34-M33,M34)</f>
        <v>0.26936559419986961</v>
      </c>
      <c r="Q34">
        <f>SUM($N$33:N34)</f>
        <v>7.2008373997993225</v>
      </c>
    </row>
    <row r="35" spans="2:18" x14ac:dyDescent="0.25">
      <c r="B35">
        <v>3</v>
      </c>
      <c r="C35">
        <v>2</v>
      </c>
      <c r="D35">
        <v>3</v>
      </c>
      <c r="E35">
        <v>0</v>
      </c>
      <c r="F35">
        <v>0</v>
      </c>
      <c r="H35">
        <f t="shared" si="9"/>
        <v>0.28073777942761796</v>
      </c>
      <c r="I35">
        <f t="shared" si="8"/>
        <v>0.34289389811265397</v>
      </c>
      <c r="J35">
        <f t="shared" si="8"/>
        <v>0.18818416122986403</v>
      </c>
      <c r="K35">
        <f t="shared" si="8"/>
        <v>0.18818416122986403</v>
      </c>
      <c r="M35">
        <f t="shared" si="10"/>
        <v>1.6703342146186519</v>
      </c>
      <c r="N35" s="98">
        <f t="shared" si="11"/>
        <v>1.1508336732939373</v>
      </c>
      <c r="Q35">
        <f>SUM($N$33:N35)</f>
        <v>8.3516710730932591</v>
      </c>
    </row>
    <row r="36" spans="2:18" x14ac:dyDescent="0.25">
      <c r="B36">
        <v>4</v>
      </c>
      <c r="C36">
        <v>8</v>
      </c>
      <c r="D36">
        <v>9</v>
      </c>
      <c r="E36">
        <v>11</v>
      </c>
      <c r="F36">
        <v>0</v>
      </c>
      <c r="H36">
        <f t="shared" si="9"/>
        <v>0.23554806192697511</v>
      </c>
      <c r="I36">
        <f t="shared" si="8"/>
        <v>0.28769905251688987</v>
      </c>
      <c r="J36">
        <f t="shared" si="8"/>
        <v>0.42919655203268925</v>
      </c>
      <c r="K36">
        <f t="shared" si="8"/>
        <v>4.755633352344573E-2</v>
      </c>
      <c r="M36">
        <f t="shared" si="10"/>
        <v>3.0458403017324911</v>
      </c>
      <c r="N36" s="98">
        <f t="shared" si="11"/>
        <v>6.877530435569196</v>
      </c>
      <c r="Q36">
        <f>SUM($N$33:N36)</f>
        <v>15.229201508662456</v>
      </c>
    </row>
    <row r="37" spans="2:18" x14ac:dyDescent="0.25">
      <c r="B37">
        <v>5</v>
      </c>
      <c r="C37">
        <v>21</v>
      </c>
      <c r="D37">
        <v>25</v>
      </c>
      <c r="E37">
        <v>27</v>
      </c>
      <c r="F37">
        <v>17</v>
      </c>
      <c r="H37">
        <f t="shared" si="9"/>
        <v>0.14295952607174461</v>
      </c>
      <c r="I37">
        <f t="shared" si="8"/>
        <v>0.31816227639055356</v>
      </c>
      <c r="J37">
        <f t="shared" si="8"/>
        <v>0.47464234177719605</v>
      </c>
      <c r="K37">
        <f t="shared" si="8"/>
        <v>6.4235855760505917E-2</v>
      </c>
      <c r="M37">
        <f t="shared" si="10"/>
        <v>6.1451937232473677</v>
      </c>
      <c r="N37" s="98">
        <f t="shared" si="11"/>
        <v>15.496767107574383</v>
      </c>
      <c r="O37">
        <f>SUM(N34:N37)</f>
        <v>23.794496810637384</v>
      </c>
      <c r="Q37">
        <f>SUM($N$33:N37)</f>
        <v>30.725968616236841</v>
      </c>
    </row>
    <row r="38" spans="2:18" x14ac:dyDescent="0.25">
      <c r="B38">
        <v>6</v>
      </c>
      <c r="C38">
        <v>31</v>
      </c>
      <c r="D38">
        <v>36</v>
      </c>
      <c r="E38">
        <v>42</v>
      </c>
      <c r="F38">
        <v>57</v>
      </c>
      <c r="H38">
        <f t="shared" si="9"/>
        <v>5.1542263800937928E-3</v>
      </c>
      <c r="I38">
        <f t="shared" si="8"/>
        <v>1.4010639908773201E-2</v>
      </c>
      <c r="J38">
        <f t="shared" si="8"/>
        <v>4.6516962659485954E-2</v>
      </c>
      <c r="K38">
        <f t="shared" si="8"/>
        <v>0.93431817105164705</v>
      </c>
      <c r="M38">
        <f t="shared" si="10"/>
        <v>11.467938244531888</v>
      </c>
      <c r="N38" s="99">
        <f t="shared" si="11"/>
        <v>26.613722606422602</v>
      </c>
      <c r="Q38">
        <f>SUM($N$33:N38)</f>
        <v>57.33969122265944</v>
      </c>
    </row>
    <row r="39" spans="2:18" x14ac:dyDescent="0.25">
      <c r="B39">
        <v>7</v>
      </c>
      <c r="C39">
        <v>42</v>
      </c>
      <c r="D39">
        <v>53</v>
      </c>
      <c r="E39">
        <v>55</v>
      </c>
      <c r="F39">
        <v>40</v>
      </c>
      <c r="H39">
        <f t="shared" si="9"/>
        <v>4.1392319099229483E-2</v>
      </c>
      <c r="I39">
        <f t="shared" si="8"/>
        <v>0.37356623864343058</v>
      </c>
      <c r="J39">
        <f t="shared" si="8"/>
        <v>0.55729534101322264</v>
      </c>
      <c r="K39">
        <f t="shared" si="8"/>
        <v>2.7746101244117367E-2</v>
      </c>
      <c r="M39">
        <f t="shared" si="10"/>
        <v>11.584659944367623</v>
      </c>
      <c r="N39" s="99">
        <f t="shared" si="11"/>
        <v>0.58360849917867164</v>
      </c>
      <c r="Q39">
        <f>SUM($N$33:N39)</f>
        <v>57.923299721838113</v>
      </c>
    </row>
    <row r="40" spans="2:18" x14ac:dyDescent="0.25">
      <c r="B40">
        <v>8</v>
      </c>
      <c r="C40">
        <v>50</v>
      </c>
      <c r="D40">
        <v>80</v>
      </c>
      <c r="E40">
        <v>70</v>
      </c>
      <c r="F40">
        <v>42</v>
      </c>
      <c r="H40">
        <f t="shared" si="9"/>
        <v>2.1775635866085013E-3</v>
      </c>
      <c r="I40">
        <f t="shared" si="8"/>
        <v>0.87849185049918066</v>
      </c>
      <c r="J40">
        <f t="shared" si="8"/>
        <v>0.11889094340836263</v>
      </c>
      <c r="K40">
        <f t="shared" si="8"/>
        <v>4.3964250584820985E-4</v>
      </c>
      <c r="M40">
        <f t="shared" si="10"/>
        <v>16.1295486480068</v>
      </c>
      <c r="N40" s="99">
        <f t="shared" si="11"/>
        <v>22.724443518195887</v>
      </c>
      <c r="Q40">
        <f>SUM($N$33:N40)</f>
        <v>80.647743240034004</v>
      </c>
    </row>
    <row r="41" spans="2:18" x14ac:dyDescent="0.25">
      <c r="B41">
        <v>9</v>
      </c>
      <c r="C41">
        <v>30</v>
      </c>
      <c r="D41">
        <v>40</v>
      </c>
      <c r="E41">
        <v>113</v>
      </c>
      <c r="F41">
        <v>47</v>
      </c>
      <c r="H41">
        <f t="shared" si="9"/>
        <v>6.1760467062892996E-8</v>
      </c>
      <c r="I41">
        <f t="shared" si="8"/>
        <v>4.5635155582387502E-7</v>
      </c>
      <c r="J41">
        <f t="shared" si="8"/>
        <v>0.99999763129116293</v>
      </c>
      <c r="K41">
        <f t="shared" si="8"/>
        <v>1.8505968140464941E-6</v>
      </c>
      <c r="M41">
        <f t="shared" si="10"/>
        <v>22.600002368711642</v>
      </c>
      <c r="N41" s="99">
        <f t="shared" si="11"/>
        <v>32.352268603524209</v>
      </c>
      <c r="O41">
        <f>SUM(N38:N41)</f>
        <v>82.274043227321371</v>
      </c>
      <c r="Q41">
        <f>SUM($N$33:N41)</f>
        <v>113.00001184355821</v>
      </c>
    </row>
    <row r="42" spans="2:18" ht="15.75" thickBot="1" x14ac:dyDescent="0.3">
      <c r="B42" s="7">
        <v>10</v>
      </c>
      <c r="C42" s="7">
        <v>30</v>
      </c>
      <c r="D42" s="7">
        <v>11</v>
      </c>
      <c r="E42" s="7">
        <v>3</v>
      </c>
      <c r="F42" s="7">
        <v>4</v>
      </c>
      <c r="G42" s="7"/>
      <c r="H42" s="7">
        <f t="shared" si="9"/>
        <v>0.96861313999388043</v>
      </c>
      <c r="I42" s="7">
        <f t="shared" si="8"/>
        <v>2.1668623571687289E-2</v>
      </c>
      <c r="J42" s="7">
        <f t="shared" si="8"/>
        <v>4.3748196488605767E-3</v>
      </c>
      <c r="K42" s="7">
        <f t="shared" si="8"/>
        <v>5.3434167855716148E-3</v>
      </c>
      <c r="L42" s="7"/>
      <c r="M42" s="7">
        <f t="shared" si="10"/>
        <v>6.0318899831398376</v>
      </c>
      <c r="N42" s="8">
        <f t="shared" si="11"/>
        <v>-82.840561927859028</v>
      </c>
      <c r="O42" s="7"/>
      <c r="Q42">
        <f>SUM($N$33:N42)</f>
        <v>30.159449915699184</v>
      </c>
    </row>
    <row r="43" spans="2:18" ht="15.75" thickBot="1" x14ac:dyDescent="0.3">
      <c r="B43" s="108">
        <v>11</v>
      </c>
      <c r="C43" s="109">
        <v>30</v>
      </c>
      <c r="D43" s="109">
        <v>0</v>
      </c>
      <c r="E43" s="109">
        <v>0</v>
      </c>
      <c r="F43" s="109">
        <v>0</v>
      </c>
      <c r="G43" s="110"/>
      <c r="H43" s="110">
        <f t="shared" si="9"/>
        <v>0.9926186332070156</v>
      </c>
      <c r="I43" s="110">
        <f t="shared" si="8"/>
        <v>2.4604555976614757E-3</v>
      </c>
      <c r="J43" s="110">
        <f t="shared" si="8"/>
        <v>2.4604555976614757E-3</v>
      </c>
      <c r="K43" s="110">
        <f t="shared" si="8"/>
        <v>2.4604555976614757E-3</v>
      </c>
      <c r="L43" s="110"/>
      <c r="M43" s="110">
        <f t="shared" si="10"/>
        <v>6.007408743884282</v>
      </c>
      <c r="N43" s="111">
        <f t="shared" si="11"/>
        <v>-0.12240619627777782</v>
      </c>
      <c r="O43" s="97"/>
      <c r="Q43" s="108">
        <f>SUM($N$33:N43)</f>
        <v>30.037043719421405</v>
      </c>
      <c r="R43" s="108">
        <f>Q43</f>
        <v>30.037043719421405</v>
      </c>
    </row>
    <row r="44" spans="2:18" x14ac:dyDescent="0.25">
      <c r="B44">
        <v>12</v>
      </c>
      <c r="C44">
        <f>C43-1</f>
        <v>29</v>
      </c>
      <c r="D44">
        <v>0</v>
      </c>
      <c r="E44">
        <v>0</v>
      </c>
      <c r="F44">
        <v>0</v>
      </c>
      <c r="H44">
        <f t="shared" si="9"/>
        <v>0.99099908802515901</v>
      </c>
      <c r="I44">
        <f t="shared" si="8"/>
        <v>3.000303991613675E-3</v>
      </c>
      <c r="J44">
        <f t="shared" si="8"/>
        <v>3.000303991613675E-3</v>
      </c>
      <c r="K44">
        <f t="shared" si="8"/>
        <v>3.000303991613675E-3</v>
      </c>
      <c r="M44">
        <f t="shared" si="10"/>
        <v>5.8090416649097278</v>
      </c>
      <c r="N44" s="112">
        <f t="shared" si="11"/>
        <v>-0.99183539487277095</v>
      </c>
      <c r="Q44">
        <f>SUM($N$33:N44)</f>
        <v>29.045208324548632</v>
      </c>
      <c r="R44">
        <f>R43-(C43-C44)</f>
        <v>29.037043719421405</v>
      </c>
    </row>
    <row r="45" spans="2:18" x14ac:dyDescent="0.25">
      <c r="B45">
        <v>13</v>
      </c>
      <c r="C45">
        <f t="shared" ref="C45:C73" si="12">C44-1</f>
        <v>28</v>
      </c>
      <c r="D45">
        <v>0</v>
      </c>
      <c r="E45">
        <v>0</v>
      </c>
      <c r="F45">
        <v>0</v>
      </c>
      <c r="H45">
        <f t="shared" si="9"/>
        <v>0.98902812633117654</v>
      </c>
      <c r="I45">
        <f t="shared" si="8"/>
        <v>3.6572912229411551E-3</v>
      </c>
      <c r="J45">
        <f t="shared" si="8"/>
        <v>3.6572912229411551E-3</v>
      </c>
      <c r="K45">
        <f t="shared" si="8"/>
        <v>3.6572912229411551E-3</v>
      </c>
      <c r="M45">
        <f t="shared" si="10"/>
        <v>5.611032508601852</v>
      </c>
      <c r="N45" s="112">
        <f t="shared" si="11"/>
        <v>-0.99004578153937928</v>
      </c>
      <c r="Q45">
        <f>SUM($N$33:N45)</f>
        <v>28.055162543009253</v>
      </c>
      <c r="R45">
        <f t="shared" ref="R45:R73" si="13">R44-(C44-C45)</f>
        <v>28.037043719421405</v>
      </c>
    </row>
    <row r="46" spans="2:18" x14ac:dyDescent="0.25">
      <c r="B46">
        <v>14</v>
      </c>
      <c r="C46">
        <f t="shared" si="12"/>
        <v>27</v>
      </c>
      <c r="D46">
        <v>0</v>
      </c>
      <c r="E46">
        <v>0</v>
      </c>
      <c r="F46">
        <v>0</v>
      </c>
      <c r="H46">
        <f t="shared" si="9"/>
        <v>0.98663139828733637</v>
      </c>
      <c r="I46">
        <f t="shared" si="8"/>
        <v>4.4562005708878704E-3</v>
      </c>
      <c r="J46">
        <f t="shared" si="8"/>
        <v>4.4562005708878704E-3</v>
      </c>
      <c r="K46">
        <f t="shared" si="8"/>
        <v>4.4562005708878704E-3</v>
      </c>
      <c r="M46">
        <f t="shared" si="10"/>
        <v>5.4134587659500593</v>
      </c>
      <c r="N46" s="112">
        <f t="shared" si="11"/>
        <v>-0.98786871325896364</v>
      </c>
      <c r="Q46">
        <f>SUM($N$33:N46)</f>
        <v>27.067293829750291</v>
      </c>
      <c r="R46">
        <f t="shared" si="13"/>
        <v>27.037043719421405</v>
      </c>
    </row>
    <row r="47" spans="2:18" x14ac:dyDescent="0.25">
      <c r="B47">
        <v>15</v>
      </c>
      <c r="C47">
        <f t="shared" si="12"/>
        <v>26</v>
      </c>
      <c r="D47">
        <v>0</v>
      </c>
      <c r="E47">
        <v>0</v>
      </c>
      <c r="F47">
        <v>0</v>
      </c>
      <c r="H47">
        <f t="shared" si="9"/>
        <v>0.98371974004618357</v>
      </c>
      <c r="I47">
        <f t="shared" si="8"/>
        <v>5.426753317938811E-3</v>
      </c>
      <c r="J47">
        <f t="shared" si="8"/>
        <v>5.426753317938811E-3</v>
      </c>
      <c r="K47">
        <f t="shared" si="8"/>
        <v>5.426753317938811E-3</v>
      </c>
      <c r="M47">
        <f t="shared" si="10"/>
        <v>5.2164142395241928</v>
      </c>
      <c r="N47" s="112">
        <f t="shared" si="11"/>
        <v>-0.98522263212933225</v>
      </c>
      <c r="Q47">
        <f>SUM($N$33:N47)</f>
        <v>26.082071197620959</v>
      </c>
      <c r="R47">
        <f t="shared" si="13"/>
        <v>26.037043719421405</v>
      </c>
    </row>
    <row r="48" spans="2:18" x14ac:dyDescent="0.25">
      <c r="B48">
        <v>16</v>
      </c>
      <c r="C48">
        <f t="shared" si="12"/>
        <v>25</v>
      </c>
      <c r="D48">
        <v>0</v>
      </c>
      <c r="E48">
        <v>0</v>
      </c>
      <c r="F48">
        <v>0</v>
      </c>
      <c r="H48">
        <f t="shared" si="9"/>
        <v>0.98018666265349097</v>
      </c>
      <c r="I48">
        <f t="shared" si="8"/>
        <v>6.6044457821696888E-3</v>
      </c>
      <c r="J48">
        <f t="shared" si="8"/>
        <v>6.6044457821696888E-3</v>
      </c>
      <c r="K48">
        <f t="shared" si="8"/>
        <v>6.6044457821696888E-3</v>
      </c>
      <c r="M48">
        <f t="shared" si="10"/>
        <v>5.020012253359627</v>
      </c>
      <c r="N48" s="112">
        <f t="shared" si="11"/>
        <v>-0.98200993082282917</v>
      </c>
      <c r="Q48">
        <f>SUM($N$33:N48)</f>
        <v>25.100061266798129</v>
      </c>
      <c r="R48">
        <f t="shared" si="13"/>
        <v>25.037043719421405</v>
      </c>
    </row>
    <row r="49" spans="2:18" x14ac:dyDescent="0.25">
      <c r="B49">
        <v>17</v>
      </c>
      <c r="C49">
        <f t="shared" si="12"/>
        <v>24</v>
      </c>
      <c r="D49">
        <v>0</v>
      </c>
      <c r="E49">
        <v>0</v>
      </c>
      <c r="F49">
        <v>0</v>
      </c>
      <c r="H49">
        <f t="shared" si="9"/>
        <v>0.97590563055056345</v>
      </c>
      <c r="I49">
        <f t="shared" si="9"/>
        <v>8.0314564831455316E-3</v>
      </c>
      <c r="J49">
        <f t="shared" si="9"/>
        <v>8.0314564831455316E-3</v>
      </c>
      <c r="K49">
        <f t="shared" si="9"/>
        <v>8.0314564831455316E-3</v>
      </c>
      <c r="M49">
        <f t="shared" si="10"/>
        <v>4.8243893872534933</v>
      </c>
      <c r="N49" s="112">
        <f t="shared" si="11"/>
        <v>-0.97811433053066832</v>
      </c>
      <c r="Q49">
        <f>SUM($N$33:N49)</f>
        <v>24.121946936267459</v>
      </c>
      <c r="R49">
        <f t="shared" si="13"/>
        <v>24.037043719421405</v>
      </c>
    </row>
    <row r="50" spans="2:18" x14ac:dyDescent="0.25">
      <c r="B50">
        <v>18</v>
      </c>
      <c r="C50">
        <f t="shared" si="12"/>
        <v>23</v>
      </c>
      <c r="D50">
        <v>0</v>
      </c>
      <c r="E50">
        <v>0</v>
      </c>
      <c r="F50">
        <v>0</v>
      </c>
      <c r="H50">
        <f t="shared" ref="H50:K65" si="14">EXP(C50/$G$3)/SUM(EXP($C50/$G$3),EXP($D50/$G$3),EXP($E50/$G$3),EXP($F50/$G$3))</f>
        <v>0.9707272280523237</v>
      </c>
      <c r="I50">
        <f t="shared" si="14"/>
        <v>9.7575906492254252E-3</v>
      </c>
      <c r="J50">
        <f t="shared" si="14"/>
        <v>9.7575906492254252E-3</v>
      </c>
      <c r="K50">
        <f t="shared" si="14"/>
        <v>9.7575906492254252E-3</v>
      </c>
      <c r="M50">
        <f t="shared" si="10"/>
        <v>4.6297097687425195</v>
      </c>
      <c r="N50" s="112">
        <f t="shared" si="11"/>
        <v>-0.97339809255486909</v>
      </c>
      <c r="Q50">
        <f>SUM($N$33:N50)</f>
        <v>23.148548843712589</v>
      </c>
      <c r="R50">
        <f t="shared" si="13"/>
        <v>23.037043719421405</v>
      </c>
    </row>
    <row r="51" spans="2:18" x14ac:dyDescent="0.25">
      <c r="B51">
        <v>19</v>
      </c>
      <c r="C51">
        <f t="shared" si="12"/>
        <v>22</v>
      </c>
      <c r="D51">
        <v>0</v>
      </c>
      <c r="E51">
        <v>0</v>
      </c>
      <c r="F51">
        <v>0</v>
      </c>
      <c r="H51">
        <f t="shared" si="14"/>
        <v>0.96447638671543401</v>
      </c>
      <c r="I51">
        <f t="shared" si="14"/>
        <v>1.1841204428188664E-2</v>
      </c>
      <c r="J51">
        <f t="shared" si="14"/>
        <v>1.1841204428188664E-2</v>
      </c>
      <c r="K51">
        <f t="shared" si="14"/>
        <v>1.1841204428188664E-2</v>
      </c>
      <c r="M51">
        <f t="shared" si="10"/>
        <v>4.4361699293461783</v>
      </c>
      <c r="N51" s="112">
        <f t="shared" si="11"/>
        <v>-0.96769919698170614</v>
      </c>
      <c r="Q51">
        <f>SUM($N$33:N51)</f>
        <v>22.180849646730884</v>
      </c>
      <c r="R51">
        <f t="shared" si="13"/>
        <v>22.037043719421405</v>
      </c>
    </row>
    <row r="52" spans="2:18" x14ac:dyDescent="0.25">
      <c r="B52">
        <v>20</v>
      </c>
      <c r="C52">
        <f t="shared" si="12"/>
        <v>21</v>
      </c>
      <c r="D52">
        <v>0</v>
      </c>
      <c r="E52">
        <v>0</v>
      </c>
      <c r="F52">
        <v>0</v>
      </c>
      <c r="H52">
        <f t="shared" si="14"/>
        <v>0.95694995051126786</v>
      </c>
      <c r="I52">
        <f t="shared" si="14"/>
        <v>1.4350016496244053E-2</v>
      </c>
      <c r="J52">
        <f t="shared" si="14"/>
        <v>1.4350016496244053E-2</v>
      </c>
      <c r="K52">
        <f t="shared" si="14"/>
        <v>1.4350016496244053E-2</v>
      </c>
      <c r="M52">
        <f t="shared" si="10"/>
        <v>4.2440041872131218</v>
      </c>
      <c r="N52" s="112">
        <f t="shared" si="11"/>
        <v>-0.96082871066528241</v>
      </c>
      <c r="Q52">
        <f>SUM($N$33:N52)</f>
        <v>21.220020936065602</v>
      </c>
      <c r="R52">
        <f t="shared" si="13"/>
        <v>21.037043719421405</v>
      </c>
    </row>
    <row r="53" spans="2:18" x14ac:dyDescent="0.25">
      <c r="B53">
        <v>21</v>
      </c>
      <c r="C53">
        <f t="shared" si="12"/>
        <v>20</v>
      </c>
      <c r="D53">
        <v>0</v>
      </c>
      <c r="E53">
        <v>0</v>
      </c>
      <c r="F53">
        <v>0</v>
      </c>
      <c r="H53">
        <f t="shared" si="14"/>
        <v>0.94791499382751565</v>
      </c>
      <c r="I53">
        <f t="shared" si="14"/>
        <v>1.7361668724161467E-2</v>
      </c>
      <c r="J53">
        <f t="shared" si="14"/>
        <v>1.7361668724161467E-2</v>
      </c>
      <c r="K53">
        <f t="shared" si="14"/>
        <v>1.7361668724161467E-2</v>
      </c>
      <c r="M53">
        <f t="shared" si="10"/>
        <v>4.0534904497059339</v>
      </c>
      <c r="N53" s="112">
        <f t="shared" si="11"/>
        <v>-0.9525686875359396</v>
      </c>
      <c r="Q53">
        <f>SUM($N$33:N53)</f>
        <v>20.267452248529661</v>
      </c>
      <c r="R53">
        <f t="shared" si="13"/>
        <v>20.037043719421405</v>
      </c>
    </row>
    <row r="54" spans="2:18" x14ac:dyDescent="0.25">
      <c r="B54">
        <v>22</v>
      </c>
      <c r="C54">
        <f t="shared" si="12"/>
        <v>19</v>
      </c>
      <c r="D54">
        <v>0</v>
      </c>
      <c r="E54">
        <v>0</v>
      </c>
      <c r="F54">
        <v>0</v>
      </c>
      <c r="H54">
        <f t="shared" si="14"/>
        <v>0.93710847997031765</v>
      </c>
      <c r="I54">
        <f t="shared" si="14"/>
        <v>2.0963840009894107E-2</v>
      </c>
      <c r="J54">
        <f t="shared" si="14"/>
        <v>2.0963840009894107E-2</v>
      </c>
      <c r="K54">
        <f t="shared" si="14"/>
        <v>2.0963840009894107E-2</v>
      </c>
      <c r="M54">
        <f t="shared" si="10"/>
        <v>3.8649562297306539</v>
      </c>
      <c r="N54" s="112">
        <f t="shared" si="11"/>
        <v>-0.94267109987639985</v>
      </c>
      <c r="Q54">
        <f>SUM($N$33:N54)</f>
        <v>19.324781148653262</v>
      </c>
      <c r="R54">
        <f t="shared" si="13"/>
        <v>19.037043719421405</v>
      </c>
    </row>
    <row r="55" spans="2:18" x14ac:dyDescent="0.25">
      <c r="B55">
        <v>23</v>
      </c>
      <c r="C55">
        <f t="shared" si="12"/>
        <v>18</v>
      </c>
      <c r="D55">
        <v>0</v>
      </c>
      <c r="E55">
        <v>0</v>
      </c>
      <c r="F55">
        <v>0</v>
      </c>
      <c r="H55">
        <f t="shared" si="14"/>
        <v>0.92423904645882615</v>
      </c>
      <c r="I55">
        <f t="shared" si="14"/>
        <v>2.5253651180391298E-2</v>
      </c>
      <c r="J55">
        <f t="shared" si="14"/>
        <v>2.5253651180391298E-2</v>
      </c>
      <c r="K55">
        <f t="shared" si="14"/>
        <v>2.5253651180391298E-2</v>
      </c>
      <c r="M55">
        <f t="shared" si="10"/>
        <v>3.6787845325108988</v>
      </c>
      <c r="N55" s="112">
        <f t="shared" si="11"/>
        <v>-0.93085848609877564</v>
      </c>
      <c r="Q55">
        <f>SUM($N$33:N55)</f>
        <v>18.393922662554488</v>
      </c>
      <c r="R55">
        <f t="shared" si="13"/>
        <v>18.037043719421405</v>
      </c>
    </row>
    <row r="56" spans="2:18" x14ac:dyDescent="0.25">
      <c r="B56">
        <v>24</v>
      </c>
      <c r="C56">
        <f t="shared" si="12"/>
        <v>17</v>
      </c>
      <c r="D56">
        <v>0</v>
      </c>
      <c r="E56">
        <v>0</v>
      </c>
      <c r="F56">
        <v>0</v>
      </c>
      <c r="H56">
        <f t="shared" si="14"/>
        <v>0.90899190344385294</v>
      </c>
      <c r="I56">
        <f t="shared" si="14"/>
        <v>3.0336032185382365E-2</v>
      </c>
      <c r="J56">
        <f t="shared" si="14"/>
        <v>3.0336032185382365E-2</v>
      </c>
      <c r="K56">
        <f t="shared" si="14"/>
        <v>3.0336032185382365E-2</v>
      </c>
      <c r="M56">
        <f t="shared" si="10"/>
        <v>3.4954190919467987</v>
      </c>
      <c r="N56" s="112">
        <f t="shared" si="11"/>
        <v>-0.91682720282050045</v>
      </c>
      <c r="Q56">
        <f>SUM($N$33:N56)</f>
        <v>17.477095459733988</v>
      </c>
      <c r="R56">
        <f t="shared" si="13"/>
        <v>17.037043719421405</v>
      </c>
    </row>
    <row r="57" spans="2:18" x14ac:dyDescent="0.25">
      <c r="B57">
        <v>25</v>
      </c>
      <c r="C57">
        <f t="shared" si="12"/>
        <v>16</v>
      </c>
      <c r="D57">
        <v>0</v>
      </c>
      <c r="E57">
        <v>0</v>
      </c>
      <c r="F57">
        <v>0</v>
      </c>
      <c r="H57">
        <f t="shared" si="14"/>
        <v>0.89103798384955657</v>
      </c>
      <c r="I57">
        <f t="shared" si="14"/>
        <v>3.6320672050147801E-2</v>
      </c>
      <c r="J57">
        <f t="shared" si="14"/>
        <v>3.6320672050147801E-2</v>
      </c>
      <c r="K57">
        <f t="shared" si="14"/>
        <v>3.6320672050147801E-2</v>
      </c>
      <c r="M57">
        <f t="shared" si="10"/>
        <v>3.3153682218368692</v>
      </c>
      <c r="N57" s="112">
        <f t="shared" si="11"/>
        <v>-0.90025435054964742</v>
      </c>
      <c r="Q57">
        <f>SUM($N$33:N57)</f>
        <v>16.57684110918434</v>
      </c>
      <c r="R57">
        <f t="shared" si="13"/>
        <v>16.037043719421405</v>
      </c>
    </row>
    <row r="58" spans="2:18" x14ac:dyDescent="0.25">
      <c r="B58">
        <v>26</v>
      </c>
      <c r="C58">
        <f t="shared" si="12"/>
        <v>15</v>
      </c>
      <c r="D58">
        <v>0</v>
      </c>
      <c r="E58">
        <v>0</v>
      </c>
      <c r="F58">
        <v>0</v>
      </c>
      <c r="H58">
        <f t="shared" si="14"/>
        <v>0.87004850656140775</v>
      </c>
      <c r="I58">
        <f t="shared" si="14"/>
        <v>4.3317164479530733E-2</v>
      </c>
      <c r="J58">
        <f t="shared" si="14"/>
        <v>4.3317164479530733E-2</v>
      </c>
      <c r="K58">
        <f t="shared" si="14"/>
        <v>4.3317164479530733E-2</v>
      </c>
      <c r="M58">
        <f t="shared" si="10"/>
        <v>3.1392063142194564</v>
      </c>
      <c r="N58" s="112">
        <f t="shared" si="11"/>
        <v>-0.88080953808706397</v>
      </c>
      <c r="Q58">
        <f>SUM($N$33:N58)</f>
        <v>15.696031571097276</v>
      </c>
      <c r="R58">
        <f t="shared" si="13"/>
        <v>15.037043719421405</v>
      </c>
    </row>
    <row r="59" spans="2:18" x14ac:dyDescent="0.25">
      <c r="B59">
        <v>27</v>
      </c>
      <c r="C59">
        <f t="shared" si="12"/>
        <v>14</v>
      </c>
      <c r="D59">
        <v>0</v>
      </c>
      <c r="E59">
        <v>0</v>
      </c>
      <c r="F59">
        <v>0</v>
      </c>
      <c r="H59">
        <f t="shared" si="14"/>
        <v>0.84571589109763279</v>
      </c>
      <c r="I59">
        <f t="shared" si="14"/>
        <v>5.1428036300789071E-2</v>
      </c>
      <c r="J59">
        <f t="shared" si="14"/>
        <v>5.1428036300789071E-2</v>
      </c>
      <c r="K59">
        <f t="shared" si="14"/>
        <v>5.1428036300789071E-2</v>
      </c>
      <c r="M59">
        <f t="shared" si="10"/>
        <v>2.9675718019038646</v>
      </c>
      <c r="N59" s="112">
        <f t="shared" si="11"/>
        <v>-0.85817256157795896</v>
      </c>
      <c r="Q59">
        <f>SUM($N$33:N59)</f>
        <v>14.837859009519317</v>
      </c>
      <c r="R59">
        <f t="shared" si="13"/>
        <v>14.037043719421405</v>
      </c>
    </row>
    <row r="60" spans="2:18" x14ac:dyDescent="0.25">
      <c r="B60">
        <v>28</v>
      </c>
      <c r="C60">
        <f t="shared" si="12"/>
        <v>13</v>
      </c>
      <c r="D60">
        <v>0</v>
      </c>
      <c r="E60">
        <v>0</v>
      </c>
      <c r="F60">
        <v>0</v>
      </c>
      <c r="H60">
        <f t="shared" si="14"/>
        <v>0.81778135720927791</v>
      </c>
      <c r="I60">
        <f t="shared" si="14"/>
        <v>6.073954759690741E-2</v>
      </c>
      <c r="J60">
        <f t="shared" si="14"/>
        <v>6.073954759690741E-2</v>
      </c>
      <c r="K60">
        <f t="shared" si="14"/>
        <v>6.073954759690741E-2</v>
      </c>
      <c r="M60">
        <f t="shared" si="10"/>
        <v>2.8011602675827989</v>
      </c>
      <c r="N60" s="112">
        <f t="shared" si="11"/>
        <v>-0.83205767160532851</v>
      </c>
      <c r="Q60">
        <f>SUM($N$33:N60)</f>
        <v>14.005801337913988</v>
      </c>
      <c r="R60">
        <f t="shared" si="13"/>
        <v>13.037043719421405</v>
      </c>
    </row>
    <row r="61" spans="2:18" x14ac:dyDescent="0.25">
      <c r="B61">
        <v>29</v>
      </c>
      <c r="C61">
        <f t="shared" si="12"/>
        <v>12</v>
      </c>
      <c r="D61">
        <v>0</v>
      </c>
      <c r="E61">
        <v>0</v>
      </c>
      <c r="F61">
        <v>0</v>
      </c>
      <c r="H61">
        <f t="shared" si="14"/>
        <v>0.78606843994764464</v>
      </c>
      <c r="I61">
        <f t="shared" si="14"/>
        <v>7.1310520017451792E-2</v>
      </c>
      <c r="J61">
        <f t="shared" si="14"/>
        <v>7.1310520017451792E-2</v>
      </c>
      <c r="K61">
        <f t="shared" si="14"/>
        <v>7.1310520017451792E-2</v>
      </c>
      <c r="M61">
        <f t="shared" si="10"/>
        <v>2.6407114166188883</v>
      </c>
      <c r="N61" s="112">
        <f t="shared" si="11"/>
        <v>-0.80224425481955297</v>
      </c>
      <c r="Q61">
        <f>SUM($N$33:N61)</f>
        <v>13.203557083094434</v>
      </c>
      <c r="R61">
        <f t="shared" si="13"/>
        <v>12.037043719421405</v>
      </c>
    </row>
    <row r="62" spans="2:18" x14ac:dyDescent="0.25">
      <c r="B62">
        <v>30</v>
      </c>
      <c r="C62">
        <f t="shared" si="12"/>
        <v>11</v>
      </c>
      <c r="D62">
        <v>0</v>
      </c>
      <c r="E62">
        <v>0</v>
      </c>
      <c r="F62">
        <v>0</v>
      </c>
      <c r="H62">
        <f t="shared" si="14"/>
        <v>0.75052003058947292</v>
      </c>
      <c r="I62">
        <f t="shared" si="14"/>
        <v>8.3159989803509027E-2</v>
      </c>
      <c r="J62">
        <f t="shared" si="14"/>
        <v>8.3159989803509027E-2</v>
      </c>
      <c r="K62">
        <f t="shared" si="14"/>
        <v>8.3159989803509027E-2</v>
      </c>
      <c r="M62">
        <f t="shared" si="10"/>
        <v>2.486988938605259</v>
      </c>
      <c r="N62" s="112">
        <f t="shared" si="11"/>
        <v>-0.7686123900681463</v>
      </c>
      <c r="Q62">
        <f>SUM($N$33:N62)</f>
        <v>12.434944693026289</v>
      </c>
      <c r="R62">
        <f t="shared" si="13"/>
        <v>11.037043719421405</v>
      </c>
    </row>
    <row r="63" spans="2:18" x14ac:dyDescent="0.25">
      <c r="B63">
        <v>31</v>
      </c>
      <c r="C63">
        <f t="shared" si="12"/>
        <v>10</v>
      </c>
      <c r="D63">
        <v>0</v>
      </c>
      <c r="E63">
        <v>0</v>
      </c>
      <c r="F63">
        <v>0</v>
      </c>
      <c r="H63">
        <f t="shared" si="14"/>
        <v>0.71123459422759383</v>
      </c>
      <c r="I63">
        <f t="shared" si="14"/>
        <v>9.6255135257468719E-2</v>
      </c>
      <c r="J63">
        <f t="shared" si="14"/>
        <v>9.6255135257468719E-2</v>
      </c>
      <c r="K63">
        <f t="shared" si="14"/>
        <v>9.6255135257468719E-2</v>
      </c>
      <c r="M63">
        <f t="shared" si="10"/>
        <v>2.3407529539131313</v>
      </c>
      <c r="N63" s="112">
        <f t="shared" si="11"/>
        <v>-0.73117992346063865</v>
      </c>
      <c r="Q63">
        <f>SUM($N$33:N63)</f>
        <v>11.70376476956565</v>
      </c>
      <c r="R63">
        <f t="shared" si="13"/>
        <v>10.037043719421405</v>
      </c>
    </row>
    <row r="64" spans="2:18" x14ac:dyDescent="0.25">
      <c r="B64">
        <v>32</v>
      </c>
      <c r="C64">
        <f t="shared" si="12"/>
        <v>9</v>
      </c>
      <c r="D64">
        <v>0</v>
      </c>
      <c r="E64">
        <v>0</v>
      </c>
      <c r="F64">
        <v>0</v>
      </c>
      <c r="H64">
        <f t="shared" si="14"/>
        <v>0.66849537379248503</v>
      </c>
      <c r="I64">
        <f t="shared" si="14"/>
        <v>0.11050154206917169</v>
      </c>
      <c r="J64">
        <f t="shared" si="14"/>
        <v>0.11050154206917169</v>
      </c>
      <c r="K64">
        <f t="shared" si="14"/>
        <v>0.11050154206917169</v>
      </c>
      <c r="M64">
        <f t="shared" si="10"/>
        <v>2.2027258027445855</v>
      </c>
      <c r="N64" s="112">
        <f t="shared" si="11"/>
        <v>-0.69013575584272902</v>
      </c>
      <c r="Q64">
        <f>SUM($N$33:N64)</f>
        <v>11.013629013722921</v>
      </c>
      <c r="R64">
        <f t="shared" si="13"/>
        <v>9.0370437194214048</v>
      </c>
    </row>
    <row r="65" spans="2:18" x14ac:dyDescent="0.25">
      <c r="B65">
        <v>33</v>
      </c>
      <c r="C65">
        <f t="shared" si="12"/>
        <v>8</v>
      </c>
      <c r="D65">
        <v>0</v>
      </c>
      <c r="E65">
        <v>0</v>
      </c>
      <c r="F65">
        <v>0</v>
      </c>
      <c r="H65">
        <f t="shared" si="14"/>
        <v>0.62278539305362235</v>
      </c>
      <c r="I65">
        <f t="shared" si="14"/>
        <v>0.12573820231545921</v>
      </c>
      <c r="J65">
        <f t="shared" si="14"/>
        <v>0.12573820231545921</v>
      </c>
      <c r="K65">
        <f t="shared" si="14"/>
        <v>0.12573820231545921</v>
      </c>
      <c r="M65">
        <f t="shared" si="10"/>
        <v>2.0735532929684619</v>
      </c>
      <c r="N65" s="112">
        <f t="shared" si="11"/>
        <v>-0.645862548880618</v>
      </c>
      <c r="Q65">
        <f>SUM($N$33:N65)</f>
        <v>10.367766464842303</v>
      </c>
      <c r="R65">
        <f t="shared" si="13"/>
        <v>8.0370437194214048</v>
      </c>
    </row>
    <row r="66" spans="2:18" x14ac:dyDescent="0.25">
      <c r="B66">
        <v>34</v>
      </c>
      <c r="C66">
        <f t="shared" si="12"/>
        <v>7</v>
      </c>
      <c r="D66">
        <v>0</v>
      </c>
      <c r="E66">
        <v>0</v>
      </c>
      <c r="F66">
        <v>0</v>
      </c>
      <c r="H66">
        <f t="shared" ref="H66:K73" si="15">EXP(C66/$G$3)/SUM(EXP($C66/$G$3),EXP($D66/$G$3),EXP($E66/$G$3),EXP($F66/$G$3))</f>
        <v>0.5747817192853143</v>
      </c>
      <c r="I66">
        <f t="shared" si="15"/>
        <v>0.14173942690489524</v>
      </c>
      <c r="J66">
        <f t="shared" si="15"/>
        <v>0.14173942690489524</v>
      </c>
      <c r="K66">
        <f t="shared" si="15"/>
        <v>0.14173942690489524</v>
      </c>
      <c r="M66">
        <f t="shared" si="10"/>
        <v>1.9537649288924173</v>
      </c>
      <c r="N66" s="112">
        <f t="shared" si="11"/>
        <v>-0.59894182038022326</v>
      </c>
      <c r="Q66">
        <f>SUM($N$33:N66)</f>
        <v>9.7688246444620788</v>
      </c>
      <c r="R66">
        <f t="shared" si="13"/>
        <v>7.0370437194214048</v>
      </c>
    </row>
    <row r="67" spans="2:18" x14ac:dyDescent="0.25">
      <c r="B67">
        <v>35</v>
      </c>
      <c r="C67">
        <f t="shared" si="12"/>
        <v>6</v>
      </c>
      <c r="D67">
        <v>0</v>
      </c>
      <c r="E67">
        <v>0</v>
      </c>
      <c r="F67">
        <v>0</v>
      </c>
      <c r="H67">
        <f t="shared" si="15"/>
        <v>0.52532523738484416</v>
      </c>
      <c r="I67">
        <f t="shared" si="15"/>
        <v>0.15822492087171863</v>
      </c>
      <c r="J67">
        <f t="shared" si="15"/>
        <v>0.15822492087171863</v>
      </c>
      <c r="K67">
        <f t="shared" si="15"/>
        <v>0.15822492087171863</v>
      </c>
      <c r="M67">
        <f t="shared" si="10"/>
        <v>1.8437377084206332</v>
      </c>
      <c r="N67" s="112">
        <f t="shared" si="11"/>
        <v>-0.55013610235892019</v>
      </c>
      <c r="Q67">
        <f>SUM($N$33:N67)</f>
        <v>9.218688542103159</v>
      </c>
      <c r="R67">
        <f t="shared" si="13"/>
        <v>6.0370437194214048</v>
      </c>
    </row>
    <row r="68" spans="2:18" x14ac:dyDescent="0.25">
      <c r="B68">
        <v>36</v>
      </c>
      <c r="C68">
        <f t="shared" si="12"/>
        <v>5</v>
      </c>
      <c r="D68">
        <v>0</v>
      </c>
      <c r="E68">
        <v>0</v>
      </c>
      <c r="F68">
        <v>0</v>
      </c>
      <c r="H68">
        <f t="shared" si="15"/>
        <v>0.4753668864186717</v>
      </c>
      <c r="I68">
        <f t="shared" si="15"/>
        <v>0.17487770452710946</v>
      </c>
      <c r="J68">
        <f t="shared" si="15"/>
        <v>0.17487770452710946</v>
      </c>
      <c r="K68">
        <f t="shared" si="15"/>
        <v>0.17487770452710946</v>
      </c>
      <c r="M68">
        <f t="shared" si="10"/>
        <v>1.743668380628679</v>
      </c>
      <c r="N68" s="112">
        <f t="shared" si="11"/>
        <v>-0.50034663895977105</v>
      </c>
      <c r="Q68">
        <f>SUM($N$33:N68)</f>
        <v>8.7183419031433882</v>
      </c>
      <c r="R68">
        <f t="shared" si="13"/>
        <v>5.0370437194214048</v>
      </c>
    </row>
    <row r="69" spans="2:18" x14ac:dyDescent="0.25">
      <c r="B69">
        <v>37</v>
      </c>
      <c r="C69">
        <f t="shared" si="12"/>
        <v>4</v>
      </c>
      <c r="D69">
        <v>0</v>
      </c>
      <c r="E69">
        <v>0</v>
      </c>
      <c r="F69">
        <v>0</v>
      </c>
      <c r="H69">
        <f t="shared" si="15"/>
        <v>0.42589675575166169</v>
      </c>
      <c r="I69">
        <f t="shared" si="15"/>
        <v>0.19136774808277945</v>
      </c>
      <c r="J69">
        <f t="shared" si="15"/>
        <v>0.19136774808277945</v>
      </c>
      <c r="K69">
        <f t="shared" si="15"/>
        <v>0.19136774808277945</v>
      </c>
      <c r="M69">
        <f t="shared" si="10"/>
        <v>1.6535583194765306</v>
      </c>
      <c r="N69" s="112">
        <f t="shared" si="11"/>
        <v>-0.45055030576074184</v>
      </c>
      <c r="Q69">
        <f>SUM($N$33:N69)</f>
        <v>8.2677915973826472</v>
      </c>
      <c r="R69">
        <f t="shared" si="13"/>
        <v>4.0370437194214048</v>
      </c>
    </row>
    <row r="70" spans="2:18" x14ac:dyDescent="0.25">
      <c r="B70">
        <v>38</v>
      </c>
      <c r="C70">
        <f t="shared" si="12"/>
        <v>3</v>
      </c>
      <c r="D70">
        <v>0</v>
      </c>
      <c r="E70">
        <v>0</v>
      </c>
      <c r="F70">
        <v>0</v>
      </c>
      <c r="H70">
        <f t="shared" si="15"/>
        <v>0.3778668414894607</v>
      </c>
      <c r="I70">
        <f t="shared" si="15"/>
        <v>0.20737771950351308</v>
      </c>
      <c r="J70">
        <f t="shared" si="15"/>
        <v>0.20737771950351308</v>
      </c>
      <c r="K70">
        <f t="shared" si="15"/>
        <v>0.20737771950351308</v>
      </c>
      <c r="M70">
        <f t="shared" si="10"/>
        <v>1.5732134166165241</v>
      </c>
      <c r="N70" s="112">
        <f t="shared" si="11"/>
        <v>-0.40172451430003253</v>
      </c>
      <c r="Q70">
        <f>SUM($N$33:N70)</f>
        <v>7.8660670830826147</v>
      </c>
      <c r="R70">
        <f t="shared" si="13"/>
        <v>3.0370437194214048</v>
      </c>
    </row>
    <row r="71" spans="2:18" x14ac:dyDescent="0.25">
      <c r="B71">
        <v>39</v>
      </c>
      <c r="C71">
        <f t="shared" si="12"/>
        <v>2</v>
      </c>
      <c r="D71">
        <v>0</v>
      </c>
      <c r="E71">
        <v>0</v>
      </c>
      <c r="F71">
        <v>0</v>
      </c>
      <c r="H71">
        <f t="shared" si="15"/>
        <v>0.33211997307567492</v>
      </c>
      <c r="I71">
        <f t="shared" si="15"/>
        <v>0.2226266756414417</v>
      </c>
      <c r="J71">
        <f t="shared" si="15"/>
        <v>0.2226266756414417</v>
      </c>
      <c r="K71">
        <f t="shared" si="15"/>
        <v>0.2226266756414417</v>
      </c>
      <c r="M71">
        <f t="shared" si="10"/>
        <v>1.5022590106563736</v>
      </c>
      <c r="N71" s="112">
        <f t="shared" si="11"/>
        <v>-0.35477202980075284</v>
      </c>
      <c r="Q71">
        <f>SUM($N$33:N71)</f>
        <v>7.5112950532818621</v>
      </c>
      <c r="R71">
        <f t="shared" si="13"/>
        <v>2.0370437194214048</v>
      </c>
    </row>
    <row r="72" spans="2:18" x14ac:dyDescent="0.25">
      <c r="B72">
        <v>40</v>
      </c>
      <c r="C72">
        <f t="shared" si="12"/>
        <v>1</v>
      </c>
      <c r="D72">
        <v>0</v>
      </c>
      <c r="E72">
        <v>0</v>
      </c>
      <c r="F72">
        <v>0</v>
      </c>
      <c r="H72">
        <f t="shared" si="15"/>
        <v>0.28933575594016492</v>
      </c>
      <c r="I72">
        <f t="shared" si="15"/>
        <v>0.23688808135327838</v>
      </c>
      <c r="J72">
        <f t="shared" si="15"/>
        <v>0.23688808135327838</v>
      </c>
      <c r="K72">
        <f t="shared" si="15"/>
        <v>0.23688808135327838</v>
      </c>
      <c r="M72">
        <f t="shared" si="10"/>
        <v>1.4401674799598645</v>
      </c>
      <c r="N72" s="112">
        <f t="shared" si="11"/>
        <v>-0.31045765348254539</v>
      </c>
      <c r="Q72">
        <f>SUM($N$33:N72)</f>
        <v>7.2008373997993171</v>
      </c>
      <c r="R72">
        <f t="shared" si="13"/>
        <v>1.0370437194214048</v>
      </c>
    </row>
    <row r="73" spans="2:18" x14ac:dyDescent="0.25">
      <c r="B73">
        <v>41</v>
      </c>
      <c r="C73">
        <f t="shared" si="12"/>
        <v>0</v>
      </c>
      <c r="D73">
        <v>0</v>
      </c>
      <c r="E73">
        <v>0</v>
      </c>
      <c r="F73">
        <v>0</v>
      </c>
      <c r="H73">
        <f t="shared" si="15"/>
        <v>0.25</v>
      </c>
      <c r="I73">
        <f t="shared" si="15"/>
        <v>0.25</v>
      </c>
      <c r="J73">
        <f t="shared" si="15"/>
        <v>0.25</v>
      </c>
      <c r="K73">
        <f t="shared" si="15"/>
        <v>0.25</v>
      </c>
      <c r="M73">
        <f t="shared" si="10"/>
        <v>1.3862943611198906</v>
      </c>
      <c r="N73" s="112">
        <f t="shared" si="11"/>
        <v>-0.26936559419986961</v>
      </c>
      <c r="Q73">
        <f>SUM($N$33:N73)</f>
        <v>6.9314718055994478</v>
      </c>
      <c r="R73">
        <f t="shared" si="13"/>
        <v>3.704371942140483E-2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0" tint="-0.249977111117893"/>
  </sheetPr>
  <dimension ref="B2:N51"/>
  <sheetViews>
    <sheetView topLeftCell="A19" workbookViewId="0">
      <selection activeCell="D30" sqref="D30"/>
    </sheetView>
  </sheetViews>
  <sheetFormatPr defaultRowHeight="15" x14ac:dyDescent="0.25"/>
  <cols>
    <col min="2" max="2" width="14.42578125" customWidth="1"/>
    <col min="3" max="3" width="13.28515625" customWidth="1"/>
    <col min="4" max="4" width="13.85546875" customWidth="1"/>
    <col min="5" max="5" width="10.5703125" bestFit="1" customWidth="1"/>
    <col min="6" max="6" width="13.7109375" customWidth="1"/>
  </cols>
  <sheetData>
    <row r="2" spans="2:14" ht="23.25" x14ac:dyDescent="0.35">
      <c r="B2" s="766" t="s">
        <v>357</v>
      </c>
    </row>
    <row r="3" spans="2:14" ht="15.75" thickBot="1" x14ac:dyDescent="0.3">
      <c r="I3" s="7"/>
      <c r="J3" s="7"/>
      <c r="K3" s="7"/>
      <c r="L3" s="7"/>
      <c r="M3" s="7"/>
      <c r="N3" s="7"/>
    </row>
    <row r="4" spans="2:14" ht="35.25" customHeight="1" thickBot="1" x14ac:dyDescent="0.3">
      <c r="B4" s="741" t="s">
        <v>307</v>
      </c>
      <c r="C4" s="276"/>
      <c r="D4" s="742" t="s">
        <v>308</v>
      </c>
      <c r="F4" s="96" t="s">
        <v>309</v>
      </c>
      <c r="G4" s="97"/>
      <c r="I4" s="7"/>
      <c r="J4" s="7"/>
      <c r="K4" s="7"/>
      <c r="L4" s="7"/>
      <c r="M4" s="7"/>
      <c r="N4" s="7"/>
    </row>
    <row r="5" spans="2:14" ht="15.75" thickTop="1" x14ac:dyDescent="0.25">
      <c r="B5" s="182" t="s">
        <v>310</v>
      </c>
      <c r="C5" s="743">
        <v>8</v>
      </c>
      <c r="D5" s="183">
        <f>C5^1</f>
        <v>8</v>
      </c>
      <c r="F5" s="116" t="s">
        <v>311</v>
      </c>
      <c r="G5" s="744">
        <f>C5</f>
        <v>8</v>
      </c>
      <c r="I5" s="7"/>
      <c r="J5" s="7"/>
      <c r="K5" s="7"/>
      <c r="L5" s="7"/>
      <c r="M5" s="7"/>
      <c r="N5" s="7"/>
    </row>
    <row r="6" spans="2:14" x14ac:dyDescent="0.25">
      <c r="B6" s="182" t="s">
        <v>312</v>
      </c>
      <c r="C6" s="745">
        <v>90</v>
      </c>
      <c r="D6" s="183">
        <f>C5^2</f>
        <v>64</v>
      </c>
      <c r="F6" s="116" t="s">
        <v>313</v>
      </c>
      <c r="G6" s="744">
        <f>C6-(C5^2)</f>
        <v>26</v>
      </c>
      <c r="I6" s="7"/>
      <c r="J6" s="7"/>
      <c r="K6" s="7"/>
      <c r="L6" s="7"/>
      <c r="M6" s="7"/>
      <c r="N6" s="7"/>
    </row>
    <row r="7" spans="2:14" x14ac:dyDescent="0.25">
      <c r="B7" s="182" t="s">
        <v>314</v>
      </c>
      <c r="C7" s="745">
        <v>1040.3858530267407</v>
      </c>
      <c r="D7" s="183">
        <f>C5^3</f>
        <v>512</v>
      </c>
      <c r="F7" s="116" t="s">
        <v>315</v>
      </c>
      <c r="G7" s="744">
        <f>(C7-(3*C5*G6)-(C5^3))/(G6^(3/2))</f>
        <v>-0.72121065265114992</v>
      </c>
      <c r="I7" s="7"/>
      <c r="J7" s="7"/>
      <c r="K7" s="7"/>
      <c r="L7" s="7"/>
      <c r="M7" s="7"/>
      <c r="N7" s="7"/>
    </row>
    <row r="8" spans="2:14" ht="15.75" thickBot="1" x14ac:dyDescent="0.3">
      <c r="B8" s="182" t="s">
        <v>316</v>
      </c>
      <c r="C8" s="746">
        <v>3136.0049314625335</v>
      </c>
      <c r="D8" s="183">
        <f>C5^4</f>
        <v>4096</v>
      </c>
      <c r="F8" s="121" t="s">
        <v>317</v>
      </c>
      <c r="G8" s="747">
        <f>C8-(4*C5*C7)+(6*(C5^2)*C6)-(4*(C5^3)*C5)+(C5^4)</f>
        <v>-7884.3423653931713</v>
      </c>
      <c r="I8" s="7"/>
      <c r="J8" s="7"/>
      <c r="K8" s="7"/>
      <c r="L8" s="7"/>
      <c r="M8" s="7"/>
      <c r="N8" s="7"/>
    </row>
    <row r="9" spans="2:14" ht="15.75" thickBot="1" x14ac:dyDescent="0.3">
      <c r="B9" s="121"/>
      <c r="C9" s="168"/>
      <c r="D9" s="104"/>
      <c r="I9" s="7"/>
      <c r="J9" s="7"/>
      <c r="K9" s="7"/>
      <c r="L9" s="7"/>
      <c r="M9" s="7"/>
      <c r="N9" s="7"/>
    </row>
    <row r="10" spans="2:14" ht="15.75" thickBot="1" x14ac:dyDescent="0.3">
      <c r="I10" s="7"/>
      <c r="J10" s="7"/>
      <c r="K10" s="7"/>
      <c r="L10" s="7"/>
      <c r="M10" s="7"/>
      <c r="N10" s="7"/>
    </row>
    <row r="11" spans="2:14" ht="15.75" thickBot="1" x14ac:dyDescent="0.3">
      <c r="C11" s="96" t="s">
        <v>318</v>
      </c>
      <c r="D11" s="97"/>
    </row>
    <row r="12" spans="2:14" ht="15.75" thickBot="1" x14ac:dyDescent="0.3">
      <c r="C12" s="748" t="s">
        <v>319</v>
      </c>
      <c r="D12" s="749" t="s">
        <v>320</v>
      </c>
      <c r="E12" s="750" t="s">
        <v>321</v>
      </c>
      <c r="F12" s="751" t="s">
        <v>322</v>
      </c>
    </row>
    <row r="13" spans="2:14" ht="15.75" thickTop="1" x14ac:dyDescent="0.25">
      <c r="C13" s="116" t="s">
        <v>287</v>
      </c>
      <c r="D13" s="679">
        <f>G5</f>
        <v>8</v>
      </c>
      <c r="E13" s="680"/>
      <c r="F13" s="752" t="str">
        <f>"Goal: "&amp;G6</f>
        <v>Goal: 26</v>
      </c>
    </row>
    <row r="14" spans="2:14" x14ac:dyDescent="0.25">
      <c r="C14" s="116" t="s">
        <v>290</v>
      </c>
      <c r="D14" s="679">
        <f>SQRT(G6)</f>
        <v>5.0990195135927845</v>
      </c>
      <c r="E14" s="680"/>
      <c r="F14" s="752" t="str">
        <f>"Goal: "&amp;G5</f>
        <v>Goal: 8</v>
      </c>
      <c r="H14" t="s">
        <v>323</v>
      </c>
      <c r="I14" t="s">
        <v>191</v>
      </c>
    </row>
    <row r="15" spans="2:14" x14ac:dyDescent="0.25">
      <c r="C15" s="116" t="s">
        <v>324</v>
      </c>
      <c r="D15" s="679" t="s">
        <v>325</v>
      </c>
      <c r="E15" s="680"/>
      <c r="F15" s="752" t="s">
        <v>326</v>
      </c>
    </row>
    <row r="16" spans="2:14" x14ac:dyDescent="0.25">
      <c r="C16" s="116" t="s">
        <v>327</v>
      </c>
      <c r="D16" s="679" t="s">
        <v>328</v>
      </c>
      <c r="E16" s="680"/>
      <c r="F16" s="752" t="s">
        <v>329</v>
      </c>
    </row>
    <row r="17" spans="2:6" x14ac:dyDescent="0.25">
      <c r="C17" s="116" t="s">
        <v>4</v>
      </c>
      <c r="D17" s="679"/>
      <c r="E17" s="680">
        <v>0</v>
      </c>
      <c r="F17" s="752"/>
    </row>
    <row r="18" spans="2:6" x14ac:dyDescent="0.25">
      <c r="C18" s="116" t="s">
        <v>5</v>
      </c>
      <c r="D18" s="679"/>
      <c r="E18" s="680">
        <f>G5+3*SQRT(G6)</f>
        <v>23.297058540778352</v>
      </c>
      <c r="F18" s="752"/>
    </row>
    <row r="19" spans="2:6" x14ac:dyDescent="0.25">
      <c r="C19" s="116" t="s">
        <v>330</v>
      </c>
      <c r="D19" s="679"/>
      <c r="E19" s="680">
        <f>( (G5-E17)*(E18-G5)/G6 ) -1</f>
        <v>3.7067872433164162</v>
      </c>
      <c r="F19" s="752">
        <f>AVERAGE(1/G5,SQRT(1/G6))</f>
        <v>0.16055806756909202</v>
      </c>
    </row>
    <row r="20" spans="2:6" x14ac:dyDescent="0.25">
      <c r="C20" s="116" t="s">
        <v>331</v>
      </c>
      <c r="D20" s="679"/>
      <c r="E20" s="680">
        <f>E19*(G5-E17)/(E18-E17)</f>
        <v>1.2728773417736616</v>
      </c>
      <c r="F20" s="752"/>
    </row>
    <row r="21" spans="2:6" ht="15.75" thickBot="1" x14ac:dyDescent="0.3">
      <c r="C21" s="121" t="s">
        <v>321</v>
      </c>
      <c r="D21" s="753"/>
      <c r="E21" s="754">
        <f>E19*(E18-G5)/(E18-E17)</f>
        <v>2.4339099015427546</v>
      </c>
      <c r="F21" s="755"/>
    </row>
    <row r="23" spans="2:6" ht="15.75" thickBot="1" x14ac:dyDescent="0.3"/>
    <row r="24" spans="2:6" ht="15.75" thickBot="1" x14ac:dyDescent="0.3">
      <c r="C24" s="96" t="s">
        <v>332</v>
      </c>
      <c r="D24" s="97"/>
    </row>
    <row r="25" spans="2:6" x14ac:dyDescent="0.25">
      <c r="C25" s="9" t="s">
        <v>72</v>
      </c>
      <c r="D25" s="1262" t="s">
        <v>333</v>
      </c>
      <c r="E25" s="1263"/>
      <c r="F25" s="1264"/>
    </row>
    <row r="26" spans="2:6" ht="15.75" thickBot="1" x14ac:dyDescent="0.3">
      <c r="C26" s="131" t="s">
        <v>310</v>
      </c>
      <c r="D26" s="756" t="s">
        <v>320</v>
      </c>
      <c r="E26" s="13" t="s">
        <v>321</v>
      </c>
      <c r="F26" s="132" t="s">
        <v>322</v>
      </c>
    </row>
    <row r="27" spans="2:6" ht="15.75" thickTop="1" x14ac:dyDescent="0.25">
      <c r="B27">
        <f>-3</f>
        <v>-3</v>
      </c>
      <c r="C27" s="757">
        <f t="shared" ref="C27:C51" si="0">$G$5+(B27*SQRT($G$6))</f>
        <v>-7.2970585407783535</v>
      </c>
      <c r="D27" s="758">
        <f t="shared" ref="D27:D51" si="1">_xlfn.NORM.DIST(C27,$D$13,$D$14,FALSE)</f>
        <v>8.6915698206758052E-4</v>
      </c>
      <c r="E27" s="759">
        <f t="shared" ref="E27:E51" si="2">IF( C27 &lt; 0.001, 0, _xlfn.BETA.DIST(C27,$E$20,$E$21,FALSE,$E$17,$E$18))</f>
        <v>0</v>
      </c>
      <c r="F27" s="760">
        <f t="shared" ref="F27:F51" si="3">IF( C27 &lt; 0.001, 0, _xlfn.EXPON.DIST(C27,$F$19,FALSE) )</f>
        <v>0</v>
      </c>
    </row>
    <row r="28" spans="2:6" x14ac:dyDescent="0.25">
      <c r="B28">
        <f t="shared" ref="B28:B51" si="4">B27+0.25</f>
        <v>-2.75</v>
      </c>
      <c r="C28" s="757">
        <f t="shared" si="0"/>
        <v>-6.0223036623801569</v>
      </c>
      <c r="D28" s="758">
        <f t="shared" si="1"/>
        <v>1.7833943324495538E-3</v>
      </c>
      <c r="E28" s="759">
        <f t="shared" si="2"/>
        <v>0</v>
      </c>
      <c r="F28" s="760">
        <f t="shared" si="3"/>
        <v>0</v>
      </c>
    </row>
    <row r="29" spans="2:6" x14ac:dyDescent="0.25">
      <c r="B29">
        <f t="shared" si="4"/>
        <v>-2.5</v>
      </c>
      <c r="C29" s="757">
        <f t="shared" si="0"/>
        <v>-4.7475487839819621</v>
      </c>
      <c r="D29" s="758">
        <f t="shared" si="1"/>
        <v>3.4375825483393858E-3</v>
      </c>
      <c r="E29" s="759">
        <f t="shared" si="2"/>
        <v>0</v>
      </c>
      <c r="F29" s="760">
        <f t="shared" si="3"/>
        <v>0</v>
      </c>
    </row>
    <row r="30" spans="2:6" x14ac:dyDescent="0.25">
      <c r="B30">
        <f t="shared" si="4"/>
        <v>-2.25</v>
      </c>
      <c r="C30" s="757">
        <f t="shared" si="0"/>
        <v>-3.4727939055837656</v>
      </c>
      <c r="D30" s="758">
        <f t="shared" si="1"/>
        <v>6.2246578486426628E-3</v>
      </c>
      <c r="E30" s="759">
        <f t="shared" si="2"/>
        <v>0</v>
      </c>
      <c r="F30" s="760">
        <f t="shared" si="3"/>
        <v>0</v>
      </c>
    </row>
    <row r="31" spans="2:6" x14ac:dyDescent="0.25">
      <c r="B31">
        <f t="shared" si="4"/>
        <v>-2</v>
      </c>
      <c r="C31" s="757">
        <f t="shared" si="0"/>
        <v>-2.198039027185569</v>
      </c>
      <c r="D31" s="758">
        <f t="shared" si="1"/>
        <v>1.058849968494156E-2</v>
      </c>
      <c r="E31" s="759">
        <f t="shared" si="2"/>
        <v>0</v>
      </c>
      <c r="F31" s="760">
        <f t="shared" si="3"/>
        <v>0</v>
      </c>
    </row>
    <row r="32" spans="2:6" x14ac:dyDescent="0.25">
      <c r="B32">
        <f t="shared" si="4"/>
        <v>-1.75</v>
      </c>
      <c r="C32" s="757">
        <f t="shared" si="0"/>
        <v>-0.92328414878737242</v>
      </c>
      <c r="D32" s="758">
        <f t="shared" si="1"/>
        <v>1.6920374318340325E-2</v>
      </c>
      <c r="E32" s="759">
        <f t="shared" si="2"/>
        <v>0</v>
      </c>
      <c r="F32" s="760">
        <f t="shared" si="3"/>
        <v>0</v>
      </c>
    </row>
    <row r="33" spans="2:6" x14ac:dyDescent="0.25">
      <c r="B33">
        <f t="shared" si="4"/>
        <v>-1.5</v>
      </c>
      <c r="C33" s="757">
        <f t="shared" si="0"/>
        <v>0.35147072961082326</v>
      </c>
      <c r="D33" s="758">
        <f t="shared" si="1"/>
        <v>2.5400490294384705E-2</v>
      </c>
      <c r="E33" s="759">
        <f t="shared" si="2"/>
        <v>4.9061143884288699E-2</v>
      </c>
      <c r="F33" s="760">
        <f t="shared" si="3"/>
        <v>0.15174844878209037</v>
      </c>
    </row>
    <row r="34" spans="2:6" x14ac:dyDescent="0.25">
      <c r="B34">
        <f t="shared" si="4"/>
        <v>-1.25</v>
      </c>
      <c r="C34" s="757">
        <f t="shared" si="0"/>
        <v>1.6262256080090189</v>
      </c>
      <c r="D34" s="758">
        <f t="shared" si="1"/>
        <v>3.5820432713019143E-2</v>
      </c>
      <c r="E34" s="759">
        <f t="shared" si="2"/>
        <v>6.8657170213610924E-2</v>
      </c>
      <c r="F34" s="760">
        <f t="shared" si="3"/>
        <v>0.12366199881475126</v>
      </c>
    </row>
    <row r="35" spans="2:6" x14ac:dyDescent="0.25">
      <c r="B35">
        <f t="shared" si="4"/>
        <v>-1</v>
      </c>
      <c r="C35" s="757">
        <f t="shared" si="0"/>
        <v>2.9009804864072155</v>
      </c>
      <c r="D35" s="758">
        <f t="shared" si="1"/>
        <v>4.7454363309280621E-2</v>
      </c>
      <c r="E35" s="759">
        <f t="shared" si="2"/>
        <v>7.3709610614823118E-2</v>
      </c>
      <c r="F35" s="760">
        <f t="shared" si="3"/>
        <v>0.10077394578720968</v>
      </c>
    </row>
    <row r="36" spans="2:6" x14ac:dyDescent="0.25">
      <c r="B36">
        <f t="shared" si="4"/>
        <v>-0.75</v>
      </c>
      <c r="C36" s="757">
        <f t="shared" si="0"/>
        <v>4.1757353648054121</v>
      </c>
      <c r="D36" s="758">
        <f t="shared" si="1"/>
        <v>5.9057909339637359E-2</v>
      </c>
      <c r="E36" s="759">
        <f t="shared" si="2"/>
        <v>7.4216320197830199E-2</v>
      </c>
      <c r="F36" s="760">
        <f t="shared" si="3"/>
        <v>8.2122141376159516E-2</v>
      </c>
    </row>
    <row r="37" spans="2:6" x14ac:dyDescent="0.25">
      <c r="B37">
        <f t="shared" si="4"/>
        <v>-0.5</v>
      </c>
      <c r="C37" s="757">
        <f t="shared" si="0"/>
        <v>5.4504902432036078</v>
      </c>
      <c r="D37" s="758">
        <f t="shared" si="1"/>
        <v>6.904569120117629E-2</v>
      </c>
      <c r="E37" s="759">
        <f t="shared" si="2"/>
        <v>7.229486852368415E-2</v>
      </c>
      <c r="F37" s="760">
        <f t="shared" si="3"/>
        <v>6.6922517040727922E-2</v>
      </c>
    </row>
    <row r="38" spans="2:6" x14ac:dyDescent="0.25">
      <c r="B38">
        <f t="shared" si="4"/>
        <v>-0.25</v>
      </c>
      <c r="C38" s="757">
        <f t="shared" si="0"/>
        <v>6.7252451216018034</v>
      </c>
      <c r="D38" s="758">
        <f t="shared" si="1"/>
        <v>7.5831856648534715E-2</v>
      </c>
      <c r="E38" s="759">
        <f t="shared" si="2"/>
        <v>6.8843627702764296E-2</v>
      </c>
      <c r="F38" s="760">
        <f t="shared" si="3"/>
        <v>5.4536124022293062E-2</v>
      </c>
    </row>
    <row r="39" spans="2:6" x14ac:dyDescent="0.25">
      <c r="B39">
        <f t="shared" si="4"/>
        <v>0</v>
      </c>
      <c r="C39" s="757">
        <f t="shared" si="0"/>
        <v>8</v>
      </c>
      <c r="D39" s="758">
        <f t="shared" si="1"/>
        <v>7.8239018175542685E-2</v>
      </c>
      <c r="E39" s="759">
        <f t="shared" si="2"/>
        <v>6.4355848844021221E-2</v>
      </c>
      <c r="F39" s="760">
        <f t="shared" si="3"/>
        <v>4.4442273765119868E-2</v>
      </c>
    </row>
    <row r="40" spans="2:6" x14ac:dyDescent="0.25">
      <c r="B40">
        <f t="shared" si="4"/>
        <v>0.25</v>
      </c>
      <c r="C40" s="757">
        <f t="shared" si="0"/>
        <v>9.2747548783981966</v>
      </c>
      <c r="D40" s="758">
        <f t="shared" si="1"/>
        <v>7.5831856648534715E-2</v>
      </c>
      <c r="E40" s="759">
        <f t="shared" si="2"/>
        <v>5.9145915020795303E-2</v>
      </c>
      <c r="F40" s="760">
        <f t="shared" si="3"/>
        <v>3.6216649657875966E-2</v>
      </c>
    </row>
    <row r="41" spans="2:6" x14ac:dyDescent="0.25">
      <c r="B41">
        <f t="shared" si="4"/>
        <v>0.5</v>
      </c>
      <c r="C41" s="757">
        <f t="shared" si="0"/>
        <v>10.549509756796393</v>
      </c>
      <c r="D41" s="758">
        <f t="shared" si="1"/>
        <v>6.9045691201176276E-2</v>
      </c>
      <c r="E41" s="759">
        <f t="shared" si="2"/>
        <v>5.3435928402381032E-2</v>
      </c>
      <c r="F41" s="760">
        <f t="shared" si="3"/>
        <v>2.9513469976209038E-2</v>
      </c>
    </row>
    <row r="42" spans="2:6" x14ac:dyDescent="0.25">
      <c r="B42">
        <f t="shared" si="4"/>
        <v>0.75</v>
      </c>
      <c r="C42" s="757">
        <f t="shared" si="0"/>
        <v>11.824264635194588</v>
      </c>
      <c r="D42" s="758">
        <f t="shared" si="1"/>
        <v>5.9057909339637359E-2</v>
      </c>
      <c r="E42" s="759">
        <f t="shared" si="2"/>
        <v>4.7395825553637964E-2</v>
      </c>
      <c r="F42" s="760">
        <f t="shared" si="3"/>
        <v>2.4050952207479187E-2</v>
      </c>
    </row>
    <row r="43" spans="2:6" x14ac:dyDescent="0.25">
      <c r="B43">
        <f t="shared" si="4"/>
        <v>1</v>
      </c>
      <c r="C43" s="757">
        <f t="shared" si="0"/>
        <v>13.099019513592784</v>
      </c>
      <c r="D43" s="758">
        <f t="shared" si="1"/>
        <v>4.7454363309280621E-2</v>
      </c>
      <c r="E43" s="759">
        <f t="shared" si="2"/>
        <v>4.116474020631463E-2</v>
      </c>
      <c r="F43" s="760">
        <f t="shared" si="3"/>
        <v>1.9599467719408729E-2</v>
      </c>
    </row>
    <row r="44" spans="2:6" x14ac:dyDescent="0.25">
      <c r="B44">
        <f t="shared" si="4"/>
        <v>1.25</v>
      </c>
      <c r="C44" s="757">
        <f t="shared" si="0"/>
        <v>14.373774391990981</v>
      </c>
      <c r="D44" s="758">
        <f t="shared" si="1"/>
        <v>3.5820432713019143E-2</v>
      </c>
      <c r="E44" s="759">
        <f t="shared" si="2"/>
        <v>3.4863890619943209E-2</v>
      </c>
      <c r="F44" s="760">
        <f t="shared" si="3"/>
        <v>1.5971888828779434E-2</v>
      </c>
    </row>
    <row r="45" spans="2:6" x14ac:dyDescent="0.25">
      <c r="B45">
        <f t="shared" si="4"/>
        <v>1.5</v>
      </c>
      <c r="C45" s="757">
        <f t="shared" si="0"/>
        <v>15.648529270389176</v>
      </c>
      <c r="D45" s="758">
        <f t="shared" si="1"/>
        <v>2.5400490294384712E-2</v>
      </c>
      <c r="E45" s="759">
        <f t="shared" si="2"/>
        <v>2.8605536487675005E-2</v>
      </c>
      <c r="F45" s="760">
        <f t="shared" si="3"/>
        <v>1.3015722488538337E-2</v>
      </c>
    </row>
    <row r="46" spans="2:6" x14ac:dyDescent="0.25">
      <c r="B46">
        <f t="shared" si="4"/>
        <v>1.75</v>
      </c>
      <c r="C46" s="757">
        <f t="shared" si="0"/>
        <v>16.923284148787374</v>
      </c>
      <c r="D46" s="758">
        <f t="shared" si="1"/>
        <v>1.6920374318340318E-2</v>
      </c>
      <c r="E46" s="759">
        <f t="shared" si="2"/>
        <v>2.2500501010848325E-2</v>
      </c>
      <c r="F46" s="760">
        <f t="shared" si="3"/>
        <v>1.0606699916004153E-2</v>
      </c>
    </row>
    <row r="47" spans="2:6" x14ac:dyDescent="0.25">
      <c r="B47">
        <f t="shared" si="4"/>
        <v>2</v>
      </c>
      <c r="C47" s="757">
        <f t="shared" si="0"/>
        <v>18.198039027185569</v>
      </c>
      <c r="D47" s="758">
        <f t="shared" si="1"/>
        <v>1.058849968494156E-2</v>
      </c>
      <c r="E47" s="759">
        <f t="shared" si="2"/>
        <v>1.666627324349855E-2</v>
      </c>
      <c r="F47" s="760">
        <f t="shared" si="3"/>
        <v>8.6435526884682777E-3</v>
      </c>
    </row>
    <row r="48" spans="2:6" x14ac:dyDescent="0.25">
      <c r="B48">
        <f t="shared" si="4"/>
        <v>2.25</v>
      </c>
      <c r="C48" s="757">
        <f t="shared" si="0"/>
        <v>19.472793905583764</v>
      </c>
      <c r="D48" s="758">
        <f t="shared" si="1"/>
        <v>6.2246578486426681E-3</v>
      </c>
      <c r="E48" s="759">
        <f t="shared" si="2"/>
        <v>1.1238573832862787E-2</v>
      </c>
      <c r="F48" s="760">
        <f t="shared" si="3"/>
        <v>7.0437557081819407E-3</v>
      </c>
    </row>
    <row r="49" spans="2:6" x14ac:dyDescent="0.25">
      <c r="B49">
        <f t="shared" si="4"/>
        <v>2.5</v>
      </c>
      <c r="C49" s="757">
        <f t="shared" si="0"/>
        <v>20.747548783981962</v>
      </c>
      <c r="D49" s="758">
        <f t="shared" si="1"/>
        <v>3.4375825483393858E-3</v>
      </c>
      <c r="E49" s="759">
        <f t="shared" si="2"/>
        <v>6.3933258999749228E-3</v>
      </c>
      <c r="F49" s="760">
        <f t="shared" si="3"/>
        <v>5.7400580831465774E-3</v>
      </c>
    </row>
    <row r="50" spans="2:6" x14ac:dyDescent="0.25">
      <c r="B50">
        <f t="shared" si="4"/>
        <v>2.75</v>
      </c>
      <c r="C50" s="757">
        <f t="shared" si="0"/>
        <v>22.022303662380157</v>
      </c>
      <c r="D50" s="758">
        <f t="shared" si="1"/>
        <v>1.7833943324495538E-3</v>
      </c>
      <c r="E50" s="759">
        <f t="shared" si="2"/>
        <v>2.405156665219062E-3</v>
      </c>
      <c r="F50" s="760">
        <f t="shared" si="3"/>
        <v>4.677656091852259E-3</v>
      </c>
    </row>
    <row r="51" spans="2:6" ht="15.75" thickBot="1" x14ac:dyDescent="0.3">
      <c r="B51">
        <f t="shared" si="4"/>
        <v>3</v>
      </c>
      <c r="C51" s="761">
        <f t="shared" si="0"/>
        <v>23.297058540778352</v>
      </c>
      <c r="D51" s="762">
        <f t="shared" si="1"/>
        <v>8.6915698206758226E-4</v>
      </c>
      <c r="E51" s="763">
        <f t="shared" si="2"/>
        <v>0</v>
      </c>
      <c r="F51" s="764">
        <f t="shared" si="3"/>
        <v>3.8118893914829751E-3</v>
      </c>
    </row>
  </sheetData>
  <mergeCells count="1">
    <mergeCell ref="D25:F25"/>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0.249977111117893"/>
  </sheetPr>
  <dimension ref="B1:U22"/>
  <sheetViews>
    <sheetView zoomScale="70" zoomScaleNormal="70" workbookViewId="0">
      <selection activeCell="B58" sqref="B58"/>
    </sheetView>
  </sheetViews>
  <sheetFormatPr defaultRowHeight="15" x14ac:dyDescent="0.25"/>
  <cols>
    <col min="2" max="2" width="9.28515625" customWidth="1"/>
    <col min="3" max="5" width="14.85546875" bestFit="1" customWidth="1"/>
    <col min="6" max="6" width="10.7109375" customWidth="1"/>
    <col min="7" max="7" width="11.5703125" customWidth="1"/>
    <col min="8" max="8" width="10.140625" bestFit="1" customWidth="1"/>
    <col min="9" max="9" width="9.5703125" bestFit="1" customWidth="1"/>
    <col min="10" max="10" width="12.5703125" bestFit="1" customWidth="1"/>
    <col min="12" max="14" width="14.85546875" bestFit="1" customWidth="1"/>
    <col min="15" max="15" width="21" bestFit="1" customWidth="1"/>
    <col min="16" max="18" width="8.140625" bestFit="1" customWidth="1"/>
    <col min="19" max="19" width="7.42578125" bestFit="1" customWidth="1"/>
    <col min="20" max="21" width="6.28515625" bestFit="1" customWidth="1"/>
  </cols>
  <sheetData>
    <row r="1" spans="2:21" s="7" customFormat="1" x14ac:dyDescent="0.25"/>
    <row r="2" spans="2:21" s="7" customFormat="1" x14ac:dyDescent="0.25">
      <c r="B2" t="s">
        <v>59</v>
      </c>
      <c r="C2"/>
      <c r="D2"/>
      <c r="E2"/>
      <c r="F2"/>
      <c r="G2"/>
      <c r="H2"/>
      <c r="I2"/>
      <c r="J2"/>
      <c r="K2"/>
      <c r="L2"/>
      <c r="M2"/>
      <c r="N2"/>
      <c r="O2"/>
      <c r="P2"/>
      <c r="Q2"/>
      <c r="R2"/>
      <c r="S2"/>
      <c r="T2"/>
      <c r="U2"/>
    </row>
    <row r="3" spans="2:21" s="7" customFormat="1" ht="15.75" thickBot="1" x14ac:dyDescent="0.3">
      <c r="B3"/>
      <c r="C3"/>
      <c r="D3"/>
      <c r="E3"/>
      <c r="F3"/>
      <c r="G3"/>
      <c r="H3"/>
      <c r="I3"/>
      <c r="J3"/>
      <c r="K3"/>
      <c r="L3"/>
      <c r="M3"/>
      <c r="N3"/>
      <c r="O3"/>
      <c r="P3"/>
      <c r="Q3"/>
      <c r="R3"/>
      <c r="S3"/>
      <c r="T3"/>
      <c r="U3"/>
    </row>
    <row r="4" spans="2:21" s="7" customFormat="1" ht="15.75" thickBot="1" x14ac:dyDescent="0.3">
      <c r="B4" t="s">
        <v>18</v>
      </c>
      <c r="C4"/>
      <c r="D4"/>
      <c r="E4"/>
      <c r="F4" s="1265" t="s">
        <v>60</v>
      </c>
      <c r="G4" s="1266"/>
      <c r="H4"/>
      <c r="I4"/>
      <c r="J4"/>
      <c r="K4"/>
      <c r="L4"/>
      <c r="M4"/>
      <c r="N4"/>
      <c r="O4"/>
      <c r="P4"/>
      <c r="Q4"/>
      <c r="R4"/>
      <c r="S4"/>
      <c r="T4"/>
      <c r="U4"/>
    </row>
    <row r="5" spans="2:21" s="7" customFormat="1" x14ac:dyDescent="0.25">
      <c r="B5"/>
      <c r="C5" t="s">
        <v>26</v>
      </c>
      <c r="D5"/>
      <c r="E5"/>
      <c r="F5" s="116"/>
      <c r="G5" s="102" t="s">
        <v>28</v>
      </c>
      <c r="H5" s="126" t="s">
        <v>32</v>
      </c>
      <c r="I5" s="6" t="s">
        <v>33</v>
      </c>
      <c r="J5" s="6" t="s">
        <v>31</v>
      </c>
      <c r="K5" s="6" t="s">
        <v>30</v>
      </c>
      <c r="L5"/>
      <c r="M5"/>
      <c r="N5"/>
      <c r="O5"/>
      <c r="P5"/>
      <c r="Q5"/>
      <c r="R5" t="s">
        <v>27</v>
      </c>
      <c r="S5"/>
      <c r="T5"/>
      <c r="U5"/>
    </row>
    <row r="6" spans="2:21" s="7" customFormat="1" ht="15.75" thickBot="1" x14ac:dyDescent="0.3">
      <c r="B6" s="13"/>
      <c r="C6" s="13" t="s">
        <v>19</v>
      </c>
      <c r="D6" s="13" t="s">
        <v>20</v>
      </c>
      <c r="E6" s="13" t="s">
        <v>25</v>
      </c>
      <c r="F6" s="131"/>
      <c r="G6" s="132"/>
      <c r="H6" s="133"/>
      <c r="I6" s="12"/>
      <c r="J6" s="12"/>
      <c r="K6" s="12"/>
      <c r="L6" s="13" t="s">
        <v>19</v>
      </c>
      <c r="M6" s="13" t="s">
        <v>20</v>
      </c>
      <c r="N6" s="12" t="s">
        <v>25</v>
      </c>
      <c r="O6" s="13" t="s">
        <v>29</v>
      </c>
      <c r="P6" s="13"/>
      <c r="Q6" s="13"/>
      <c r="R6" s="13"/>
      <c r="S6" s="13"/>
      <c r="T6"/>
      <c r="U6"/>
    </row>
    <row r="7" spans="2:21" s="7" customFormat="1" ht="15.75" thickTop="1" x14ac:dyDescent="0.25">
      <c r="B7" s="21" t="s">
        <v>4</v>
      </c>
      <c r="C7" s="23">
        <v>0.3</v>
      </c>
      <c r="D7">
        <f>SUM(D10:D11)</f>
        <v>0.30000000000000004</v>
      </c>
      <c r="E7">
        <f>SUM(E10:E11)</f>
        <v>0.30000000000000004</v>
      </c>
      <c r="F7" s="120" t="str">
        <f t="shared" ref="F7:F16" si="0">B7</f>
        <v>a</v>
      </c>
      <c r="G7" s="127">
        <v>0</v>
      </c>
      <c r="H7" s="126">
        <f t="shared" ref="H7:H16" si="1">IF(G7=0,0,1)</f>
        <v>0</v>
      </c>
      <c r="I7" s="6">
        <f>1-SUMPRODUCT($H$7:$H$9,$C$7:$C$9)</f>
        <v>0.30000000000000004</v>
      </c>
      <c r="J7" s="6">
        <f>IF(SUM($G$7:$G$9)=0,0,SUM($G$7:$G$9))</f>
        <v>0.2</v>
      </c>
      <c r="K7" s="124">
        <f t="shared" ref="K7:K16" si="2">IF(G7&lt;&gt;0,G7,(G7-J7)*(C7/I7))</f>
        <v>-0.19999999999999996</v>
      </c>
      <c r="L7" s="124">
        <f>C7+K7</f>
        <v>0.10000000000000003</v>
      </c>
      <c r="M7" s="7">
        <f>SUM(M10:M11)</f>
        <v>0.30000000000000004</v>
      </c>
      <c r="N7" s="7">
        <f>SUM(N10:N11)</f>
        <v>0.30000000000000004</v>
      </c>
      <c r="O7" s="27">
        <f>L7-$C7</f>
        <v>-0.19999999999999996</v>
      </c>
      <c r="P7" s="27">
        <f>M7-$C7</f>
        <v>0</v>
      </c>
      <c r="Q7" s="27">
        <f>N7-$C7</f>
        <v>0</v>
      </c>
      <c r="R7" s="4">
        <f t="shared" ref="R7:R16" si="3">C7+SUM(O7:Q7)</f>
        <v>0.10000000000000003</v>
      </c>
      <c r="S7" s="26" t="str">
        <f t="shared" ref="S7:S16" si="4">B7</f>
        <v>a</v>
      </c>
      <c r="T7"/>
      <c r="U7"/>
    </row>
    <row r="8" spans="2:21" s="7" customFormat="1" x14ac:dyDescent="0.25">
      <c r="B8" s="21" t="s">
        <v>14</v>
      </c>
      <c r="C8" s="23">
        <v>0.7</v>
      </c>
      <c r="D8">
        <f>D10/(D10+D11)</f>
        <v>0.69999999999999984</v>
      </c>
      <c r="E8">
        <f>E10/(E10+E11)</f>
        <v>0.69999999999999984</v>
      </c>
      <c r="F8" s="120" t="str">
        <f t="shared" si="0"/>
        <v>b|a</v>
      </c>
      <c r="G8" s="127">
        <v>0.2</v>
      </c>
      <c r="H8" s="126">
        <f t="shared" si="1"/>
        <v>1</v>
      </c>
      <c r="I8" s="6">
        <f>1-SUMPRODUCT($H$7:$H$9,$C$7:$C$9)</f>
        <v>0.30000000000000004</v>
      </c>
      <c r="J8" s="6">
        <f>IF(SUM($G$7:$G$9)=0,0,SUM($G$7:$G$9))</f>
        <v>0.2</v>
      </c>
      <c r="K8" s="124">
        <f t="shared" si="2"/>
        <v>0.2</v>
      </c>
      <c r="L8" s="6">
        <f>C8+K8</f>
        <v>0.89999999999999991</v>
      </c>
      <c r="M8" s="7">
        <f>M10/(M10+M11)</f>
        <v>0.69999999999999984</v>
      </c>
      <c r="N8" s="7">
        <f>N10/(N10+N11)</f>
        <v>0.69999999999999984</v>
      </c>
      <c r="O8" s="27">
        <f t="shared" ref="O8:O16" si="5">L8-C8</f>
        <v>0.19999999999999996</v>
      </c>
      <c r="P8" s="27">
        <f t="shared" ref="P8:P16" si="6">M8-D8</f>
        <v>0</v>
      </c>
      <c r="Q8" s="27">
        <f t="shared" ref="Q8:Q16" si="7">N8-E8</f>
        <v>0</v>
      </c>
      <c r="R8" s="4">
        <f t="shared" si="3"/>
        <v>0.89999999999999991</v>
      </c>
      <c r="S8" s="26" t="str">
        <f t="shared" si="4"/>
        <v>b|a</v>
      </c>
      <c r="T8"/>
      <c r="U8"/>
    </row>
    <row r="9" spans="2:21" s="7" customFormat="1" x14ac:dyDescent="0.25">
      <c r="B9" s="21" t="s">
        <v>16</v>
      </c>
      <c r="C9" s="24">
        <v>0.3</v>
      </c>
      <c r="D9">
        <f>D12/(D12+D13)</f>
        <v>0.29999999999999993</v>
      </c>
      <c r="E9">
        <f>E12/(E12+E13)</f>
        <v>0.29999999999999993</v>
      </c>
      <c r="F9" s="120" t="str">
        <f t="shared" si="0"/>
        <v>b|~a</v>
      </c>
      <c r="G9" s="127">
        <v>0</v>
      </c>
      <c r="H9" s="126">
        <f t="shared" si="1"/>
        <v>0</v>
      </c>
      <c r="I9" s="6">
        <f>1-SUMPRODUCT($H$7:$H$9,$C$7:$C$9)</f>
        <v>0.30000000000000004</v>
      </c>
      <c r="J9" s="6">
        <f>IF(SUM($G$7:$G$9)=0,0,SUM($G$7:$G$9))</f>
        <v>0.2</v>
      </c>
      <c r="K9" s="124">
        <f t="shared" si="2"/>
        <v>-0.19999999999999996</v>
      </c>
      <c r="L9" s="3">
        <f>C9+K9</f>
        <v>0.10000000000000003</v>
      </c>
      <c r="M9" s="7">
        <f>M12/(M12+M13)</f>
        <v>0.29999999999999993</v>
      </c>
      <c r="N9" s="7">
        <f>N12/(N12+N13)</f>
        <v>0.29999999999999993</v>
      </c>
      <c r="O9" s="27">
        <f t="shared" si="5"/>
        <v>-0.19999999999999996</v>
      </c>
      <c r="P9" s="27">
        <f t="shared" si="6"/>
        <v>0</v>
      </c>
      <c r="Q9" s="27">
        <f t="shared" si="7"/>
        <v>0</v>
      </c>
      <c r="R9" s="4">
        <f t="shared" si="3"/>
        <v>0.10000000000000003</v>
      </c>
      <c r="S9" s="26" t="str">
        <f t="shared" si="4"/>
        <v>b|~a</v>
      </c>
      <c r="T9"/>
      <c r="U9"/>
    </row>
    <row r="10" spans="2:21" s="7" customFormat="1" x14ac:dyDescent="0.25">
      <c r="B10" s="21" t="s">
        <v>21</v>
      </c>
      <c r="C10" s="7">
        <f>C7*C8</f>
        <v>0.21</v>
      </c>
      <c r="D10">
        <f>D14*D15</f>
        <v>0.21</v>
      </c>
      <c r="E10" s="1">
        <f>D10</f>
        <v>0.21</v>
      </c>
      <c r="F10" s="120" t="str">
        <f t="shared" si="0"/>
        <v>a &amp; b</v>
      </c>
      <c r="G10" s="127">
        <v>0</v>
      </c>
      <c r="H10" s="126">
        <f t="shared" si="1"/>
        <v>0</v>
      </c>
      <c r="I10" s="6">
        <f>1-SUMPRODUCT($H$10:$H$13,$C$10:$C$13)</f>
        <v>1</v>
      </c>
      <c r="J10" s="6">
        <f>IF(SUM($G$10:$G$13)=0,0,SUM($G$10:$G$13))</f>
        <v>0</v>
      </c>
      <c r="K10" s="6">
        <f t="shared" si="2"/>
        <v>0</v>
      </c>
      <c r="L10" s="7">
        <f>L7*L8</f>
        <v>9.0000000000000024E-2</v>
      </c>
      <c r="M10" s="7">
        <f>M14*M15</f>
        <v>0.21</v>
      </c>
      <c r="N10" s="1">
        <f>E10+K10</f>
        <v>0.21</v>
      </c>
      <c r="O10" s="27">
        <f t="shared" si="5"/>
        <v>-0.11999999999999997</v>
      </c>
      <c r="P10" s="27">
        <f t="shared" si="6"/>
        <v>0</v>
      </c>
      <c r="Q10" s="27">
        <f t="shared" si="7"/>
        <v>0</v>
      </c>
      <c r="R10" s="123">
        <f t="shared" si="3"/>
        <v>9.0000000000000024E-2</v>
      </c>
      <c r="S10" s="26" t="str">
        <f t="shared" si="4"/>
        <v>a &amp; b</v>
      </c>
      <c r="T10"/>
      <c r="U10"/>
    </row>
    <row r="11" spans="2:21" s="7" customFormat="1" x14ac:dyDescent="0.25">
      <c r="B11" s="21" t="s">
        <v>22</v>
      </c>
      <c r="C11" s="7">
        <f>C7*(1-C8)</f>
        <v>9.0000000000000011E-2</v>
      </c>
      <c r="D11">
        <f>(1-D14)*D16</f>
        <v>9.0000000000000024E-2</v>
      </c>
      <c r="E11" s="5">
        <f>D11</f>
        <v>9.0000000000000024E-2</v>
      </c>
      <c r="F11" s="120" t="str">
        <f t="shared" si="0"/>
        <v>a &amp; ~b</v>
      </c>
      <c r="G11" s="127">
        <v>0</v>
      </c>
      <c r="H11" s="126">
        <f t="shared" si="1"/>
        <v>0</v>
      </c>
      <c r="I11" s="6">
        <f>1-SUMPRODUCT($H$10:$H$13,$C$10:$C$13)</f>
        <v>1</v>
      </c>
      <c r="J11" s="6">
        <f>IF(SUM($G$10:$G$13)=0,0,SUM($G$10:$G$13))</f>
        <v>0</v>
      </c>
      <c r="K11" s="6">
        <f t="shared" si="2"/>
        <v>0</v>
      </c>
      <c r="L11" s="7">
        <f>L7*(1-L8)</f>
        <v>1.0000000000000012E-2</v>
      </c>
      <c r="M11" s="7">
        <f>(1-M14)*M16</f>
        <v>9.0000000000000024E-2</v>
      </c>
      <c r="N11" s="5">
        <f>E11+K11</f>
        <v>9.0000000000000024E-2</v>
      </c>
      <c r="O11" s="27">
        <f t="shared" si="5"/>
        <v>-0.08</v>
      </c>
      <c r="P11" s="27">
        <f t="shared" si="6"/>
        <v>0</v>
      </c>
      <c r="Q11" s="27">
        <f t="shared" si="7"/>
        <v>0</v>
      </c>
      <c r="R11" s="124">
        <f t="shared" si="3"/>
        <v>1.0000000000000009E-2</v>
      </c>
      <c r="S11" s="26" t="str">
        <f t="shared" si="4"/>
        <v>a &amp; ~b</v>
      </c>
      <c r="T11"/>
      <c r="U11"/>
    </row>
    <row r="12" spans="2:21" s="7" customFormat="1" x14ac:dyDescent="0.25">
      <c r="B12" s="21" t="s">
        <v>23</v>
      </c>
      <c r="C12" s="7">
        <f>(1-C7)*C9</f>
        <v>0.21</v>
      </c>
      <c r="D12">
        <f>D14*(1-D15)</f>
        <v>0.21</v>
      </c>
      <c r="E12" s="5">
        <f>D12</f>
        <v>0.21</v>
      </c>
      <c r="F12" s="120" t="str">
        <f t="shared" si="0"/>
        <v>~a &amp; b</v>
      </c>
      <c r="G12" s="127">
        <v>0</v>
      </c>
      <c r="H12" s="126">
        <f t="shared" si="1"/>
        <v>0</v>
      </c>
      <c r="I12" s="6">
        <f>1-SUMPRODUCT($H$10:$H$13,$C$10:$C$13)</f>
        <v>1</v>
      </c>
      <c r="J12" s="6">
        <f>IF(SUM($G$10:$G$13)=0,0,SUM($G$10:$G$13))</f>
        <v>0</v>
      </c>
      <c r="K12" s="6">
        <f t="shared" si="2"/>
        <v>0</v>
      </c>
      <c r="L12" s="7">
        <f>(1-L7)*L9</f>
        <v>9.0000000000000024E-2</v>
      </c>
      <c r="M12" s="7">
        <f>M14*(1-M15)</f>
        <v>0.21</v>
      </c>
      <c r="N12" s="5">
        <f>E12+K12</f>
        <v>0.21</v>
      </c>
      <c r="O12" s="27">
        <f t="shared" si="5"/>
        <v>-0.11999999999999997</v>
      </c>
      <c r="P12" s="27">
        <f t="shared" si="6"/>
        <v>0</v>
      </c>
      <c r="Q12" s="27">
        <f t="shared" si="7"/>
        <v>0</v>
      </c>
      <c r="R12" s="124">
        <f t="shared" si="3"/>
        <v>9.0000000000000024E-2</v>
      </c>
      <c r="S12" s="26" t="str">
        <f t="shared" si="4"/>
        <v>~a &amp; b</v>
      </c>
      <c r="T12"/>
      <c r="U12"/>
    </row>
    <row r="13" spans="2:21" s="7" customFormat="1" x14ac:dyDescent="0.25">
      <c r="B13" s="21" t="s">
        <v>24</v>
      </c>
      <c r="C13" s="7">
        <f>(1-C7)*(1-C9)</f>
        <v>0.48999999999999994</v>
      </c>
      <c r="D13">
        <f>(1-D14)*(1-D16)</f>
        <v>0.49000000000000005</v>
      </c>
      <c r="E13" s="2">
        <f>D13</f>
        <v>0.49000000000000005</v>
      </c>
      <c r="F13" s="120" t="str">
        <f t="shared" si="0"/>
        <v>~a &amp; ~b</v>
      </c>
      <c r="G13" s="127">
        <v>0</v>
      </c>
      <c r="H13" s="126">
        <f t="shared" si="1"/>
        <v>0</v>
      </c>
      <c r="I13" s="6">
        <f>1-SUMPRODUCT($H$10:$H$13,$C$10:$C$13)</f>
        <v>1</v>
      </c>
      <c r="J13" s="6">
        <f>IF(SUM($G$10:$G$13)=0,0,SUM($G$10:$G$13))</f>
        <v>0</v>
      </c>
      <c r="K13" s="6">
        <f t="shared" si="2"/>
        <v>0</v>
      </c>
      <c r="L13" s="7">
        <f>(1-L7)*(1-L9)</f>
        <v>0.80999999999999983</v>
      </c>
      <c r="M13" s="7">
        <f>(1-M14)*(1-M16)</f>
        <v>0.49000000000000005</v>
      </c>
      <c r="N13" s="2">
        <f>E13+K13</f>
        <v>0.49000000000000005</v>
      </c>
      <c r="O13" s="27">
        <f t="shared" si="5"/>
        <v>0.3199999999999999</v>
      </c>
      <c r="P13" s="27">
        <f t="shared" si="6"/>
        <v>0</v>
      </c>
      <c r="Q13" s="27">
        <f t="shared" si="7"/>
        <v>0</v>
      </c>
      <c r="R13" s="125">
        <f t="shared" si="3"/>
        <v>0.80999999999999983</v>
      </c>
      <c r="S13" s="26" t="str">
        <f t="shared" si="4"/>
        <v>~a &amp; ~b</v>
      </c>
      <c r="T13"/>
      <c r="U13"/>
    </row>
    <row r="14" spans="2:21" s="7" customFormat="1" ht="18" customHeight="1" x14ac:dyDescent="0.25">
      <c r="B14" s="25" t="s">
        <v>5</v>
      </c>
      <c r="C14">
        <f>C10+C12</f>
        <v>0.42</v>
      </c>
      <c r="D14" s="22">
        <f>C14</f>
        <v>0.42</v>
      </c>
      <c r="E14">
        <f>E10+E12</f>
        <v>0.42</v>
      </c>
      <c r="F14" s="120" t="str">
        <f t="shared" si="0"/>
        <v>b</v>
      </c>
      <c r="G14" s="127">
        <v>0</v>
      </c>
      <c r="H14" s="126">
        <f t="shared" si="1"/>
        <v>0</v>
      </c>
      <c r="I14" s="6">
        <f>1-SUMPRODUCT($H$14:$H$16,$C$14:$C$16)</f>
        <v>1</v>
      </c>
      <c r="J14" s="6">
        <f>IF(SUM($G$14:$G$16)=0,0,SUM($G$14:$G$16))</f>
        <v>0</v>
      </c>
      <c r="K14" s="6">
        <f t="shared" si="2"/>
        <v>0</v>
      </c>
      <c r="L14" s="7">
        <f>L10+L12</f>
        <v>0.18000000000000005</v>
      </c>
      <c r="M14" s="22">
        <f>D14+K14</f>
        <v>0.42</v>
      </c>
      <c r="N14" s="7">
        <f>N10+N12</f>
        <v>0.42</v>
      </c>
      <c r="O14" s="27">
        <f t="shared" si="5"/>
        <v>-0.23999999999999994</v>
      </c>
      <c r="P14" s="27">
        <f t="shared" si="6"/>
        <v>0</v>
      </c>
      <c r="Q14" s="27">
        <f t="shared" si="7"/>
        <v>0</v>
      </c>
      <c r="R14" s="122">
        <f t="shared" si="3"/>
        <v>0.18000000000000005</v>
      </c>
      <c r="S14" s="26" t="str">
        <f t="shared" si="4"/>
        <v>b</v>
      </c>
      <c r="T14"/>
      <c r="U14"/>
    </row>
    <row r="15" spans="2:21" s="7" customFormat="1" x14ac:dyDescent="0.25">
      <c r="B15" s="25" t="s">
        <v>15</v>
      </c>
      <c r="C15">
        <f>C10/(C10+C12)</f>
        <v>0.5</v>
      </c>
      <c r="D15" s="23">
        <f>C15</f>
        <v>0.5</v>
      </c>
      <c r="E15">
        <f>E10/(E10+E12)</f>
        <v>0.5</v>
      </c>
      <c r="F15" s="120" t="str">
        <f t="shared" si="0"/>
        <v>a|b</v>
      </c>
      <c r="G15" s="127">
        <v>0</v>
      </c>
      <c r="H15" s="126">
        <f t="shared" si="1"/>
        <v>0</v>
      </c>
      <c r="I15" s="6">
        <f>1-SUMPRODUCT($H$14:$H$16,$C$14:$C$16)</f>
        <v>1</v>
      </c>
      <c r="J15" s="6">
        <f>IF(SUM($G$14:$G$16)=0,0,SUM($G$14:$G$16))</f>
        <v>0</v>
      </c>
      <c r="K15" s="6">
        <f t="shared" si="2"/>
        <v>0</v>
      </c>
      <c r="L15" s="7">
        <f>L10/(L10+L12)</f>
        <v>0.5</v>
      </c>
      <c r="M15" s="23">
        <f>D15+K15</f>
        <v>0.5</v>
      </c>
      <c r="N15" s="7">
        <f>N10/(N10+N12)</f>
        <v>0.5</v>
      </c>
      <c r="O15" s="27">
        <f t="shared" si="5"/>
        <v>0</v>
      </c>
      <c r="P15" s="27">
        <f t="shared" si="6"/>
        <v>0</v>
      </c>
      <c r="Q15" s="27">
        <f t="shared" si="7"/>
        <v>0</v>
      </c>
      <c r="R15" s="122">
        <f t="shared" si="3"/>
        <v>0.5</v>
      </c>
      <c r="S15" s="26" t="str">
        <f t="shared" si="4"/>
        <v>a|b</v>
      </c>
      <c r="T15"/>
      <c r="U15"/>
    </row>
    <row r="16" spans="2:21" s="7" customFormat="1" ht="15.75" thickBot="1" x14ac:dyDescent="0.3">
      <c r="B16" s="134" t="s">
        <v>17</v>
      </c>
      <c r="C16" s="13">
        <f>C11/(C11+C13)</f>
        <v>0.15517241379310348</v>
      </c>
      <c r="D16" s="135">
        <f>C16</f>
        <v>0.15517241379310348</v>
      </c>
      <c r="E16" s="13">
        <f>E11/(E11+E13)</f>
        <v>0.15517241379310348</v>
      </c>
      <c r="F16" s="136" t="str">
        <f t="shared" si="0"/>
        <v>a|~b</v>
      </c>
      <c r="G16" s="137">
        <v>0</v>
      </c>
      <c r="H16" s="133">
        <f t="shared" si="1"/>
        <v>0</v>
      </c>
      <c r="I16" s="12">
        <f>1-SUMPRODUCT($H$14:$H$16,$C$14:$C$16)</f>
        <v>1</v>
      </c>
      <c r="J16" s="12">
        <f>IF(SUM($G$14:$G$16)=0,0,SUM($G$14:$G$16))</f>
        <v>0</v>
      </c>
      <c r="K16" s="12">
        <f t="shared" si="2"/>
        <v>0</v>
      </c>
      <c r="L16" s="13">
        <f>L11/(L11+L13)</f>
        <v>1.219512195121953E-2</v>
      </c>
      <c r="M16" s="135">
        <f>D16+K16</f>
        <v>0.15517241379310348</v>
      </c>
      <c r="N16" s="13">
        <f>N11/(N11+N13)</f>
        <v>0.15517241379310348</v>
      </c>
      <c r="O16" s="138">
        <f t="shared" si="5"/>
        <v>-0.14297729184188396</v>
      </c>
      <c r="P16" s="138">
        <f t="shared" si="6"/>
        <v>0</v>
      </c>
      <c r="Q16" s="138">
        <f t="shared" si="7"/>
        <v>0</v>
      </c>
      <c r="R16" s="139">
        <f t="shared" si="3"/>
        <v>1.2195121951219523E-2</v>
      </c>
      <c r="S16" s="140" t="str">
        <f t="shared" si="4"/>
        <v>a|~b</v>
      </c>
      <c r="T16"/>
      <c r="U16"/>
    </row>
    <row r="17" spans="2:21" s="7" customFormat="1" ht="16.5" thickTop="1" thickBot="1" x14ac:dyDescent="0.3">
      <c r="B17"/>
      <c r="C17"/>
      <c r="D17"/>
      <c r="E17"/>
      <c r="F17" s="121"/>
      <c r="G17" s="104"/>
      <c r="H17"/>
      <c r="I17"/>
      <c r="J17"/>
      <c r="K17"/>
      <c r="O17"/>
      <c r="P17"/>
      <c r="Q17"/>
      <c r="R17" s="5"/>
      <c r="S17"/>
      <c r="T17"/>
      <c r="U17"/>
    </row>
    <row r="18" spans="2:21" s="7" customFormat="1" ht="15.75" thickBot="1" x14ac:dyDescent="0.3">
      <c r="B18"/>
      <c r="C18" s="86">
        <f>SUM(C10:C13)</f>
        <v>1</v>
      </c>
      <c r="D18" s="86">
        <f>SUM(D10:D13)</f>
        <v>1</v>
      </c>
      <c r="E18" s="86">
        <f>SUM(E10:E13)</f>
        <v>1</v>
      </c>
      <c r="F18"/>
      <c r="G18"/>
      <c r="H18"/>
      <c r="I18"/>
      <c r="J18"/>
      <c r="K18"/>
      <c r="L18" s="86">
        <f t="shared" ref="L18:Q18" si="8">SUM(L10:L13)</f>
        <v>0.99999999999999989</v>
      </c>
      <c r="M18" s="86">
        <f t="shared" si="8"/>
        <v>1</v>
      </c>
      <c r="N18" s="86">
        <f t="shared" si="8"/>
        <v>1</v>
      </c>
      <c r="O18" s="86">
        <f t="shared" si="8"/>
        <v>0</v>
      </c>
      <c r="P18" s="86">
        <f t="shared" si="8"/>
        <v>0</v>
      </c>
      <c r="Q18" s="86">
        <f t="shared" si="8"/>
        <v>0</v>
      </c>
      <c r="R18" s="5"/>
      <c r="S18"/>
      <c r="T18"/>
      <c r="U18"/>
    </row>
    <row r="19" spans="2:21" s="7" customFormat="1" x14ac:dyDescent="0.25">
      <c r="B19"/>
      <c r="C19"/>
      <c r="D19"/>
      <c r="E19"/>
      <c r="F19"/>
      <c r="G19"/>
      <c r="H19"/>
      <c r="I19"/>
      <c r="J19"/>
      <c r="K19"/>
      <c r="L19"/>
      <c r="M19"/>
      <c r="N19"/>
      <c r="O19"/>
      <c r="P19"/>
      <c r="Q19"/>
      <c r="R19" s="9"/>
      <c r="S19" s="10"/>
      <c r="T19" s="10"/>
      <c r="U19" s="11"/>
    </row>
    <row r="20" spans="2:21" x14ac:dyDescent="0.25">
      <c r="R20" s="128">
        <f>INDEX($R$10:$R$13,COLUMN(Q20)-COLUMN($P$20))</f>
        <v>9.0000000000000024E-2</v>
      </c>
      <c r="S20" s="129">
        <f>INDEX($R$10:$R$13,COLUMN(R20)-COLUMN($P$20))</f>
        <v>1.0000000000000009E-2</v>
      </c>
      <c r="T20" s="129">
        <f>INDEX($R$10:$R$13,COLUMN(S20)-COLUMN($P$20))</f>
        <v>9.0000000000000024E-2</v>
      </c>
      <c r="U20" s="130">
        <f>INDEX($R$10:$R$13,COLUMN(T20)-COLUMN($P$20))</f>
        <v>0.80999999999999983</v>
      </c>
    </row>
    <row r="21" spans="2:21" x14ac:dyDescent="0.25">
      <c r="R21" s="116"/>
      <c r="S21" s="7"/>
      <c r="T21" s="7"/>
      <c r="U21" s="102"/>
    </row>
    <row r="22" spans="2:21" ht="15.75" thickBot="1" x14ac:dyDescent="0.3">
      <c r="R22" s="1267" t="s">
        <v>61</v>
      </c>
      <c r="S22" s="1250"/>
      <c r="T22" s="1250"/>
      <c r="U22" s="1268"/>
    </row>
  </sheetData>
  <mergeCells count="2">
    <mergeCell ref="F4:G4"/>
    <mergeCell ref="R22:U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Simple Example</vt:lpstr>
      <vt:lpstr>LMSR</vt:lpstr>
      <vt:lpstr>Scaled Claims</vt:lpstr>
      <vt:lpstr>Conditional Scaled</vt:lpstr>
      <vt:lpstr>Counterfactual Refund</vt:lpstr>
      <vt:lpstr>MV Scaled (Explicit)</vt:lpstr>
      <vt:lpstr>MV Scaled (Standard)</vt:lpstr>
      <vt:lpstr>Derivatives and Leverage</vt:lpstr>
      <vt:lpstr>Blocksize Controversy</vt:lpstr>
      <vt:lpstr>Blocksize-usd-appendix</vt:lpstr>
      <vt:lpstr>Blocksize-appendix-2</vt:lpstr>
      <vt:lpstr>Long Variability</vt:lpstr>
      <vt:lpstr>Conditional Charity</vt:lpstr>
      <vt:lpstr>Liquidity Sensitivity</vt:lpstr>
      <vt:lpstr>Functions of Decisions</vt:lpstr>
      <vt:lpstr>Changing b mid-trading</vt:lpstr>
      <vt:lpstr>Insurance Fraud Experiments</vt:lpstr>
      <vt:lpstr>Max Shares Outstanding</vt:lpstr>
      <vt:lpstr>Some Accounting</vt:lpstr>
      <vt:lpstr>DistCalculator</vt:lpstr>
      <vt:lpstr>2x2 Update Calculator</vt:lpstr>
    </vt:vector>
  </TitlesOfParts>
  <Company>Faculty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Sztorc, Paul</dc:creator>
  <cp:lastModifiedBy>psztorc</cp:lastModifiedBy>
  <dcterms:created xsi:type="dcterms:W3CDTF">2013-11-06T14:19:02Z</dcterms:created>
  <dcterms:modified xsi:type="dcterms:W3CDTF">2019-01-21T08:39:51Z</dcterms:modified>
</cp:coreProperties>
</file>