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drawings/drawing36.xml" ContentType="application/vnd.openxmlformats-officedocument.drawing+xml"/>
  <Override PartName="/xl/comments36.xml" ContentType="application/vnd.openxmlformats-officedocument.spreadsheetml.comments+xml"/>
  <Override PartName="/xl/drawings/drawing37.xml" ContentType="application/vnd.openxmlformats-officedocument.drawing+xml"/>
  <Override PartName="/xl/comments37.xml" ContentType="application/vnd.openxmlformats-officedocument.spreadsheetml.comments+xml"/>
  <Override PartName="/xl/drawings/drawing38.xml" ContentType="application/vnd.openxmlformats-officedocument.drawing+xml"/>
  <Override PartName="/xl/comments38.xml" ContentType="application/vnd.openxmlformats-officedocument.spreadsheetml.comments+xml"/>
  <Override PartName="/xl/drawings/drawing39.xml" ContentType="application/vnd.openxmlformats-officedocument.drawing+xml"/>
  <Override PartName="/xl/comments39.xml" ContentType="application/vnd.openxmlformats-officedocument.spreadsheetml.comments+xml"/>
  <Override PartName="/xl/drawings/drawing40.xml" ContentType="application/vnd.openxmlformats-officedocument.drawing+xml"/>
  <Override PartName="/xl/comments40.xml" ContentType="application/vnd.openxmlformats-officedocument.spreadsheetml.comments+xml"/>
  <Override PartName="/xl/drawings/drawing41.xml" ContentType="application/vnd.openxmlformats-officedocument.drawing+xml"/>
  <Override PartName="/xl/comments41.xml" ContentType="application/vnd.openxmlformats-officedocument.spreadsheetml.comments+xml"/>
  <Override PartName="/xl/drawings/drawing42.xml" ContentType="application/vnd.openxmlformats-officedocument.drawing+xml"/>
  <Override PartName="/xl/comments42.xml" ContentType="application/vnd.openxmlformats-officedocument.spreadsheetml.comments+xml"/>
  <Override PartName="/xl/drawings/drawing43.xml" ContentType="application/vnd.openxmlformats-officedocument.drawing+xml"/>
  <Override PartName="/xl/comments43.xml" ContentType="application/vnd.openxmlformats-officedocument.spreadsheetml.comments+xml"/>
  <Override PartName="/xl/drawings/drawing44.xml" ContentType="application/vnd.openxmlformats-officedocument.drawing+xml"/>
  <Override PartName="/xl/comments44.xml" ContentType="application/vnd.openxmlformats-officedocument.spreadsheetml.comments+xml"/>
  <Override PartName="/xl/drawings/drawing45.xml" ContentType="application/vnd.openxmlformats-officedocument.drawing+xml"/>
  <Override PartName="/xl/comments45.xml" ContentType="application/vnd.openxmlformats-officedocument.spreadsheetml.comments+xml"/>
  <Override PartName="/xl/drawings/drawing46.xml" ContentType="application/vnd.openxmlformats-officedocument.drawing+xml"/>
  <Override PartName="/xl/comments46.xml" ContentType="application/vnd.openxmlformats-officedocument.spreadsheetml.comments+xml"/>
  <Override PartName="/xl/drawings/drawing47.xml" ContentType="application/vnd.openxmlformats-officedocument.drawing+xml"/>
  <Override PartName="/xl/comments47.xml" ContentType="application/vnd.openxmlformats-officedocument.spreadsheetml.comments+xml"/>
  <Override PartName="/xl/drawings/drawing48.xml" ContentType="application/vnd.openxmlformats-officedocument.drawing+xml"/>
  <Override PartName="/xl/comments48.xml" ContentType="application/vnd.openxmlformats-officedocument.spreadsheetml.comments+xml"/>
  <Override PartName="/xl/drawings/drawing49.xml" ContentType="application/vnd.openxmlformats-officedocument.drawing+xml"/>
  <Override PartName="/xl/comments49.xml" ContentType="application/vnd.openxmlformats-officedocument.spreadsheetml.comments+xml"/>
  <Override PartName="/xl/drawings/drawing50.xml" ContentType="application/vnd.openxmlformats-officedocument.drawing+xml"/>
  <Override PartName="/xl/comments50.xml" ContentType="application/vnd.openxmlformats-officedocument.spreadsheetml.comments+xml"/>
  <Override PartName="/xl/drawings/drawing51.xml" ContentType="application/vnd.openxmlformats-officedocument.drawing+xml"/>
  <Override PartName="/xl/comments51.xml" ContentType="application/vnd.openxmlformats-officedocument.spreadsheetml.comments+xml"/>
  <Override PartName="/xl/drawings/drawing52.xml" ContentType="application/vnd.openxmlformats-officedocument.drawing+xml"/>
  <Override PartName="/xl/comments52.xml" ContentType="application/vnd.openxmlformats-officedocument.spreadsheetml.comments+xml"/>
  <Override PartName="/xl/drawings/drawing53.xml" ContentType="application/vnd.openxmlformats-officedocument.drawing+xml"/>
  <Override PartName="/xl/comments53.xml" ContentType="application/vnd.openxmlformats-officedocument.spreadsheetml.comments+xml"/>
  <Override PartName="/xl/drawings/drawing54.xml" ContentType="application/vnd.openxmlformats-officedocument.drawing+xml"/>
  <Override PartName="/xl/comments54.xml" ContentType="application/vnd.openxmlformats-officedocument.spreadsheetml.comments+xml"/>
  <Override PartName="/xl/drawings/drawing55.xml" ContentType="application/vnd.openxmlformats-officedocument.drawing+xml"/>
  <Override PartName="/xl/comments55.xml" ContentType="application/vnd.openxmlformats-officedocument.spreadsheetml.comments+xml"/>
  <Override PartName="/xl/drawings/drawing56.xml" ContentType="application/vnd.openxmlformats-officedocument.drawing+xml"/>
  <Override PartName="/xl/comments56.xml" ContentType="application/vnd.openxmlformats-officedocument.spreadsheetml.comments+xml"/>
  <Override PartName="/xl/drawings/drawing57.xml" ContentType="application/vnd.openxmlformats-officedocument.drawing+xml"/>
  <Override PartName="/xl/comments57.xml" ContentType="application/vnd.openxmlformats-officedocument.spreadsheetml.comments+xml"/>
  <Override PartName="/xl/drawings/drawing58.xml" ContentType="application/vnd.openxmlformats-officedocument.drawing+xml"/>
  <Override PartName="/xl/comments58.xml" ContentType="application/vnd.openxmlformats-officedocument.spreadsheetml.comments+xml"/>
  <Override PartName="/xl/drawings/drawing59.xml" ContentType="application/vnd.openxmlformats-officedocument.drawing+xml"/>
  <Override PartName="/xl/comments59.xml" ContentType="application/vnd.openxmlformats-officedocument.spreadsheetml.comments+xml"/>
  <Override PartName="/xl/drawings/drawing60.xml" ContentType="application/vnd.openxmlformats-officedocument.drawing+xml"/>
  <Override PartName="/xl/comments60.xml" ContentType="application/vnd.openxmlformats-officedocument.spreadsheetml.comments+xml"/>
  <Override PartName="/xl/drawings/drawing61.xml" ContentType="application/vnd.openxmlformats-officedocument.drawing+xml"/>
  <Override PartName="/xl/comments61.xml" ContentType="application/vnd.openxmlformats-officedocument.spreadsheetml.comments+xml"/>
  <Override PartName="/xl/drawings/drawing62.xml" ContentType="application/vnd.openxmlformats-officedocument.drawing+xml"/>
  <Override PartName="/xl/comments62.xml" ContentType="application/vnd.openxmlformats-officedocument.spreadsheetml.comments+xml"/>
  <Override PartName="/xl/drawings/drawing63.xml" ContentType="application/vnd.openxmlformats-officedocument.drawing+xml"/>
  <Override PartName="/xl/comments63.xml" ContentType="application/vnd.openxmlformats-officedocument.spreadsheetml.comments+xml"/>
  <Override PartName="/xl/drawings/drawing64.xml" ContentType="application/vnd.openxmlformats-officedocument.drawing+xml"/>
  <Override PartName="/xl/comments64.xml" ContentType="application/vnd.openxmlformats-officedocument.spreadsheetml.comments+xml"/>
  <Override PartName="/xl/drawings/drawing65.xml" ContentType="application/vnd.openxmlformats-officedocument.drawing+xml"/>
  <Override PartName="/xl/comments65.xml" ContentType="application/vnd.openxmlformats-officedocument.spreadsheetml.comments+xml"/>
  <Override PartName="/xl/drawings/drawing66.xml" ContentType="application/vnd.openxmlformats-officedocument.drawing+xml"/>
  <Override PartName="/xl/comments66.xml" ContentType="application/vnd.openxmlformats-officedocument.spreadsheetml.comments+xml"/>
  <Override PartName="/xl/drawings/drawing67.xml" ContentType="application/vnd.openxmlformats-officedocument.drawing+xml"/>
  <Override PartName="/xl/comments67.xml" ContentType="application/vnd.openxmlformats-officedocument.spreadsheetml.comments+xml"/>
  <Override PartName="/xl/drawings/drawing68.xml" ContentType="application/vnd.openxmlformats-officedocument.drawing+xml"/>
  <Override PartName="/xl/comments68.xml" ContentType="application/vnd.openxmlformats-officedocument.spreadsheetml.comments+xml"/>
  <Override PartName="/xl/drawings/drawing69.xml" ContentType="application/vnd.openxmlformats-officedocument.drawing+xml"/>
  <Override PartName="/xl/comments69.xml" ContentType="application/vnd.openxmlformats-officedocument.spreadsheetml.comments+xml"/>
  <Override PartName="/xl/drawings/drawing70.xml" ContentType="application/vnd.openxmlformats-officedocument.drawing+xml"/>
  <Override PartName="/xl/comments70.xml" ContentType="application/vnd.openxmlformats-officedocument.spreadsheetml.comments+xml"/>
  <Override PartName="/xl/drawings/drawing71.xml" ContentType="application/vnd.openxmlformats-officedocument.drawing+xml"/>
  <Override PartName="/xl/comments71.xml" ContentType="application/vnd.openxmlformats-officedocument.spreadsheetml.comments+xml"/>
  <Override PartName="/xl/drawings/drawing72.xml" ContentType="application/vnd.openxmlformats-officedocument.drawing+xml"/>
  <Override PartName="/xl/comments72.xml" ContentType="application/vnd.openxmlformats-officedocument.spreadsheetml.comments+xml"/>
  <Override PartName="/xl/drawings/drawing73.xml" ContentType="application/vnd.openxmlformats-officedocument.drawing+xml"/>
  <Override PartName="/xl/comments73.xml" ContentType="application/vnd.openxmlformats-officedocument.spreadsheetml.comments+xml"/>
  <Override PartName="/xl/drawings/drawing74.xml" ContentType="application/vnd.openxmlformats-officedocument.drawing+xml"/>
  <Override PartName="/xl/comments74.xml" ContentType="application/vnd.openxmlformats-officedocument.spreadsheetml.comments+xml"/>
  <Override PartName="/xl/drawings/drawing75.xml" ContentType="application/vnd.openxmlformats-officedocument.drawing+xml"/>
  <Override PartName="/xl/comments75.xml" ContentType="application/vnd.openxmlformats-officedocument.spreadsheetml.comments+xml"/>
  <Override PartName="/xl/drawings/drawing76.xml" ContentType="application/vnd.openxmlformats-officedocument.drawing+xml"/>
  <Override PartName="/xl/comments76.xml" ContentType="application/vnd.openxmlformats-officedocument.spreadsheetml.comments+xml"/>
  <Override PartName="/xl/drawings/drawing77.xml" ContentType="application/vnd.openxmlformats-officedocument.drawing+xml"/>
  <Override PartName="/xl/comments77.xml" ContentType="application/vnd.openxmlformats-officedocument.spreadsheetml.comments+xml"/>
  <Override PartName="/xl/drawings/drawing78.xml" ContentType="application/vnd.openxmlformats-officedocument.drawing+xml"/>
  <Override PartName="/xl/comments78.xml" ContentType="application/vnd.openxmlformats-officedocument.spreadsheetml.comments+xml"/>
  <Override PartName="/xl/drawings/drawing79.xml" ContentType="application/vnd.openxmlformats-officedocument.drawing+xml"/>
  <Override PartName="/xl/comments79.xml" ContentType="application/vnd.openxmlformats-officedocument.spreadsheetml.comments+xml"/>
  <Override PartName="/xl/drawings/drawing80.xml" ContentType="application/vnd.openxmlformats-officedocument.drawing+xml"/>
  <Override PartName="/xl/comments80.xml" ContentType="application/vnd.openxmlformats-officedocument.spreadsheetml.comments+xml"/>
  <Override PartName="/xl/drawings/drawing81.xml" ContentType="application/vnd.openxmlformats-officedocument.drawing+xml"/>
  <Override PartName="/xl/comments81.xml" ContentType="application/vnd.openxmlformats-officedocument.spreadsheetml.comments+xml"/>
  <Override PartName="/xl/drawings/drawing82.xml" ContentType="application/vnd.openxmlformats-officedocument.drawing+xml"/>
  <Override PartName="/xl/comments82.xml" ContentType="application/vnd.openxmlformats-officedocument.spreadsheetml.comments+xml"/>
  <Override PartName="/xl/drawings/drawing83.xml" ContentType="application/vnd.openxmlformats-officedocument.drawing+xml"/>
  <Override PartName="/xl/comments83.xml" ContentType="application/vnd.openxmlformats-officedocument.spreadsheetml.comments+xml"/>
  <Override PartName="/xl/drawings/drawing84.xml" ContentType="application/vnd.openxmlformats-officedocument.drawing+xml"/>
  <Override PartName="/xl/comments84.xml" ContentType="application/vnd.openxmlformats-officedocument.spreadsheetml.comments+xml"/>
  <Override PartName="/xl/drawings/drawing85.xml" ContentType="application/vnd.openxmlformats-officedocument.drawing+xml"/>
  <Override PartName="/xl/comments85.xml" ContentType="application/vnd.openxmlformats-officedocument.spreadsheetml.comments+xml"/>
  <Override PartName="/xl/drawings/drawing86.xml" ContentType="application/vnd.openxmlformats-officedocument.drawing+xml"/>
  <Override PartName="/xl/comments86.xml" ContentType="application/vnd.openxmlformats-officedocument.spreadsheetml.comments+xml"/>
  <Override PartName="/xl/drawings/drawing87.xml" ContentType="application/vnd.openxmlformats-officedocument.drawing+xml"/>
  <Override PartName="/xl/comments87.xml" ContentType="application/vnd.openxmlformats-officedocument.spreadsheetml.comments+xml"/>
  <Override PartName="/xl/drawings/drawing88.xml" ContentType="application/vnd.openxmlformats-officedocument.drawing+xml"/>
  <Override PartName="/xl/comments88.xml" ContentType="application/vnd.openxmlformats-officedocument.spreadsheetml.comments+xml"/>
  <Override PartName="/xl/drawings/drawing89.xml" ContentType="application/vnd.openxmlformats-officedocument.drawing+xml"/>
  <Override PartName="/xl/comments89.xml" ContentType="application/vnd.openxmlformats-officedocument.spreadsheetml.comments+xml"/>
  <Override PartName="/xl/drawings/drawing90.xml" ContentType="application/vnd.openxmlformats-officedocument.drawing+xml"/>
  <Override PartName="/xl/comments90.xml" ContentType="application/vnd.openxmlformats-officedocument.spreadsheetml.comments+xml"/>
  <Override PartName="/xl/drawings/drawing91.xml" ContentType="application/vnd.openxmlformats-officedocument.drawing+xml"/>
  <Override PartName="/xl/comments91.xml" ContentType="application/vnd.openxmlformats-officedocument.spreadsheetml.comments+xml"/>
  <Override PartName="/xl/drawings/drawing92.xml" ContentType="application/vnd.openxmlformats-officedocument.drawing+xml"/>
  <Override PartName="/xl/comments92.xml" ContentType="application/vnd.openxmlformats-officedocument.spreadsheetml.comments+xml"/>
  <Override PartName="/xl/drawings/drawing93.xml" ContentType="application/vnd.openxmlformats-officedocument.drawing+xml"/>
  <Override PartName="/xl/comments93.xml" ContentType="application/vnd.openxmlformats-officedocument.spreadsheetml.comments+xml"/>
  <Override PartName="/xl/drawings/drawing94.xml" ContentType="application/vnd.openxmlformats-officedocument.drawing+xml"/>
  <Override PartName="/xl/comments94.xml" ContentType="application/vnd.openxmlformats-officedocument.spreadsheetml.comments+xml"/>
  <Override PartName="/xl/drawings/drawing95.xml" ContentType="application/vnd.openxmlformats-officedocument.drawing+xml"/>
  <Override PartName="/xl/comments95.xml" ContentType="application/vnd.openxmlformats-officedocument.spreadsheetml.comments+xml"/>
  <Override PartName="/xl/drawings/drawing96.xml" ContentType="application/vnd.openxmlformats-officedocument.drawing+xml"/>
  <Override PartName="/xl/comments96.xml" ContentType="application/vnd.openxmlformats-officedocument.spreadsheetml.comments+xml"/>
  <Override PartName="/xl/drawings/drawing97.xml" ContentType="application/vnd.openxmlformats-officedocument.drawing+xml"/>
  <Override PartName="/xl/comments97.xml" ContentType="application/vnd.openxmlformats-officedocument.spreadsheetml.comments+xml"/>
  <Override PartName="/xl/drawings/drawing98.xml" ContentType="application/vnd.openxmlformats-officedocument.drawing+xml"/>
  <Override PartName="/xl/comments98.xml" ContentType="application/vnd.openxmlformats-officedocument.spreadsheetml.comments+xml"/>
  <Override PartName="/xl/drawings/drawing99.xml" ContentType="application/vnd.openxmlformats-officedocument.drawing+xml"/>
  <Override PartName="/xl/comments99.xml" ContentType="application/vnd.openxmlformats-officedocument.spreadsheetml.comments+xml"/>
  <Override PartName="/xl/drawings/drawing100.xml" ContentType="application/vnd.openxmlformats-officedocument.drawing+xml"/>
  <Override PartName="/xl/comments100.xml" ContentType="application/vnd.openxmlformats-officedocument.spreadsheetml.comments+xml"/>
  <Override PartName="/xl/drawings/drawing101.xml" ContentType="application/vnd.openxmlformats-officedocument.drawing+xml"/>
  <Override PartName="/xl/comments101.xml" ContentType="application/vnd.openxmlformats-officedocument.spreadsheetml.comments+xml"/>
  <Override PartName="/xl/drawings/drawing102.xml" ContentType="application/vnd.openxmlformats-officedocument.drawing+xml"/>
  <Override PartName="/xl/comments102.xml" ContentType="application/vnd.openxmlformats-officedocument.spreadsheetml.comments+xml"/>
  <Override PartName="/xl/drawings/drawing103.xml" ContentType="application/vnd.openxmlformats-officedocument.drawing+xml"/>
  <Override PartName="/xl/comments103.xml" ContentType="application/vnd.openxmlformats-officedocument.spreadsheetml.comments+xml"/>
  <Override PartName="/xl/drawings/drawing104.xml" ContentType="application/vnd.openxmlformats-officedocument.drawing+xml"/>
  <Override PartName="/xl/comments104.xml" ContentType="application/vnd.openxmlformats-officedocument.spreadsheetml.comments+xml"/>
  <Override PartName="/xl/drawings/drawing105.xml" ContentType="application/vnd.openxmlformats-officedocument.drawing+xml"/>
  <Override PartName="/xl/comments105.xml" ContentType="application/vnd.openxmlformats-officedocument.spreadsheetml.comments+xml"/>
  <Override PartName="/xl/drawings/drawing106.xml" ContentType="application/vnd.openxmlformats-officedocument.drawing+xml"/>
  <Override PartName="/xl/comments106.xml" ContentType="application/vnd.openxmlformats-officedocument.spreadsheetml.comments+xml"/>
  <Override PartName="/xl/drawings/drawing107.xml" ContentType="application/vnd.openxmlformats-officedocument.drawing+xml"/>
  <Override PartName="/xl/comments107.xml" ContentType="application/vnd.openxmlformats-officedocument.spreadsheetml.comments+xml"/>
  <Override PartName="/xl/drawings/drawing108.xml" ContentType="application/vnd.openxmlformats-officedocument.drawing+xml"/>
  <Override PartName="/xl/comments108.xml" ContentType="application/vnd.openxmlformats-officedocument.spreadsheetml.comments+xml"/>
  <Override PartName="/xl/drawings/drawing109.xml" ContentType="application/vnd.openxmlformats-officedocument.drawing+xml"/>
  <Override PartName="/xl/comments109.xml" ContentType="application/vnd.openxmlformats-officedocument.spreadsheetml.comments+xml"/>
  <Override PartName="/xl/drawings/drawing110.xml" ContentType="application/vnd.openxmlformats-officedocument.drawing+xml"/>
  <Override PartName="/xl/comments110.xml" ContentType="application/vnd.openxmlformats-officedocument.spreadsheetml.comments+xml"/>
  <Override PartName="/xl/drawings/drawing111.xml" ContentType="application/vnd.openxmlformats-officedocument.drawing+xml"/>
  <Override PartName="/xl/comments111.xml" ContentType="application/vnd.openxmlformats-officedocument.spreadsheetml.comments+xml"/>
  <Override PartName="/xl/drawings/drawing112.xml" ContentType="application/vnd.openxmlformats-officedocument.drawing+xml"/>
  <Override PartName="/xl/comments112.xml" ContentType="application/vnd.openxmlformats-officedocument.spreadsheetml.comments+xml"/>
  <Override PartName="/xl/drawings/drawing113.xml" ContentType="application/vnd.openxmlformats-officedocument.drawing+xml"/>
  <Override PartName="/xl/comments113.xml" ContentType="application/vnd.openxmlformats-officedocument.spreadsheetml.comments+xml"/>
  <Override PartName="/xl/drawings/drawing114.xml" ContentType="application/vnd.openxmlformats-officedocument.drawing+xml"/>
  <Override PartName="/xl/comments114.xml" ContentType="application/vnd.openxmlformats-officedocument.spreadsheetml.comments+xml"/>
  <Override PartName="/xl/drawings/drawing115.xml" ContentType="application/vnd.openxmlformats-officedocument.drawing+xml"/>
  <Override PartName="/xl/comments115.xml" ContentType="application/vnd.openxmlformats-officedocument.spreadsheetml.comments+xml"/>
  <Override PartName="/xl/drawings/drawing116.xml" ContentType="application/vnd.openxmlformats-officedocument.drawing+xml"/>
  <Override PartName="/xl/comments116.xml" ContentType="application/vnd.openxmlformats-officedocument.spreadsheetml.comments+xml"/>
  <Override PartName="/xl/drawings/drawing117.xml" ContentType="application/vnd.openxmlformats-officedocument.drawing+xml"/>
  <Override PartName="/xl/comments117.xml" ContentType="application/vnd.openxmlformats-officedocument.spreadsheetml.comments+xml"/>
  <Override PartName="/xl/drawings/drawing118.xml" ContentType="application/vnd.openxmlformats-officedocument.drawing+xml"/>
  <Override PartName="/xl/comments118.xml" ContentType="application/vnd.openxmlformats-officedocument.spreadsheetml.comments+xml"/>
  <Override PartName="/xl/drawings/drawing119.xml" ContentType="application/vnd.openxmlformats-officedocument.drawing+xml"/>
  <Override PartName="/xl/comments119.xml" ContentType="application/vnd.openxmlformats-officedocument.spreadsheetml.comments+xml"/>
  <Override PartName="/xl/drawings/drawing120.xml" ContentType="application/vnd.openxmlformats-officedocument.drawing+xml"/>
  <Override PartName="/xl/comments120.xml" ContentType="application/vnd.openxmlformats-officedocument.spreadsheetml.comments+xml"/>
  <Override PartName="/xl/drawings/drawing121.xml" ContentType="application/vnd.openxmlformats-officedocument.drawing+xml"/>
  <Override PartName="/xl/comments121.xml" ContentType="application/vnd.openxmlformats-officedocument.spreadsheetml.comments+xml"/>
  <Override PartName="/xl/drawings/drawing122.xml" ContentType="application/vnd.openxmlformats-officedocument.drawing+xml"/>
  <Override PartName="/xl/comments122.xml" ContentType="application/vnd.openxmlformats-officedocument.spreadsheetml.comments+xml"/>
  <Override PartName="/xl/drawings/drawing123.xml" ContentType="application/vnd.openxmlformats-officedocument.drawing+xml"/>
  <Override PartName="/xl/comments123.xml" ContentType="application/vnd.openxmlformats-officedocument.spreadsheetml.comments+xml"/>
  <Override PartName="/xl/drawings/drawing124.xml" ContentType="application/vnd.openxmlformats-officedocument.drawing+xml"/>
  <Override PartName="/xl/comments124.xml" ContentType="application/vnd.openxmlformats-officedocument.spreadsheetml.comments+xml"/>
  <Override PartName="/xl/drawings/drawing125.xml" ContentType="application/vnd.openxmlformats-officedocument.drawing+xml"/>
  <Override PartName="/xl/comments125.xml" ContentType="application/vnd.openxmlformats-officedocument.spreadsheetml.comments+xml"/>
  <Override PartName="/xl/drawings/drawing126.xml" ContentType="application/vnd.openxmlformats-officedocument.drawing+xml"/>
  <Override PartName="/xl/comments126.xml" ContentType="application/vnd.openxmlformats-officedocument.spreadsheetml.comments+xml"/>
  <Override PartName="/xl/drawings/drawing127.xml" ContentType="application/vnd.openxmlformats-officedocument.drawing+xml"/>
  <Override PartName="/xl/comments127.xml" ContentType="application/vnd.openxmlformats-officedocument.spreadsheetml.comments+xml"/>
  <Override PartName="/xl/drawings/drawing128.xml" ContentType="application/vnd.openxmlformats-officedocument.drawing+xml"/>
  <Override PartName="/xl/comments128.xml" ContentType="application/vnd.openxmlformats-officedocument.spreadsheetml.comments+xml"/>
  <Override PartName="/xl/drawings/drawing129.xml" ContentType="application/vnd.openxmlformats-officedocument.drawing+xml"/>
  <Override PartName="/xl/comments129.xml" ContentType="application/vnd.openxmlformats-officedocument.spreadsheetml.comments+xml"/>
  <Override PartName="/xl/drawings/drawing130.xml" ContentType="application/vnd.openxmlformats-officedocument.drawing+xml"/>
  <Override PartName="/xl/comments130.xml" ContentType="application/vnd.openxmlformats-officedocument.spreadsheetml.comments+xml"/>
  <Override PartName="/xl/drawings/drawing131.xml" ContentType="application/vnd.openxmlformats-officedocument.drawing+xml"/>
  <Override PartName="/xl/comments131.xml" ContentType="application/vnd.openxmlformats-officedocument.spreadsheetml.comments+xml"/>
  <Override PartName="/xl/drawings/drawing132.xml" ContentType="application/vnd.openxmlformats-officedocument.drawing+xml"/>
  <Override PartName="/xl/comments132.xml" ContentType="application/vnd.openxmlformats-officedocument.spreadsheetml.comments+xml"/>
  <Override PartName="/xl/drawings/drawing133.xml" ContentType="application/vnd.openxmlformats-officedocument.drawing+xml"/>
  <Override PartName="/xl/comments133.xml" ContentType="application/vnd.openxmlformats-officedocument.spreadsheetml.comments+xml"/>
  <Override PartName="/xl/drawings/drawing134.xml" ContentType="application/vnd.openxmlformats-officedocument.drawing+xml"/>
  <Override PartName="/xl/comments134.xml" ContentType="application/vnd.openxmlformats-officedocument.spreadsheetml.comments+xml"/>
  <Override PartName="/xl/drawings/drawing135.xml" ContentType="application/vnd.openxmlformats-officedocument.drawing+xml"/>
  <Override PartName="/xl/comments135.xml" ContentType="application/vnd.openxmlformats-officedocument.spreadsheetml.comments+xml"/>
  <Override PartName="/xl/drawings/drawing136.xml" ContentType="application/vnd.openxmlformats-officedocument.drawing+xml"/>
  <Override PartName="/xl/comments136.xml" ContentType="application/vnd.openxmlformats-officedocument.spreadsheetml.comments+xml"/>
  <Override PartName="/xl/drawings/drawing137.xml" ContentType="application/vnd.openxmlformats-officedocument.drawing+xml"/>
  <Override PartName="/xl/comments137.xml" ContentType="application/vnd.openxmlformats-officedocument.spreadsheetml.comments+xml"/>
  <Override PartName="/xl/drawings/drawing138.xml" ContentType="application/vnd.openxmlformats-officedocument.drawing+xml"/>
  <Override PartName="/xl/comments138.xml" ContentType="application/vnd.openxmlformats-officedocument.spreadsheetml.comments+xml"/>
  <Override PartName="/xl/drawings/drawing139.xml" ContentType="application/vnd.openxmlformats-officedocument.drawing+xml"/>
  <Override PartName="/xl/comments139.xml" ContentType="application/vnd.openxmlformats-officedocument.spreadsheetml.comments+xml"/>
  <Override PartName="/xl/drawings/drawing140.xml" ContentType="application/vnd.openxmlformats-officedocument.drawing+xml"/>
  <Override PartName="/xl/comments140.xml" ContentType="application/vnd.openxmlformats-officedocument.spreadsheetml.comments+xml"/>
  <Override PartName="/xl/drawings/drawing141.xml" ContentType="application/vnd.openxmlformats-officedocument.drawing+xml"/>
  <Override PartName="/xl/comments141.xml" ContentType="application/vnd.openxmlformats-officedocument.spreadsheetml.comments+xml"/>
  <Override PartName="/xl/drawings/drawing142.xml" ContentType="application/vnd.openxmlformats-officedocument.drawing+xml"/>
  <Override PartName="/xl/comments142.xml" ContentType="application/vnd.openxmlformats-officedocument.spreadsheetml.comments+xml"/>
  <Override PartName="/xl/drawings/drawing143.xml" ContentType="application/vnd.openxmlformats-officedocument.drawing+xml"/>
  <Override PartName="/xl/comments143.xml" ContentType="application/vnd.openxmlformats-officedocument.spreadsheetml.comments+xml"/>
  <Override PartName="/xl/drawings/drawing144.xml" ContentType="application/vnd.openxmlformats-officedocument.drawing+xml"/>
  <Override PartName="/xl/comments144.xml" ContentType="application/vnd.openxmlformats-officedocument.spreadsheetml.comments+xml"/>
  <Override PartName="/xl/drawings/drawing145.xml" ContentType="application/vnd.openxmlformats-officedocument.drawing+xml"/>
  <Override PartName="/xl/comments145.xml" ContentType="application/vnd.openxmlformats-officedocument.spreadsheetml.comments+xml"/>
  <Override PartName="/xl/drawings/drawing146.xml" ContentType="application/vnd.openxmlformats-officedocument.drawing+xml"/>
  <Override PartName="/xl/comments146.xml" ContentType="application/vnd.openxmlformats-officedocument.spreadsheetml.comments+xml"/>
  <Override PartName="/xl/drawings/drawing147.xml" ContentType="application/vnd.openxmlformats-officedocument.drawing+xml"/>
  <Override PartName="/xl/comments147.xml" ContentType="application/vnd.openxmlformats-officedocument.spreadsheetml.comments+xml"/>
  <Override PartName="/xl/drawings/drawing148.xml" ContentType="application/vnd.openxmlformats-officedocument.drawing+xml"/>
  <Override PartName="/xl/comments14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07.MINE EXPLOSIVES REPORTS\02. RCSU WEEKLY REPORT\2026\"/>
    </mc:Choice>
  </mc:AlternateContent>
  <bookViews>
    <workbookView xWindow="0" yWindow="0" windowWidth="28800" windowHeight="11415" firstSheet="139" activeTab="147"/>
  </bookViews>
  <sheets>
    <sheet name="8-1-7,2023" sheetId="1" r:id="rId1"/>
    <sheet name="8-8-14,2023" sheetId="2" r:id="rId2"/>
    <sheet name="8-15-21,2023" sheetId="3" r:id="rId3"/>
    <sheet name="8-22-30,2023" sheetId="4" r:id="rId4"/>
    <sheet name="9-1-7,2023" sheetId="5" r:id="rId5"/>
    <sheet name="9-8-14,2023" sheetId="6" r:id="rId6"/>
    <sheet name="9-15-21,2023" sheetId="7" r:id="rId7"/>
    <sheet name="9-22-31,2023" sheetId="8" r:id="rId8"/>
    <sheet name="10-1-8,2023" sheetId="9" r:id="rId9"/>
    <sheet name="10-9-15,2023" sheetId="10" r:id="rId10"/>
    <sheet name="10-16-22,2023" sheetId="11" r:id="rId11"/>
    <sheet name="10-23-31,2023" sheetId="12" r:id="rId12"/>
    <sheet name="11-1-5,2023" sheetId="13" r:id="rId13"/>
    <sheet name="11-6-12,2023" sheetId="14" r:id="rId14"/>
    <sheet name="11-13-19,2023" sheetId="15" r:id="rId15"/>
    <sheet name="11-20-26,2023" sheetId="16" r:id="rId16"/>
    <sheet name="11-26-12-3,2023" sheetId="17" r:id="rId17"/>
    <sheet name="12-4-10,2023" sheetId="18" r:id="rId18"/>
    <sheet name="12-11-17,2023" sheetId="19" r:id="rId19"/>
    <sheet name="12-18-24,2023" sheetId="20" r:id="rId20"/>
    <sheet name="12-25-31,2023" sheetId="21" r:id="rId21"/>
    <sheet name="01-1-7,2024" sheetId="22" r:id="rId22"/>
    <sheet name="1-8-14,2024" sheetId="23" r:id="rId23"/>
    <sheet name="1-15-21,2024" sheetId="24" r:id="rId24"/>
    <sheet name="1-22-28,2024" sheetId="25" r:id="rId25"/>
    <sheet name="1-29-2-4,2024" sheetId="26" r:id="rId26"/>
    <sheet name="2-5-11,2024" sheetId="27" r:id="rId27"/>
    <sheet name="2-12-18,2024" sheetId="28" r:id="rId28"/>
    <sheet name="2-19-25,2024" sheetId="29" r:id="rId29"/>
    <sheet name="2-26-3-3,2024" sheetId="30" r:id="rId30"/>
    <sheet name="3-4-10,2024" sheetId="31" r:id="rId31"/>
    <sheet name="3-11-17,2024" sheetId="32" r:id="rId32"/>
    <sheet name="3-18-24,2024" sheetId="33" r:id="rId33"/>
    <sheet name="3-25-31" sheetId="34" r:id="rId34"/>
    <sheet name="4-1-7-2024" sheetId="35" r:id="rId35"/>
    <sheet name="4-8-14,2024" sheetId="36" r:id="rId36"/>
    <sheet name="4-15-21,2024" sheetId="37" r:id="rId37"/>
    <sheet name="4-22-28,2024 " sheetId="38" r:id="rId38"/>
    <sheet name="4-29-5-5,2024" sheetId="39" r:id="rId39"/>
    <sheet name="5-6-12,2024" sheetId="40" r:id="rId40"/>
    <sheet name="5-13-19,2024" sheetId="41" r:id="rId41"/>
    <sheet name="5-20-26,2024" sheetId="42" r:id="rId42"/>
    <sheet name="5-27-JUNE 2, 2024" sheetId="43" r:id="rId43"/>
    <sheet name="6-3-9, 2024" sheetId="45" r:id="rId44"/>
    <sheet name="6-10-16,2024" sheetId="46" r:id="rId45"/>
    <sheet name="6-17-23, 2024" sheetId="47" r:id="rId46"/>
    <sheet name="6-24-30,2024" sheetId="48" r:id="rId47"/>
    <sheet name="7-1-7.2024" sheetId="49" r:id="rId48"/>
    <sheet name="7-8-14, 2024" sheetId="50" r:id="rId49"/>
    <sheet name="7-15-21, 2024" sheetId="51" r:id="rId50"/>
    <sheet name="7-22-28,2024" sheetId="52" r:id="rId51"/>
    <sheet name="7-29-8-4,2024" sheetId="53" r:id="rId52"/>
    <sheet name="8-5-11,2024" sheetId="54" r:id="rId53"/>
    <sheet name="8-12-18, 2024" sheetId="55" r:id="rId54"/>
    <sheet name="8-19-25,2024" sheetId="56" r:id="rId55"/>
    <sheet name="8-26-9-1, 2024" sheetId="57" r:id="rId56"/>
    <sheet name="9-2-8,2024" sheetId="58" r:id="rId57"/>
    <sheet name="9-9-15, 2024" sheetId="59" r:id="rId58"/>
    <sheet name="9-16-22, 2024" sheetId="60" r:id="rId59"/>
    <sheet name="9-23-29, 2024" sheetId="61" r:id="rId60"/>
    <sheet name="9-30-10-6, 2024" sheetId="62" r:id="rId61"/>
    <sheet name="10-7-13, 2024" sheetId="63" r:id="rId62"/>
    <sheet name="10-14-20, 2024" sheetId="64" r:id="rId63"/>
    <sheet name="10-21-27, 2024" sheetId="65" r:id="rId64"/>
    <sheet name="10-28-11-3, 2024" sheetId="66" r:id="rId65"/>
    <sheet name="11-4-10, 2024" sheetId="67" r:id="rId66"/>
    <sheet name="11-11-17, 2024" sheetId="68" r:id="rId67"/>
    <sheet name="11-18-24, 2024" sheetId="69" r:id="rId68"/>
    <sheet name="11-25-12-1, 2024" sheetId="70" r:id="rId69"/>
    <sheet name="12-2-8, 2024" sheetId="71" r:id="rId70"/>
    <sheet name="12-9-15, 2024" sheetId="72" r:id="rId71"/>
    <sheet name="12-16-22, 2024" sheetId="73" r:id="rId72"/>
    <sheet name="12-23-29, 2024" sheetId="74" r:id="rId73"/>
    <sheet name="12-30-1-5, 2025" sheetId="75" r:id="rId74"/>
    <sheet name="1-6-12, 2025" sheetId="76" r:id="rId75"/>
    <sheet name="1-13-19, 2025" sheetId="77" r:id="rId76"/>
    <sheet name="1-20-26, 2025" sheetId="78" r:id="rId77"/>
    <sheet name="1-27-2-2, 2025" sheetId="79" r:id="rId78"/>
    <sheet name="2-3-9, 2025" sheetId="80" r:id="rId79"/>
    <sheet name="2-10-16, 2025" sheetId="81" r:id="rId80"/>
    <sheet name="2-17-23, 2025" sheetId="82" r:id="rId81"/>
    <sheet name="2-24-03-2, 2025" sheetId="83" r:id="rId82"/>
    <sheet name="3-3-9, 2025" sheetId="84" r:id="rId83"/>
    <sheet name="3-10-16, 2025" sheetId="85" r:id="rId84"/>
    <sheet name="3-17-23, 2025" sheetId="86" r:id="rId85"/>
    <sheet name="3-24-30, 2025" sheetId="87" r:id="rId86"/>
    <sheet name="3-30-4-6, 2025" sheetId="88" r:id="rId87"/>
    <sheet name="4-7-13, 2025" sheetId="89" r:id="rId88"/>
    <sheet name="4-14-20, 2025" sheetId="90" r:id="rId89"/>
    <sheet name="4-21-27, 2025" sheetId="91" r:id="rId90"/>
    <sheet name="4-28-MAY 4, 2025" sheetId="92" r:id="rId91"/>
    <sheet name="5-5-11, 2025" sheetId="93" r:id="rId92"/>
    <sheet name="5-12-18, 2025" sheetId="94" r:id="rId93"/>
    <sheet name="5-19-25, 2025" sheetId="95" r:id="rId94"/>
    <sheet name="5-26-6-1, 2025" sheetId="96" r:id="rId95"/>
    <sheet name="6-2-8, 2025" sheetId="97" r:id="rId96"/>
    <sheet name="6-9-15,2025" sheetId="98" r:id="rId97"/>
    <sheet name="6-16-22,2025" sheetId="99" r:id="rId98"/>
    <sheet name="6-23-29, 2025" sheetId="100" r:id="rId99"/>
    <sheet name="6-30-7-6, 2025" sheetId="101" r:id="rId100"/>
    <sheet name="7-7-13, 2025" sheetId="102" r:id="rId101"/>
    <sheet name="7-14-20, 2025" sheetId="103" r:id="rId102"/>
    <sheet name="7-21-27, 2025" sheetId="104" r:id="rId103"/>
    <sheet name="7-28-8-3, 2025" sheetId="105" r:id="rId104"/>
    <sheet name="8-4-10, 2025" sheetId="106" r:id="rId105"/>
    <sheet name="8-11-17, 2025" sheetId="107" r:id="rId106"/>
    <sheet name="8-18-24, 2025" sheetId="108" r:id="rId107"/>
    <sheet name="8-25-31, 2025" sheetId="109" r:id="rId108"/>
    <sheet name="9-1-7, 2025" sheetId="110" r:id="rId109"/>
    <sheet name="9-8-14, 2025" sheetId="111" r:id="rId110"/>
    <sheet name="9-15-21, 2025" sheetId="112" r:id="rId111"/>
    <sheet name="9-22-28, 2025" sheetId="113" r:id="rId112"/>
    <sheet name="9-29-10-5, 2025" sheetId="114" r:id="rId113"/>
    <sheet name="10-6-12, 2025" sheetId="115" r:id="rId114"/>
    <sheet name="10-13-19, 2025" sheetId="116" r:id="rId115"/>
    <sheet name="10-20-26, 2025" sheetId="117" r:id="rId116"/>
    <sheet name="10-27-11-2, 2025" sheetId="118" r:id="rId117"/>
    <sheet name="11-3-9, 2025" sheetId="119" r:id="rId118"/>
    <sheet name="11-10-16, 2025" sheetId="120" r:id="rId119"/>
    <sheet name="11-17-23, 2025" sheetId="121" r:id="rId120"/>
    <sheet name="11-24-30, 2025" sheetId="122" r:id="rId121"/>
    <sheet name="12-1-7, 2025" sheetId="123" r:id="rId122"/>
    <sheet name="12-8-14, 2025" sheetId="124" r:id="rId123"/>
    <sheet name="12-15-21, 2025" sheetId="125" r:id="rId124"/>
    <sheet name="12-22-28, 2025" sheetId="126" r:id="rId125"/>
    <sheet name="12-29-1-4, 2026" sheetId="127" r:id="rId126"/>
    <sheet name="1-5-11, 2026" sheetId="128" r:id="rId127"/>
    <sheet name="1-12-18, 2026" sheetId="129" r:id="rId128"/>
    <sheet name="1-19-25, 2026" sheetId="130" r:id="rId129"/>
    <sheet name="1-26-2-1, 2026" sheetId="131" r:id="rId130"/>
    <sheet name="2-2-8, 2026" sheetId="132" r:id="rId131"/>
    <sheet name="2-9-15, 2026" sheetId="133" r:id="rId132"/>
    <sheet name="2-16-22, 2026" sheetId="134" r:id="rId133"/>
    <sheet name="2-23-3-1, 2026" sheetId="135" r:id="rId134"/>
    <sheet name="3-2-8, 2026" sheetId="136" r:id="rId135"/>
    <sheet name="3-9-15, 2026" sheetId="137" r:id="rId136"/>
    <sheet name="3-16-22, 2026" sheetId="138" r:id="rId137"/>
    <sheet name="3-23-29, 2026" sheetId="139" r:id="rId138"/>
    <sheet name="3-30-4-5, 2026" sheetId="140" r:id="rId139"/>
    <sheet name="4-6-12, 2026" sheetId="141" r:id="rId140"/>
    <sheet name="4-13-19, 2026" sheetId="142" r:id="rId141"/>
    <sheet name="4-20-26, 2026" sheetId="143" r:id="rId142"/>
    <sheet name="4-27-MAY 3, 2026" sheetId="144" r:id="rId143"/>
    <sheet name="5-4-10, 2026" sheetId="145" r:id="rId144"/>
    <sheet name="5-11-17, 2026" sheetId="146" r:id="rId145"/>
    <sheet name="5-18-24, 2026" sheetId="147" r:id="rId146"/>
    <sheet name="5-25-31, 2026" sheetId="148" r:id="rId147"/>
    <sheet name="6-1-7, 2026" sheetId="149" r:id="rId148"/>
  </sheets>
  <definedNames>
    <definedName name="_xlnm._FilterDatabase" localSheetId="21" hidden="1">'01-1-7,2024'!$A$16:$AD$19</definedName>
    <definedName name="_xlnm._FilterDatabase" localSheetId="114" hidden="1">'10-13-19, 2025'!$B$16:$AQ$19</definedName>
    <definedName name="_xlnm._FilterDatabase" localSheetId="62" hidden="1">'10-14-20, 2024'!$A$16:$AI$19</definedName>
    <definedName name="_xlnm._FilterDatabase" localSheetId="10" hidden="1">'10-16-22,2023'!$A$16:$AD$19</definedName>
    <definedName name="_xlnm._FilterDatabase" localSheetId="8" hidden="1">'10-1-8,2023'!$A$16:$AD$19</definedName>
    <definedName name="_xlnm._FilterDatabase" localSheetId="115" hidden="1">'10-20-26, 2025'!$B$16:$AQ$19</definedName>
    <definedName name="_xlnm._FilterDatabase" localSheetId="63" hidden="1">'10-21-27, 2024'!$A$16:$AI$19</definedName>
    <definedName name="_xlnm._FilterDatabase" localSheetId="11" hidden="1">'10-23-31,2023'!$A$16:$AD$19</definedName>
    <definedName name="_xlnm._FilterDatabase" localSheetId="116" hidden="1">'10-27-11-2, 2025'!$B$16:$AQ$19</definedName>
    <definedName name="_xlnm._FilterDatabase" localSheetId="64" hidden="1">'10-28-11-3, 2024'!$A$16:$AI$19</definedName>
    <definedName name="_xlnm._FilterDatabase" localSheetId="113" hidden="1">'10-6-12, 2025'!$B$16:$AQ$19</definedName>
    <definedName name="_xlnm._FilterDatabase" localSheetId="61" hidden="1">'10-7-13, 2024'!$A$16:$AI$19</definedName>
    <definedName name="_xlnm._FilterDatabase" localSheetId="9" hidden="1">'10-9-15,2023'!$A$16:$AD$19</definedName>
    <definedName name="_xlnm._FilterDatabase" localSheetId="118" hidden="1">'11-10-16, 2025'!$B$16:$AQ$19</definedName>
    <definedName name="_xlnm._FilterDatabase" localSheetId="66" hidden="1">'11-11-17, 2024'!$A$16:$AI$19</definedName>
    <definedName name="_xlnm._FilterDatabase" localSheetId="14" hidden="1">'11-13-19,2023'!$A$16:$AD$19</definedName>
    <definedName name="_xlnm._FilterDatabase" localSheetId="12" hidden="1">'11-1-5,2023'!$A$16:$AD$19</definedName>
    <definedName name="_xlnm._FilterDatabase" localSheetId="119" hidden="1">'11-17-23, 2025'!$B$16:$AQ$19</definedName>
    <definedName name="_xlnm._FilterDatabase" localSheetId="67" hidden="1">'11-18-24, 2024'!$A$16:$AI$19</definedName>
    <definedName name="_xlnm._FilterDatabase" localSheetId="15" hidden="1">'11-20-26,2023'!$A$16:$AD$19</definedName>
    <definedName name="_xlnm._FilterDatabase" localSheetId="127" hidden="1">'1-12-18, 2026'!$B$16:$AQ$19</definedName>
    <definedName name="_xlnm._FilterDatabase" localSheetId="120" hidden="1">'11-24-30, 2025'!$B$16:$AQ$19</definedName>
    <definedName name="_xlnm._FilterDatabase" localSheetId="68" hidden="1">'11-25-12-1, 2024'!$A$16:$AI$19</definedName>
    <definedName name="_xlnm._FilterDatabase" localSheetId="16" hidden="1">'11-26-12-3,2023'!$A$16:$AD$19</definedName>
    <definedName name="_xlnm._FilterDatabase" localSheetId="75" hidden="1">'1-13-19, 2025'!$A$16:$AK$19</definedName>
    <definedName name="_xlnm._FilterDatabase" localSheetId="117" hidden="1">'11-3-9, 2025'!$B$16:$AQ$19</definedName>
    <definedName name="_xlnm._FilterDatabase" localSheetId="65" hidden="1">'11-4-10, 2024'!$A$16:$AI$19</definedName>
    <definedName name="_xlnm._FilterDatabase" localSheetId="23" hidden="1">'1-15-21,2024'!$A$16:$AD$19</definedName>
    <definedName name="_xlnm._FilterDatabase" localSheetId="13" hidden="1">'11-6-12,2023'!$A$16:$AD$19</definedName>
    <definedName name="_xlnm._FilterDatabase" localSheetId="128" hidden="1">'1-19-25, 2026'!$B$16:$AQ$19</definedName>
    <definedName name="_xlnm._FilterDatabase" localSheetId="76" hidden="1">'1-20-26, 2025'!$A$16:$AK$19</definedName>
    <definedName name="_xlnm._FilterDatabase" localSheetId="18" hidden="1">'12-11-17,2023'!$A$16:$AD$19</definedName>
    <definedName name="_xlnm._FilterDatabase" localSheetId="123" hidden="1">'12-15-21, 2025'!$B$16:$AQ$19</definedName>
    <definedName name="_xlnm._FilterDatabase" localSheetId="71" hidden="1">'12-16-22, 2024'!$A$16:$AK$19</definedName>
    <definedName name="_xlnm._FilterDatabase" localSheetId="121" hidden="1">'12-1-7, 2025'!$B$16:$AQ$19</definedName>
    <definedName name="_xlnm._FilterDatabase" localSheetId="19" hidden="1">'12-18-24,2023'!$A$16:$AD$19</definedName>
    <definedName name="_xlnm._FilterDatabase" localSheetId="124" hidden="1">'12-22-28, 2025'!$B$16:$AQ$19</definedName>
    <definedName name="_xlnm._FilterDatabase" localSheetId="24" hidden="1">'1-22-28,2024'!$A$16:$AD$19</definedName>
    <definedName name="_xlnm._FilterDatabase" localSheetId="72" hidden="1">'12-23-29, 2024'!$A$16:$AK$19</definedName>
    <definedName name="_xlnm._FilterDatabase" localSheetId="20" hidden="1">'12-25-31,2023'!$A$16:$AD$19</definedName>
    <definedName name="_xlnm._FilterDatabase" localSheetId="69" hidden="1">'12-2-8, 2024'!$A$16:$AI$19</definedName>
    <definedName name="_xlnm._FilterDatabase" localSheetId="125" hidden="1">'12-29-1-4, 2026'!$B$16:$AQ$19</definedName>
    <definedName name="_xlnm._FilterDatabase" localSheetId="73" hidden="1">'12-30-1-5, 2025'!$A$16:$AK$19</definedName>
    <definedName name="_xlnm._FilterDatabase" localSheetId="17" hidden="1">'12-4-10,2023'!$A$16:$AD$19</definedName>
    <definedName name="_xlnm._FilterDatabase" localSheetId="129" hidden="1">'1-26-2-1, 2026'!$B$16:$AQ$19</definedName>
    <definedName name="_xlnm._FilterDatabase" localSheetId="77" hidden="1">'1-27-2-2, 2025'!$A$16:$AK$19</definedName>
    <definedName name="_xlnm._FilterDatabase" localSheetId="122" hidden="1">'12-8-14, 2025'!$B$16:$AQ$19</definedName>
    <definedName name="_xlnm._FilterDatabase" localSheetId="70" hidden="1">'12-9-15, 2024'!$A$16:$AK$19</definedName>
    <definedName name="_xlnm._FilterDatabase" localSheetId="25" hidden="1">'1-29-2-4,2024'!$A$16:$AD$19</definedName>
    <definedName name="_xlnm._FilterDatabase" localSheetId="126" hidden="1">'1-5-11, 2026'!$B$16:$AQ$19</definedName>
    <definedName name="_xlnm._FilterDatabase" localSheetId="74" hidden="1">'1-6-12, 2025'!$A$16:$AK$19</definedName>
    <definedName name="_xlnm._FilterDatabase" localSheetId="22" hidden="1">'1-8-14,2024'!$A$16:$AD$19</definedName>
    <definedName name="_xlnm._FilterDatabase" localSheetId="79" hidden="1">'2-10-16, 2025'!$A$16:$AL$19</definedName>
    <definedName name="_xlnm._FilterDatabase" localSheetId="27" hidden="1">'2-12-18,2024'!$A$16:$AD$19</definedName>
    <definedName name="_xlnm._FilterDatabase" localSheetId="132" hidden="1">'2-16-22, 2026'!$B$16:$AQ$19</definedName>
    <definedName name="_xlnm._FilterDatabase" localSheetId="80" hidden="1">'2-17-23, 2025'!$B$16:$AM$19</definedName>
    <definedName name="_xlnm._FilterDatabase" localSheetId="28" hidden="1">'2-19-25,2024'!$A$16:$AD$19</definedName>
    <definedName name="_xlnm._FilterDatabase" localSheetId="133" hidden="1">'2-23-3-1, 2026'!$B$16:$AQ$19</definedName>
    <definedName name="_xlnm._FilterDatabase" localSheetId="81" hidden="1">'2-24-03-2, 2025'!$B$16:$AM$19</definedName>
    <definedName name="_xlnm._FilterDatabase" localSheetId="29" hidden="1">'2-26-3-3,2024'!$A$16:$AD$19</definedName>
    <definedName name="_xlnm._FilterDatabase" localSheetId="130" hidden="1">'2-2-8, 2026'!$B$16:$AQ$19</definedName>
    <definedName name="_xlnm._FilterDatabase" localSheetId="78" hidden="1">'2-3-9, 2025'!$A$16:$AL$19</definedName>
    <definedName name="_xlnm._FilterDatabase" localSheetId="26" hidden="1">'2-5-11,2024'!$A$16:$AD$19</definedName>
    <definedName name="_xlnm._FilterDatabase" localSheetId="131" hidden="1">'2-9-15, 2026'!$B$16:$AQ$19</definedName>
    <definedName name="_xlnm._FilterDatabase" localSheetId="83" hidden="1">'3-10-16, 2025'!$B$16:$AM$19</definedName>
    <definedName name="_xlnm._FilterDatabase" localSheetId="31" hidden="1">'3-11-17,2024'!$A$16:$AD$19</definedName>
    <definedName name="_xlnm._FilterDatabase" localSheetId="136" hidden="1">'3-16-22, 2026'!$B$16:$AR$19</definedName>
    <definedName name="_xlnm._FilterDatabase" localSheetId="84" hidden="1">'3-17-23, 2025'!$B$16:$AM$19</definedName>
    <definedName name="_xlnm._FilterDatabase" localSheetId="32" hidden="1">'3-18-24,2024'!$A$16:$AD$19</definedName>
    <definedName name="_xlnm._FilterDatabase" localSheetId="137" hidden="1">'3-23-29, 2026'!$B$16:$AR$19</definedName>
    <definedName name="_xlnm._FilterDatabase" localSheetId="85" hidden="1">'3-24-30, 2025'!$B$16:$AM$19</definedName>
    <definedName name="_xlnm._FilterDatabase" localSheetId="33" hidden="1">'3-25-31'!$A$16:$AD$19</definedName>
    <definedName name="_xlnm._FilterDatabase" localSheetId="134" hidden="1">'3-2-8, 2026'!$B$16:$AQ$19</definedName>
    <definedName name="_xlnm._FilterDatabase" localSheetId="138" hidden="1">'3-30-4-5, 2026'!$B$16:$AR$19</definedName>
    <definedName name="_xlnm._FilterDatabase" localSheetId="86" hidden="1">'3-30-4-6, 2025'!$B$16:$AM$19</definedName>
    <definedName name="_xlnm._FilterDatabase" localSheetId="82" hidden="1">'3-3-9, 2025'!$B$16:$AM$19</definedName>
    <definedName name="_xlnm._FilterDatabase" localSheetId="30" hidden="1">'3-4-10,2024'!$A$16:$AD$19</definedName>
    <definedName name="_xlnm._FilterDatabase" localSheetId="135" hidden="1">'3-9-15, 2026'!$B$16:$AR$19</definedName>
    <definedName name="_xlnm._FilterDatabase" localSheetId="140" hidden="1">'4-13-19, 2026'!$B$16:$AR$19</definedName>
    <definedName name="_xlnm._FilterDatabase" localSheetId="88" hidden="1">'4-14-20, 2025'!$B$16:$AQ$19</definedName>
    <definedName name="_xlnm._FilterDatabase" localSheetId="36" hidden="1">'4-15-21,2024'!$A$16:$AD$19</definedName>
    <definedName name="_xlnm._FilterDatabase" localSheetId="34" hidden="1">'4-1-7-2024'!$A$16:$AD$19</definedName>
    <definedName name="_xlnm._FilterDatabase" localSheetId="141" hidden="1">'4-20-26, 2026'!$B$16:$AR$19</definedName>
    <definedName name="_xlnm._FilterDatabase" localSheetId="89" hidden="1">'4-21-27, 2025'!$B$16:$AQ$19</definedName>
    <definedName name="_xlnm._FilterDatabase" localSheetId="37" hidden="1">'4-22-28,2024 '!$A$16:$AE$19</definedName>
    <definedName name="_xlnm._FilterDatabase" localSheetId="142" hidden="1">'4-27-MAY 3, 2026'!$B$16:$AR$19</definedName>
    <definedName name="_xlnm._FilterDatabase" localSheetId="90" hidden="1">'4-28-MAY 4, 2025'!$B$16:$AQ$19</definedName>
    <definedName name="_xlnm._FilterDatabase" localSheetId="38" hidden="1">'4-29-5-5,2024'!$A$16:$AE$19</definedName>
    <definedName name="_xlnm._FilterDatabase" localSheetId="139" hidden="1">'4-6-12, 2026'!$B$16:$AR$19</definedName>
    <definedName name="_xlnm._FilterDatabase" localSheetId="87" hidden="1">'4-7-13, 2025'!$B$16:$AM$19</definedName>
    <definedName name="_xlnm._FilterDatabase" localSheetId="35" hidden="1">'4-8-14,2024'!$A$16:$AD$19</definedName>
    <definedName name="_xlnm._FilterDatabase" localSheetId="144" hidden="1">'5-11-17, 2026'!$B$16:$AR$19</definedName>
    <definedName name="_xlnm._FilterDatabase" localSheetId="92" hidden="1">'5-12-18, 2025'!$B$16:$AQ$19</definedName>
    <definedName name="_xlnm._FilterDatabase" localSheetId="40" hidden="1">'5-13-19,2024'!$A$16:$AE$19</definedName>
    <definedName name="_xlnm._FilterDatabase" localSheetId="145" hidden="1">'5-18-24, 2026'!$B$16:$AR$19</definedName>
    <definedName name="_xlnm._FilterDatabase" localSheetId="93" hidden="1">'5-19-25, 2025'!$B$16:$AQ$19</definedName>
    <definedName name="_xlnm._FilterDatabase" localSheetId="41" hidden="1">'5-20-26,2024'!$A$16:$AE$19</definedName>
    <definedName name="_xlnm._FilterDatabase" localSheetId="146" hidden="1">'5-25-31, 2026'!$B$16:$AR$19</definedName>
    <definedName name="_xlnm._FilterDatabase" localSheetId="94" hidden="1">'5-26-6-1, 2025'!$B$16:$AQ$19</definedName>
    <definedName name="_xlnm._FilterDatabase" localSheetId="42" hidden="1">'5-27-JUNE 2, 2024'!$A$16:$AE$19</definedName>
    <definedName name="_xlnm._FilterDatabase" localSheetId="143" hidden="1">'5-4-10, 2026'!$B$16:$AR$19</definedName>
    <definedName name="_xlnm._FilterDatabase" localSheetId="91" hidden="1">'5-5-11, 2025'!$B$16:$AQ$19</definedName>
    <definedName name="_xlnm._FilterDatabase" localSheetId="39" hidden="1">'5-6-12,2024'!$A$16:$AE$19</definedName>
    <definedName name="_xlnm._FilterDatabase" localSheetId="44" hidden="1">'6-10-16,2024'!$A$16:$AG$19</definedName>
    <definedName name="_xlnm._FilterDatabase" localSheetId="97" hidden="1">'6-16-22,2025'!$B$16:$AQ$19</definedName>
    <definedName name="_xlnm._FilterDatabase" localSheetId="147" hidden="1">'6-1-7, 2026'!$B$16:$AR$19</definedName>
    <definedName name="_xlnm._FilterDatabase" localSheetId="45" hidden="1">'6-17-23, 2024'!$A$16:$AG$19</definedName>
    <definedName name="_xlnm._FilterDatabase" localSheetId="98" hidden="1">'6-23-29, 2025'!$B$16:$AQ$19</definedName>
    <definedName name="_xlnm._FilterDatabase" localSheetId="46" hidden="1">'6-24-30,2024'!$A$16:$AG$19</definedName>
    <definedName name="_xlnm._FilterDatabase" localSheetId="95" hidden="1">'6-2-8, 2025'!$B$16:$AQ$19</definedName>
    <definedName name="_xlnm._FilterDatabase" localSheetId="99" hidden="1">'6-30-7-6, 2025'!$B$16:$AQ$19</definedName>
    <definedName name="_xlnm._FilterDatabase" localSheetId="43" hidden="1">'6-3-9, 2024'!$A$16:$AE$19</definedName>
    <definedName name="_xlnm._FilterDatabase" localSheetId="96" hidden="1">'6-9-15,2025'!$B$16:$AQ$19</definedName>
    <definedName name="_xlnm._FilterDatabase" localSheetId="101" hidden="1">'7-14-20, 2025'!$B$16:$AQ$19</definedName>
    <definedName name="_xlnm._FilterDatabase" localSheetId="49" hidden="1">'7-15-21, 2024'!$A$16:$AG$19</definedName>
    <definedName name="_xlnm._FilterDatabase" localSheetId="47" hidden="1">'7-1-7.2024'!$A$16:$AG$19</definedName>
    <definedName name="_xlnm._FilterDatabase" localSheetId="102" hidden="1">'7-21-27, 2025'!$B$16:$AQ$19</definedName>
    <definedName name="_xlnm._FilterDatabase" localSheetId="50" hidden="1">'7-22-28,2024'!$A$16:$AG$19</definedName>
    <definedName name="_xlnm._FilterDatabase" localSheetId="103" hidden="1">'7-28-8-3, 2025'!$B$16:$AQ$19</definedName>
    <definedName name="_xlnm._FilterDatabase" localSheetId="51" hidden="1">'7-29-8-4,2024'!$A$16:$AG$19</definedName>
    <definedName name="_xlnm._FilterDatabase" localSheetId="100" hidden="1">'7-7-13, 2025'!$B$16:$AQ$19</definedName>
    <definedName name="_xlnm._FilterDatabase" localSheetId="48" hidden="1">'7-8-14, 2024'!$A$16:$AG$19</definedName>
    <definedName name="_xlnm._FilterDatabase" localSheetId="105" hidden="1">'8-11-17, 2025'!$B$16:$AQ$19</definedName>
    <definedName name="_xlnm._FilterDatabase" localSheetId="53" hidden="1">'8-12-18, 2024'!$A$16:$AG$19</definedName>
    <definedName name="_xlnm._FilterDatabase" localSheetId="2" hidden="1">'8-15-21,2023'!$A$16:$AD$19</definedName>
    <definedName name="_xlnm._FilterDatabase" localSheetId="0" hidden="1">'8-1-7,2023'!$A$16:$AD$19</definedName>
    <definedName name="_xlnm._FilterDatabase" localSheetId="106" hidden="1">'8-18-24, 2025'!$B$16:$AQ$19</definedName>
    <definedName name="_xlnm._FilterDatabase" localSheetId="54" hidden="1">'8-19-25,2024'!$A$16:$AI$19</definedName>
    <definedName name="_xlnm._FilterDatabase" localSheetId="3" hidden="1">'8-22-30,2023'!$A$16:$AD$19</definedName>
    <definedName name="_xlnm._FilterDatabase" localSheetId="107" hidden="1">'8-25-31, 2025'!$B$16:$AQ$19</definedName>
    <definedName name="_xlnm._FilterDatabase" localSheetId="55" hidden="1">'8-26-9-1, 2024'!$A$16:$AI$19</definedName>
    <definedName name="_xlnm._FilterDatabase" localSheetId="104" hidden="1">'8-4-10, 2025'!$B$16:$AQ$19</definedName>
    <definedName name="_xlnm._FilterDatabase" localSheetId="52" hidden="1">'8-5-11,2024'!$A$16:$AG$19</definedName>
    <definedName name="_xlnm._FilterDatabase" localSheetId="1" hidden="1">'8-8-14,2023'!$A$16:$AD$19</definedName>
    <definedName name="_xlnm._FilterDatabase" localSheetId="110" hidden="1">'9-15-21, 2025'!$B$16:$AQ$19</definedName>
    <definedName name="_xlnm._FilterDatabase" localSheetId="6" hidden="1">'9-15-21,2023'!$A$16:$AD$19</definedName>
    <definedName name="_xlnm._FilterDatabase" localSheetId="58" hidden="1">'9-16-22, 2024'!$A$16:$AI$19</definedName>
    <definedName name="_xlnm._FilterDatabase" localSheetId="108" hidden="1">'9-1-7, 2025'!$B$16:$AQ$19</definedName>
    <definedName name="_xlnm._FilterDatabase" localSheetId="4" hidden="1">'9-1-7,2023'!$A$16:$AD$19</definedName>
    <definedName name="_xlnm._FilterDatabase" localSheetId="111" hidden="1">'9-22-28, 2025'!$B$16:$AQ$19</definedName>
    <definedName name="_xlnm._FilterDatabase" localSheetId="7" hidden="1">'9-22-31,2023'!$A$16:$AD$19</definedName>
    <definedName name="_xlnm._FilterDatabase" localSheetId="59" hidden="1">'9-23-29, 2024'!$A$16:$AI$19</definedName>
    <definedName name="_xlnm._FilterDatabase" localSheetId="56" hidden="1">'9-2-8,2024'!$A$16:$AI$19</definedName>
    <definedName name="_xlnm._FilterDatabase" localSheetId="112" hidden="1">'9-29-10-5, 2025'!$B$16:$AQ$19</definedName>
    <definedName name="_xlnm._FilterDatabase" localSheetId="60" hidden="1">'9-30-10-6, 2024'!$A$16:$AI$19</definedName>
    <definedName name="_xlnm._FilterDatabase" localSheetId="109" hidden="1">'9-8-14, 2025'!$B$16:$AQ$19</definedName>
    <definedName name="_xlnm._FilterDatabase" localSheetId="5" hidden="1">'9-8-14,2023'!$A$16:$AD$19</definedName>
    <definedName name="_xlnm._FilterDatabase" localSheetId="57" hidden="1">'9-9-15, 2024'!$A$16:$AI$19</definedName>
    <definedName name="_xlnm.Print_Area" localSheetId="114">'10-13-19, 2025'!$B$1:$AQ$36</definedName>
    <definedName name="_xlnm.Print_Area" localSheetId="115">'10-20-26, 2025'!$B$1:$AQ$36</definedName>
    <definedName name="_xlnm.Print_Area" localSheetId="116">'10-27-11-2, 2025'!$B$1:$AQ$36</definedName>
    <definedName name="_xlnm.Print_Area" localSheetId="113">'10-6-12, 2025'!$B$1:$AQ$36</definedName>
    <definedName name="_xlnm.Print_Area" localSheetId="118">'11-10-16, 2025'!$B$1:$AQ$36</definedName>
    <definedName name="_xlnm.Print_Area" localSheetId="119">'11-17-23, 2025'!$B$1:$AQ$36</definedName>
    <definedName name="_xlnm.Print_Area" localSheetId="127">'1-12-18, 2026'!$B$1:$AQ$36</definedName>
    <definedName name="_xlnm.Print_Area" localSheetId="120">'11-24-30, 2025'!$B$1:$AQ$36</definedName>
    <definedName name="_xlnm.Print_Area" localSheetId="75">'1-13-19, 2025'!$A$1:$AK$33</definedName>
    <definedName name="_xlnm.Print_Area" localSheetId="117">'11-3-9, 2025'!$B$1:$AQ$36</definedName>
    <definedName name="_xlnm.Print_Area" localSheetId="128">'1-19-25, 2026'!$B$1:$AQ$36</definedName>
    <definedName name="_xlnm.Print_Area" localSheetId="76">'1-20-26, 2025'!$A$1:$AK$33</definedName>
    <definedName name="_xlnm.Print_Area" localSheetId="123">'12-15-21, 2025'!$B$1:$AQ$36</definedName>
    <definedName name="_xlnm.Print_Area" localSheetId="71">'12-16-22, 2024'!$A$1:$AK$33</definedName>
    <definedName name="_xlnm.Print_Area" localSheetId="121">'12-1-7, 2025'!$B$1:$AQ$36</definedName>
    <definedName name="_xlnm.Print_Area" localSheetId="124">'12-22-28, 2025'!$B$1:$AQ$36</definedName>
    <definedName name="_xlnm.Print_Area" localSheetId="72">'12-23-29, 2024'!$A$1:$AK$33</definedName>
    <definedName name="_xlnm.Print_Area" localSheetId="125">'12-29-1-4, 2026'!$B$1:$AQ$36</definedName>
    <definedName name="_xlnm.Print_Area" localSheetId="73">'12-30-1-5, 2025'!$A$1:$AK$33</definedName>
    <definedName name="_xlnm.Print_Area" localSheetId="129">'1-26-2-1, 2026'!$B$1:$AQ$36</definedName>
    <definedName name="_xlnm.Print_Area" localSheetId="77">'1-27-2-2, 2025'!$A$1:$AK$33</definedName>
    <definedName name="_xlnm.Print_Area" localSheetId="122">'12-8-14, 2025'!$B$1:$AQ$36</definedName>
    <definedName name="_xlnm.Print_Area" localSheetId="70">'12-9-15, 2024'!$A$1:$AK$33</definedName>
    <definedName name="_xlnm.Print_Area" localSheetId="126">'1-5-11, 2026'!$B$1:$AQ$36</definedName>
    <definedName name="_xlnm.Print_Area" localSheetId="74">'1-6-12, 2025'!$A$1:$AK$33</definedName>
    <definedName name="_xlnm.Print_Area" localSheetId="79">'2-10-16, 2025'!$A$1:$AL$33</definedName>
    <definedName name="_xlnm.Print_Area" localSheetId="132">'2-16-22, 2026'!$B$1:$AQ$36</definedName>
    <definedName name="_xlnm.Print_Area" localSheetId="80">'2-17-23, 2025'!$B$1:$AM$33</definedName>
    <definedName name="_xlnm.Print_Area" localSheetId="133">'2-23-3-1, 2026'!$B$1:$AQ$36</definedName>
    <definedName name="_xlnm.Print_Area" localSheetId="81">'2-24-03-2, 2025'!$B$1:$AM$33</definedName>
    <definedName name="_xlnm.Print_Area" localSheetId="130">'2-2-8, 2026'!$B$1:$AQ$36</definedName>
    <definedName name="_xlnm.Print_Area" localSheetId="78">'2-3-9, 2025'!$A$1:$AL$33</definedName>
    <definedName name="_xlnm.Print_Area" localSheetId="131">'2-9-15, 2026'!$B$1:$AQ$36</definedName>
    <definedName name="_xlnm.Print_Area" localSheetId="83">'3-10-16, 2025'!$B$1:$AM$33</definedName>
    <definedName name="_xlnm.Print_Area" localSheetId="136">'3-16-22, 2026'!$B$1:$AR$36</definedName>
    <definedName name="_xlnm.Print_Area" localSheetId="84">'3-17-23, 2025'!$B$1:$AM$33</definedName>
    <definedName name="_xlnm.Print_Area" localSheetId="137">'3-23-29, 2026'!$B$1:$AR$36</definedName>
    <definedName name="_xlnm.Print_Area" localSheetId="85">'3-24-30, 2025'!$B$1:$AM$33</definedName>
    <definedName name="_xlnm.Print_Area" localSheetId="134">'3-2-8, 2026'!$B$1:$AQ$36</definedName>
    <definedName name="_xlnm.Print_Area" localSheetId="138">'3-30-4-5, 2026'!$B$1:$AR$36</definedName>
    <definedName name="_xlnm.Print_Area" localSheetId="86">'3-30-4-6, 2025'!$B$1:$AM$33</definedName>
    <definedName name="_xlnm.Print_Area" localSheetId="82">'3-3-9, 2025'!$B$1:$AM$33</definedName>
    <definedName name="_xlnm.Print_Area" localSheetId="135">'3-9-15, 2026'!$B$1:$AR$36</definedName>
    <definedName name="_xlnm.Print_Area" localSheetId="140">'4-13-19, 2026'!$B$1:$AR$36</definedName>
    <definedName name="_xlnm.Print_Area" localSheetId="88">'4-14-20, 2025'!$B$1:$AQ$36</definedName>
    <definedName name="_xlnm.Print_Area" localSheetId="141">'4-20-26, 2026'!$B$1:$AR$36</definedName>
    <definedName name="_xlnm.Print_Area" localSheetId="89">'4-21-27, 2025'!$B$1:$AQ$38</definedName>
    <definedName name="_xlnm.Print_Area" localSheetId="142">'4-27-MAY 3, 2026'!$B$1:$AR$36</definedName>
    <definedName name="_xlnm.Print_Area" localSheetId="90">'4-28-MAY 4, 2025'!$B$1:$AQ$38</definedName>
    <definedName name="_xlnm.Print_Area" localSheetId="139">'4-6-12, 2026'!$B$1:$AR$36</definedName>
    <definedName name="_xlnm.Print_Area" localSheetId="87">'4-7-13, 2025'!$B$1:$AM$33</definedName>
    <definedName name="_xlnm.Print_Area" localSheetId="144">'5-11-17, 2026'!$B$1:$AR$36</definedName>
    <definedName name="_xlnm.Print_Area" localSheetId="92">'5-12-18, 2025'!$B$1:$AQ$38</definedName>
    <definedName name="_xlnm.Print_Area" localSheetId="145">'5-18-24, 2026'!$B$1:$AR$36</definedName>
    <definedName name="_xlnm.Print_Area" localSheetId="93">'5-19-25, 2025'!$B$1:$AQ$38</definedName>
    <definedName name="_xlnm.Print_Area" localSheetId="146">'5-25-31, 2026'!$B$1:$AR$36</definedName>
    <definedName name="_xlnm.Print_Area" localSheetId="94">'5-26-6-1, 2025'!$B$1:$AQ$38</definedName>
    <definedName name="_xlnm.Print_Area" localSheetId="143">'5-4-10, 2026'!$B$1:$AR$36</definedName>
    <definedName name="_xlnm.Print_Area" localSheetId="91">'5-5-11, 2025'!$B$1:$AQ$38</definedName>
    <definedName name="_xlnm.Print_Area" localSheetId="97">'6-16-22,2025'!$B$1:$AQ$36</definedName>
    <definedName name="_xlnm.Print_Area" localSheetId="147">'6-1-7, 2026'!$B$1:$AR$36</definedName>
    <definedName name="_xlnm.Print_Area" localSheetId="98">'6-23-29, 2025'!$B$1:$AQ$36</definedName>
    <definedName name="_xlnm.Print_Area" localSheetId="95">'6-2-8, 2025'!$B$1:$AQ$38</definedName>
    <definedName name="_xlnm.Print_Area" localSheetId="99">'6-30-7-6, 2025'!$B$1:$AQ$36</definedName>
    <definedName name="_xlnm.Print_Area" localSheetId="96">'6-9-15,2025'!$B$1:$AQ$36</definedName>
    <definedName name="_xlnm.Print_Area" localSheetId="101">'7-14-20, 2025'!$B$1:$AQ$36</definedName>
    <definedName name="_xlnm.Print_Area" localSheetId="102">'7-21-27, 2025'!$B$1:$AQ$36</definedName>
    <definedName name="_xlnm.Print_Area" localSheetId="103">'7-28-8-3, 2025'!$B$1:$AQ$36</definedName>
    <definedName name="_xlnm.Print_Area" localSheetId="100">'7-7-13, 2025'!$B$1:$AQ$36</definedName>
    <definedName name="_xlnm.Print_Area" localSheetId="105">'8-11-17, 2025'!$B$1:$AQ$36</definedName>
    <definedName name="_xlnm.Print_Area" localSheetId="106">'8-18-24, 2025'!$B$1:$AQ$36</definedName>
    <definedName name="_xlnm.Print_Area" localSheetId="107">'8-25-31, 2025'!$B$1:$AQ$36</definedName>
    <definedName name="_xlnm.Print_Area" localSheetId="104">'8-4-10, 2025'!$B$1:$AQ$36</definedName>
    <definedName name="_xlnm.Print_Area" localSheetId="110">'9-15-21, 2025'!$B$1:$AQ$36</definedName>
    <definedName name="_xlnm.Print_Area" localSheetId="108">'9-1-7, 2025'!$B$1:$AQ$36</definedName>
    <definedName name="_xlnm.Print_Area" localSheetId="111">'9-22-28, 2025'!$B$1:$AQ$36</definedName>
    <definedName name="_xlnm.Print_Area" localSheetId="112">'9-29-10-5, 2025'!$B$1:$AQ$36</definedName>
    <definedName name="_xlnm.Print_Area" localSheetId="109">'9-8-14, 2025'!$B$1:$AQ$36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0" i="149" l="1"/>
  <c r="Y20" i="149"/>
  <c r="Y22" i="149" s="1"/>
  <c r="Y24" i="149" s="1"/>
  <c r="Z20" i="149"/>
  <c r="AA20" i="149"/>
  <c r="AA22" i="149" s="1"/>
  <c r="AA24" i="149" s="1"/>
  <c r="AB20" i="149"/>
  <c r="AC20" i="149"/>
  <c r="AD20" i="149"/>
  <c r="AE20" i="149"/>
  <c r="AE22" i="149" s="1"/>
  <c r="AF20" i="149"/>
  <c r="AG20" i="149"/>
  <c r="AG22" i="149" s="1"/>
  <c r="AG24" i="149" s="1"/>
  <c r="AH20" i="149"/>
  <c r="AI20" i="149"/>
  <c r="AI22" i="149" s="1"/>
  <c r="AI24" i="149" s="1"/>
  <c r="AJ20" i="149"/>
  <c r="AK20" i="149"/>
  <c r="AK22" i="149" s="1"/>
  <c r="AK24" i="149" s="1"/>
  <c r="AL20" i="149"/>
  <c r="AM20" i="149"/>
  <c r="AM22" i="149" s="1"/>
  <c r="AM24" i="149" s="1"/>
  <c r="AN20" i="149"/>
  <c r="AO20" i="149"/>
  <c r="AO22" i="149" s="1"/>
  <c r="AO24" i="149" s="1"/>
  <c r="AP20" i="149"/>
  <c r="AQ20" i="149"/>
  <c r="AQ22" i="149" s="1"/>
  <c r="AQ24" i="149" s="1"/>
  <c r="AR20" i="149"/>
  <c r="W20" i="149"/>
  <c r="W22" i="149" s="1"/>
  <c r="W24" i="149" s="1"/>
  <c r="AE23" i="149"/>
  <c r="AC23" i="149"/>
  <c r="X23" i="149"/>
  <c r="V23" i="149"/>
  <c r="T23" i="149"/>
  <c r="R23" i="149"/>
  <c r="P23" i="149"/>
  <c r="N23" i="149"/>
  <c r="L23" i="149"/>
  <c r="J23" i="149"/>
  <c r="I23" i="149"/>
  <c r="H23" i="149"/>
  <c r="F23" i="149"/>
  <c r="E22" i="149"/>
  <c r="E24" i="149" s="1"/>
  <c r="AE21" i="149"/>
  <c r="AC21" i="149"/>
  <c r="X21" i="149"/>
  <c r="R21" i="149"/>
  <c r="H21" i="149"/>
  <c r="AR22" i="149"/>
  <c r="AR24" i="149" s="1"/>
  <c r="AP22" i="149"/>
  <c r="AP24" i="149" s="1"/>
  <c r="AN22" i="149"/>
  <c r="AN24" i="149" s="1"/>
  <c r="AL22" i="149"/>
  <c r="AL24" i="149" s="1"/>
  <c r="AJ22" i="149"/>
  <c r="AJ24" i="149" s="1"/>
  <c r="AH22" i="149"/>
  <c r="AH24" i="149" s="1"/>
  <c r="AF22" i="149"/>
  <c r="AF24" i="149" s="1"/>
  <c r="AD22" i="149"/>
  <c r="AD24" i="149" s="1"/>
  <c r="AB22" i="149"/>
  <c r="AB24" i="149" s="1"/>
  <c r="Z22" i="149"/>
  <c r="Z24" i="149" s="1"/>
  <c r="X22" i="149"/>
  <c r="V20" i="149"/>
  <c r="V22" i="149" s="1"/>
  <c r="V24" i="149" s="1"/>
  <c r="U20" i="149"/>
  <c r="U22" i="149" s="1"/>
  <c r="U24" i="149" s="1"/>
  <c r="T20" i="149"/>
  <c r="T22" i="149" s="1"/>
  <c r="T24" i="149" s="1"/>
  <c r="S20" i="149"/>
  <c r="S22" i="149" s="1"/>
  <c r="S24" i="149" s="1"/>
  <c r="R20" i="149"/>
  <c r="R22" i="149" s="1"/>
  <c r="R24" i="149" s="1"/>
  <c r="Q20" i="149"/>
  <c r="Q22" i="149" s="1"/>
  <c r="Q24" i="149" s="1"/>
  <c r="P20" i="149"/>
  <c r="P22" i="149" s="1"/>
  <c r="P24" i="149" s="1"/>
  <c r="O20" i="149"/>
  <c r="O22" i="149" s="1"/>
  <c r="O24" i="149" s="1"/>
  <c r="N20" i="149"/>
  <c r="N22" i="149" s="1"/>
  <c r="N24" i="149" s="1"/>
  <c r="M20" i="149"/>
  <c r="M22" i="149" s="1"/>
  <c r="M24" i="149" s="1"/>
  <c r="L20" i="149"/>
  <c r="L22" i="149" s="1"/>
  <c r="L24" i="149" s="1"/>
  <c r="K20" i="149"/>
  <c r="K22" i="149" s="1"/>
  <c r="K24" i="149" s="1"/>
  <c r="J20" i="149"/>
  <c r="J22" i="149" s="1"/>
  <c r="J24" i="149" s="1"/>
  <c r="I20" i="149"/>
  <c r="I22" i="149" s="1"/>
  <c r="I24" i="149" s="1"/>
  <c r="H20" i="149"/>
  <c r="H22" i="149" s="1"/>
  <c r="H24" i="149" s="1"/>
  <c r="G20" i="149"/>
  <c r="G22" i="149" s="1"/>
  <c r="G24" i="149" s="1"/>
  <c r="F20" i="149"/>
  <c r="F22" i="149" s="1"/>
  <c r="F24" i="149" s="1"/>
  <c r="AE24" i="149" l="1"/>
  <c r="AC22" i="149"/>
  <c r="AC24" i="149" s="1"/>
  <c r="X24" i="149"/>
  <c r="X20" i="148"/>
  <c r="Y20" i="148"/>
  <c r="Z20" i="148"/>
  <c r="AA20" i="148"/>
  <c r="AB20" i="148"/>
  <c r="AC20" i="148"/>
  <c r="AD20" i="148"/>
  <c r="AE20" i="148"/>
  <c r="AE22" i="148" s="1"/>
  <c r="AE24" i="148" s="1"/>
  <c r="AF20" i="148"/>
  <c r="AG20" i="148"/>
  <c r="AH20" i="148"/>
  <c r="AI20" i="148"/>
  <c r="AI22" i="148" s="1"/>
  <c r="AI24" i="148" s="1"/>
  <c r="AJ20" i="148"/>
  <c r="AK20" i="148"/>
  <c r="AL20" i="148"/>
  <c r="AM20" i="148"/>
  <c r="AM22" i="148" s="1"/>
  <c r="AM24" i="148" s="1"/>
  <c r="AN20" i="148"/>
  <c r="AO20" i="148"/>
  <c r="AP20" i="148"/>
  <c r="AP22" i="148" s="1"/>
  <c r="AP24" i="148" s="1"/>
  <c r="AQ20" i="148"/>
  <c r="AR20" i="148"/>
  <c r="W20" i="148"/>
  <c r="W22" i="148" s="1"/>
  <c r="W24" i="148" s="1"/>
  <c r="AE23" i="148"/>
  <c r="AC23" i="148"/>
  <c r="X23" i="148"/>
  <c r="V23" i="148"/>
  <c r="T23" i="148"/>
  <c r="R23" i="148"/>
  <c r="P23" i="148"/>
  <c r="N23" i="148"/>
  <c r="L23" i="148"/>
  <c r="J23" i="148"/>
  <c r="I23" i="148"/>
  <c r="H23" i="148"/>
  <c r="F23" i="148"/>
  <c r="AO22" i="148"/>
  <c r="AO24" i="148" s="1"/>
  <c r="AK22" i="148"/>
  <c r="AK24" i="148" s="1"/>
  <c r="AG22" i="148"/>
  <c r="AG24" i="148" s="1"/>
  <c r="AC22" i="148"/>
  <c r="Y22" i="148"/>
  <c r="Y24" i="148" s="1"/>
  <c r="U22" i="148"/>
  <c r="U24" i="148" s="1"/>
  <c r="Q22" i="148"/>
  <c r="Q24" i="148" s="1"/>
  <c r="M22" i="148"/>
  <c r="M24" i="148" s="1"/>
  <c r="I22" i="148"/>
  <c r="I24" i="148" s="1"/>
  <c r="E22" i="148"/>
  <c r="E24" i="148" s="1"/>
  <c r="AE21" i="148"/>
  <c r="AC21" i="148"/>
  <c r="X21" i="148"/>
  <c r="R21" i="148"/>
  <c r="H21" i="148"/>
  <c r="AR22" i="148"/>
  <c r="AR24" i="148" s="1"/>
  <c r="AQ22" i="148"/>
  <c r="AQ24" i="148" s="1"/>
  <c r="AN22" i="148"/>
  <c r="AN24" i="148" s="1"/>
  <c r="AL22" i="148"/>
  <c r="AL24" i="148" s="1"/>
  <c r="AJ22" i="148"/>
  <c r="AJ24" i="148" s="1"/>
  <c r="AH22" i="148"/>
  <c r="AH24" i="148" s="1"/>
  <c r="AF22" i="148"/>
  <c r="AF24" i="148" s="1"/>
  <c r="AD22" i="148"/>
  <c r="AD24" i="148" s="1"/>
  <c r="AB22" i="148"/>
  <c r="AB24" i="148" s="1"/>
  <c r="AA22" i="148"/>
  <c r="AA24" i="148" s="1"/>
  <c r="Z22" i="148"/>
  <c r="Z24" i="148" s="1"/>
  <c r="X22" i="148"/>
  <c r="V20" i="148"/>
  <c r="V22" i="148" s="1"/>
  <c r="V24" i="148" s="1"/>
  <c r="U20" i="148"/>
  <c r="T20" i="148"/>
  <c r="T22" i="148" s="1"/>
  <c r="T24" i="148" s="1"/>
  <c r="S20" i="148"/>
  <c r="S22" i="148" s="1"/>
  <c r="S24" i="148" s="1"/>
  <c r="R20" i="148"/>
  <c r="R22" i="148" s="1"/>
  <c r="R24" i="148" s="1"/>
  <c r="Q20" i="148"/>
  <c r="P20" i="148"/>
  <c r="P22" i="148" s="1"/>
  <c r="P24" i="148" s="1"/>
  <c r="O20" i="148"/>
  <c r="O22" i="148" s="1"/>
  <c r="O24" i="148" s="1"/>
  <c r="N20" i="148"/>
  <c r="N22" i="148" s="1"/>
  <c r="N24" i="148" s="1"/>
  <c r="M20" i="148"/>
  <c r="L20" i="148"/>
  <c r="L22" i="148" s="1"/>
  <c r="L24" i="148" s="1"/>
  <c r="K20" i="148"/>
  <c r="K22" i="148" s="1"/>
  <c r="K24" i="148" s="1"/>
  <c r="J20" i="148"/>
  <c r="J22" i="148" s="1"/>
  <c r="J24" i="148" s="1"/>
  <c r="I20" i="148"/>
  <c r="H20" i="148"/>
  <c r="H22" i="148" s="1"/>
  <c r="H24" i="148" s="1"/>
  <c r="G20" i="148"/>
  <c r="G22" i="148" s="1"/>
  <c r="G24" i="148" s="1"/>
  <c r="F20" i="148"/>
  <c r="F22" i="148" s="1"/>
  <c r="F24" i="148" s="1"/>
  <c r="AC24" i="148" l="1"/>
  <c r="X24" i="148"/>
  <c r="X20" i="147"/>
  <c r="Y20" i="147"/>
  <c r="Z20" i="147"/>
  <c r="AA20" i="147"/>
  <c r="AA22" i="147" s="1"/>
  <c r="AA24" i="147" s="1"/>
  <c r="AB20" i="147"/>
  <c r="AC20" i="147"/>
  <c r="AD20" i="147"/>
  <c r="AE20" i="147"/>
  <c r="AE22" i="147" s="1"/>
  <c r="AF20" i="147"/>
  <c r="AG20" i="147"/>
  <c r="AH20" i="147"/>
  <c r="AI20" i="147"/>
  <c r="AI22" i="147" s="1"/>
  <c r="AI24" i="147" s="1"/>
  <c r="AJ20" i="147"/>
  <c r="AK20" i="147"/>
  <c r="AL20" i="147"/>
  <c r="AM20" i="147"/>
  <c r="AM22" i="147" s="1"/>
  <c r="AM24" i="147" s="1"/>
  <c r="AN20" i="147"/>
  <c r="AO20" i="147"/>
  <c r="AP20" i="147"/>
  <c r="AQ20" i="147"/>
  <c r="AQ22" i="147" s="1"/>
  <c r="AQ24" i="147" s="1"/>
  <c r="AR20" i="147"/>
  <c r="W20" i="147"/>
  <c r="E24" i="147"/>
  <c r="AE23" i="147"/>
  <c r="AC23" i="147"/>
  <c r="X23" i="147"/>
  <c r="V23" i="147"/>
  <c r="T23" i="147"/>
  <c r="R23" i="147"/>
  <c r="P23" i="147"/>
  <c r="N23" i="147"/>
  <c r="L23" i="147"/>
  <c r="J23" i="147"/>
  <c r="I23" i="147"/>
  <c r="H23" i="147"/>
  <c r="F23" i="147"/>
  <c r="AR22" i="147"/>
  <c r="AR24" i="147" s="1"/>
  <c r="AP22" i="147"/>
  <c r="AP24" i="147" s="1"/>
  <c r="AN22" i="147"/>
  <c r="AN24" i="147" s="1"/>
  <c r="AL22" i="147"/>
  <c r="AL24" i="147" s="1"/>
  <c r="AJ22" i="147"/>
  <c r="AJ24" i="147" s="1"/>
  <c r="AH22" i="147"/>
  <c r="AH24" i="147" s="1"/>
  <c r="AF22" i="147"/>
  <c r="AF24" i="147" s="1"/>
  <c r="AD22" i="147"/>
  <c r="AD24" i="147" s="1"/>
  <c r="AB22" i="147"/>
  <c r="AB24" i="147" s="1"/>
  <c r="Z22" i="147"/>
  <c r="Z24" i="147" s="1"/>
  <c r="V22" i="147"/>
  <c r="V24" i="147" s="1"/>
  <c r="T22" i="147"/>
  <c r="T24" i="147" s="1"/>
  <c r="R22" i="147"/>
  <c r="R24" i="147" s="1"/>
  <c r="P22" i="147"/>
  <c r="P24" i="147" s="1"/>
  <c r="N22" i="147"/>
  <c r="N24" i="147" s="1"/>
  <c r="L22" i="147"/>
  <c r="L24" i="147" s="1"/>
  <c r="J22" i="147"/>
  <c r="J24" i="147" s="1"/>
  <c r="F22" i="147"/>
  <c r="F24" i="147" s="1"/>
  <c r="E22" i="147"/>
  <c r="AE21" i="147"/>
  <c r="AC21" i="147"/>
  <c r="X21" i="147"/>
  <c r="X22" i="147" s="1"/>
  <c r="X24" i="147" s="1"/>
  <c r="R21" i="147"/>
  <c r="H21" i="147"/>
  <c r="H22" i="147" s="1"/>
  <c r="H24" i="147" s="1"/>
  <c r="AO22" i="147"/>
  <c r="AO24" i="147" s="1"/>
  <c r="AK22" i="147"/>
  <c r="AK24" i="147" s="1"/>
  <c r="AG22" i="147"/>
  <c r="AG24" i="147" s="1"/>
  <c r="AC22" i="147"/>
  <c r="Y22" i="147"/>
  <c r="Y24" i="147" s="1"/>
  <c r="W22" i="147"/>
  <c r="W24" i="147" s="1"/>
  <c r="V20" i="147"/>
  <c r="U20" i="147"/>
  <c r="U22" i="147" s="1"/>
  <c r="U24" i="147" s="1"/>
  <c r="T20" i="147"/>
  <c r="S20" i="147"/>
  <c r="S22" i="147" s="1"/>
  <c r="S24" i="147" s="1"/>
  <c r="R20" i="147"/>
  <c r="Q20" i="147"/>
  <c r="Q22" i="147" s="1"/>
  <c r="Q24" i="147" s="1"/>
  <c r="P20" i="147"/>
  <c r="O20" i="147"/>
  <c r="O22" i="147" s="1"/>
  <c r="O24" i="147" s="1"/>
  <c r="N20" i="147"/>
  <c r="M20" i="147"/>
  <c r="M22" i="147" s="1"/>
  <c r="M24" i="147" s="1"/>
  <c r="L20" i="147"/>
  <c r="K20" i="147"/>
  <c r="K22" i="147" s="1"/>
  <c r="K24" i="147" s="1"/>
  <c r="J20" i="147"/>
  <c r="I20" i="147"/>
  <c r="I22" i="147" s="1"/>
  <c r="I24" i="147" s="1"/>
  <c r="H20" i="147"/>
  <c r="G20" i="147"/>
  <c r="G22" i="147" s="1"/>
  <c r="G24" i="147" s="1"/>
  <c r="F20" i="147"/>
  <c r="AE24" i="147" l="1"/>
  <c r="AC24" i="147"/>
  <c r="X20" i="146"/>
  <c r="Y20" i="146"/>
  <c r="Z20" i="146"/>
  <c r="AA20" i="146"/>
  <c r="AB20" i="146"/>
  <c r="AC20" i="146"/>
  <c r="AD20" i="146"/>
  <c r="AE20" i="146"/>
  <c r="AF20" i="146"/>
  <c r="AG20" i="146"/>
  <c r="AH20" i="146"/>
  <c r="AI20" i="146"/>
  <c r="AI22" i="146" s="1"/>
  <c r="AI24" i="146" s="1"/>
  <c r="AJ20" i="146"/>
  <c r="AK20" i="146"/>
  <c r="AL20" i="146"/>
  <c r="AM20" i="146"/>
  <c r="AM22" i="146" s="1"/>
  <c r="AM24" i="146" s="1"/>
  <c r="AN20" i="146"/>
  <c r="AO20" i="146"/>
  <c r="AP20" i="146"/>
  <c r="AQ20" i="146"/>
  <c r="AQ22" i="146" s="1"/>
  <c r="AQ24" i="146" s="1"/>
  <c r="AR20" i="146"/>
  <c r="W20" i="146"/>
  <c r="W22" i="146" s="1"/>
  <c r="W24" i="146" s="1"/>
  <c r="S24" i="146"/>
  <c r="O24" i="146"/>
  <c r="K24" i="146"/>
  <c r="G24" i="146"/>
  <c r="AE23" i="146"/>
  <c r="AC23" i="146"/>
  <c r="X23" i="146"/>
  <c r="V23" i="146"/>
  <c r="T23" i="146"/>
  <c r="R23" i="146"/>
  <c r="P23" i="146"/>
  <c r="N23" i="146"/>
  <c r="L23" i="146"/>
  <c r="J23" i="146"/>
  <c r="I23" i="146"/>
  <c r="H23" i="146"/>
  <c r="F23" i="146"/>
  <c r="AR22" i="146"/>
  <c r="AR24" i="146" s="1"/>
  <c r="AN22" i="146"/>
  <c r="AN24" i="146" s="1"/>
  <c r="AJ22" i="146"/>
  <c r="AJ24" i="146" s="1"/>
  <c r="AF22" i="146"/>
  <c r="AF24" i="146" s="1"/>
  <c r="AB22" i="146"/>
  <c r="AB24" i="146" s="1"/>
  <c r="AA22" i="146"/>
  <c r="AA24" i="146" s="1"/>
  <c r="X22" i="146"/>
  <c r="T22" i="146"/>
  <c r="T24" i="146" s="1"/>
  <c r="S22" i="146"/>
  <c r="P22" i="146"/>
  <c r="P24" i="146" s="1"/>
  <c r="O22" i="146"/>
  <c r="L22" i="146"/>
  <c r="L24" i="146" s="1"/>
  <c r="K22" i="146"/>
  <c r="G22" i="146"/>
  <c r="E22" i="146"/>
  <c r="E24" i="146" s="1"/>
  <c r="AE21" i="146"/>
  <c r="AC21" i="146"/>
  <c r="X21" i="146"/>
  <c r="R21" i="146"/>
  <c r="H21" i="146"/>
  <c r="H22" i="146" s="1"/>
  <c r="H24" i="146" s="1"/>
  <c r="AP22" i="146"/>
  <c r="AP24" i="146" s="1"/>
  <c r="AO22" i="146"/>
  <c r="AO24" i="146" s="1"/>
  <c r="AL22" i="146"/>
  <c r="AL24" i="146" s="1"/>
  <c r="AK22" i="146"/>
  <c r="AK24" i="146" s="1"/>
  <c r="AH22" i="146"/>
  <c r="AH24" i="146" s="1"/>
  <c r="AG22" i="146"/>
  <c r="AG24" i="146" s="1"/>
  <c r="AD22" i="146"/>
  <c r="AD24" i="146" s="1"/>
  <c r="AC22" i="146"/>
  <c r="Z22" i="146"/>
  <c r="Z24" i="146" s="1"/>
  <c r="Y22" i="146"/>
  <c r="Y24" i="146" s="1"/>
  <c r="V20" i="146"/>
  <c r="V22" i="146" s="1"/>
  <c r="V24" i="146" s="1"/>
  <c r="U20" i="146"/>
  <c r="U22" i="146" s="1"/>
  <c r="U24" i="146" s="1"/>
  <c r="T20" i="146"/>
  <c r="S20" i="146"/>
  <c r="R20" i="146"/>
  <c r="R22" i="146" s="1"/>
  <c r="R24" i="146" s="1"/>
  <c r="Q20" i="146"/>
  <c r="Q22" i="146" s="1"/>
  <c r="Q24" i="146" s="1"/>
  <c r="P20" i="146"/>
  <c r="O20" i="146"/>
  <c r="N20" i="146"/>
  <c r="N22" i="146" s="1"/>
  <c r="N24" i="146" s="1"/>
  <c r="M20" i="146"/>
  <c r="M22" i="146" s="1"/>
  <c r="M24" i="146" s="1"/>
  <c r="L20" i="146"/>
  <c r="K20" i="146"/>
  <c r="J20" i="146"/>
  <c r="J22" i="146" s="1"/>
  <c r="J24" i="146" s="1"/>
  <c r="I20" i="146"/>
  <c r="I22" i="146" s="1"/>
  <c r="I24" i="146" s="1"/>
  <c r="H20" i="146"/>
  <c r="G20" i="146"/>
  <c r="F20" i="146"/>
  <c r="F22" i="146" s="1"/>
  <c r="F24" i="146" s="1"/>
  <c r="X24" i="146" l="1"/>
  <c r="AE22" i="146"/>
  <c r="AE24" i="146" s="1"/>
  <c r="AC24" i="146"/>
  <c r="X20" i="145"/>
  <c r="Y20" i="145"/>
  <c r="Z20" i="145"/>
  <c r="Z22" i="145" s="1"/>
  <c r="Z24" i="145" s="1"/>
  <c r="AA20" i="145"/>
  <c r="AA22" i="145" s="1"/>
  <c r="AA24" i="145" s="1"/>
  <c r="AB20" i="145"/>
  <c r="AC20" i="145"/>
  <c r="AD20" i="145"/>
  <c r="AE20" i="145"/>
  <c r="AE22" i="145" s="1"/>
  <c r="AF20" i="145"/>
  <c r="AG20" i="145"/>
  <c r="AH20" i="145"/>
  <c r="AI20" i="145"/>
  <c r="AJ20" i="145"/>
  <c r="AK20" i="145"/>
  <c r="AL20" i="145"/>
  <c r="AL22" i="145" s="1"/>
  <c r="AL24" i="145" s="1"/>
  <c r="AM20" i="145"/>
  <c r="AM22" i="145" s="1"/>
  <c r="AM24" i="145" s="1"/>
  <c r="AN20" i="145"/>
  <c r="AO20" i="145"/>
  <c r="AP20" i="145"/>
  <c r="AP22" i="145" s="1"/>
  <c r="AP24" i="145" s="1"/>
  <c r="AQ20" i="145"/>
  <c r="AQ22" i="145" s="1"/>
  <c r="AQ24" i="145" s="1"/>
  <c r="AR20" i="145"/>
  <c r="W20" i="145"/>
  <c r="E24" i="145"/>
  <c r="AE23" i="145"/>
  <c r="AC23" i="145"/>
  <c r="X23" i="145"/>
  <c r="V23" i="145"/>
  <c r="T23" i="145"/>
  <c r="R23" i="145"/>
  <c r="P23" i="145"/>
  <c r="N23" i="145"/>
  <c r="L23" i="145"/>
  <c r="J23" i="145"/>
  <c r="I23" i="145"/>
  <c r="H23" i="145"/>
  <c r="F23" i="145"/>
  <c r="AH22" i="145"/>
  <c r="AH24" i="145" s="1"/>
  <c r="AD22" i="145"/>
  <c r="AD24" i="145" s="1"/>
  <c r="V22" i="145"/>
  <c r="V24" i="145" s="1"/>
  <c r="R22" i="145"/>
  <c r="R24" i="145" s="1"/>
  <c r="N22" i="145"/>
  <c r="N24" i="145" s="1"/>
  <c r="J22" i="145"/>
  <c r="J24" i="145" s="1"/>
  <c r="F22" i="145"/>
  <c r="F24" i="145" s="1"/>
  <c r="E22" i="145"/>
  <c r="AE21" i="145"/>
  <c r="AC21" i="145"/>
  <c r="X21" i="145"/>
  <c r="R21" i="145"/>
  <c r="H21" i="145"/>
  <c r="AR22" i="145"/>
  <c r="AR24" i="145" s="1"/>
  <c r="AO22" i="145"/>
  <c r="AO24" i="145" s="1"/>
  <c r="AN22" i="145"/>
  <c r="AN24" i="145" s="1"/>
  <c r="AK22" i="145"/>
  <c r="AK24" i="145" s="1"/>
  <c r="AJ22" i="145"/>
  <c r="AJ24" i="145" s="1"/>
  <c r="AI22" i="145"/>
  <c r="AI24" i="145" s="1"/>
  <c r="AG22" i="145"/>
  <c r="AG24" i="145" s="1"/>
  <c r="AF22" i="145"/>
  <c r="AF24" i="145" s="1"/>
  <c r="AC22" i="145"/>
  <c r="AB22" i="145"/>
  <c r="AB24" i="145" s="1"/>
  <c r="Y22" i="145"/>
  <c r="Y24" i="145" s="1"/>
  <c r="X22" i="145"/>
  <c r="W22" i="145"/>
  <c r="W24" i="145" s="1"/>
  <c r="V20" i="145"/>
  <c r="U20" i="145"/>
  <c r="U22" i="145" s="1"/>
  <c r="U24" i="145" s="1"/>
  <c r="T20" i="145"/>
  <c r="T22" i="145" s="1"/>
  <c r="T24" i="145" s="1"/>
  <c r="S20" i="145"/>
  <c r="S22" i="145" s="1"/>
  <c r="S24" i="145" s="1"/>
  <c r="R20" i="145"/>
  <c r="Q20" i="145"/>
  <c r="Q22" i="145" s="1"/>
  <c r="Q24" i="145" s="1"/>
  <c r="P20" i="145"/>
  <c r="P22" i="145" s="1"/>
  <c r="P24" i="145" s="1"/>
  <c r="O20" i="145"/>
  <c r="O22" i="145" s="1"/>
  <c r="O24" i="145" s="1"/>
  <c r="N20" i="145"/>
  <c r="M20" i="145"/>
  <c r="M22" i="145" s="1"/>
  <c r="M24" i="145" s="1"/>
  <c r="L20" i="145"/>
  <c r="L22" i="145" s="1"/>
  <c r="L24" i="145" s="1"/>
  <c r="K20" i="145"/>
  <c r="K22" i="145" s="1"/>
  <c r="K24" i="145" s="1"/>
  <c r="J20" i="145"/>
  <c r="I20" i="145"/>
  <c r="I22" i="145" s="1"/>
  <c r="I24" i="145" s="1"/>
  <c r="H20" i="145"/>
  <c r="H22" i="145" s="1"/>
  <c r="H24" i="145" s="1"/>
  <c r="G20" i="145"/>
  <c r="G22" i="145" s="1"/>
  <c r="G24" i="145" s="1"/>
  <c r="F20" i="145"/>
  <c r="AE24" i="145" l="1"/>
  <c r="X24" i="145"/>
  <c r="AC24" i="145"/>
  <c r="X20" i="144"/>
  <c r="Y20" i="144"/>
  <c r="Z20" i="144"/>
  <c r="Z22" i="144" s="1"/>
  <c r="Z24" i="144" s="1"/>
  <c r="AA20" i="144"/>
  <c r="AA22" i="144" s="1"/>
  <c r="AA24" i="144" s="1"/>
  <c r="AB20" i="144"/>
  <c r="AC20" i="144"/>
  <c r="AD20" i="144"/>
  <c r="AE20" i="144"/>
  <c r="AE22" i="144" s="1"/>
  <c r="AF20" i="144"/>
  <c r="AG20" i="144"/>
  <c r="AH20" i="144"/>
  <c r="AI20" i="144"/>
  <c r="AJ20" i="144"/>
  <c r="AK20" i="144"/>
  <c r="AL20" i="144"/>
  <c r="AL22" i="144" s="1"/>
  <c r="AL24" i="144" s="1"/>
  <c r="AM20" i="144"/>
  <c r="AM22" i="144" s="1"/>
  <c r="AM24" i="144" s="1"/>
  <c r="AN20" i="144"/>
  <c r="AO20" i="144"/>
  <c r="AP20" i="144"/>
  <c r="AP22" i="144" s="1"/>
  <c r="AP24" i="144" s="1"/>
  <c r="AQ20" i="144"/>
  <c r="AQ22" i="144" s="1"/>
  <c r="AQ24" i="144" s="1"/>
  <c r="AR20" i="144"/>
  <c r="W20" i="144"/>
  <c r="E24" i="144"/>
  <c r="AE23" i="144"/>
  <c r="AC23" i="144"/>
  <c r="X23" i="144"/>
  <c r="V23" i="144"/>
  <c r="T23" i="144"/>
  <c r="R23" i="144"/>
  <c r="P23" i="144"/>
  <c r="N23" i="144"/>
  <c r="L23" i="144"/>
  <c r="J23" i="144"/>
  <c r="I23" i="144"/>
  <c r="H23" i="144"/>
  <c r="F23" i="144"/>
  <c r="AH22" i="144"/>
  <c r="AH24" i="144" s="1"/>
  <c r="AD22" i="144"/>
  <c r="AD24" i="144" s="1"/>
  <c r="V22" i="144"/>
  <c r="V24" i="144" s="1"/>
  <c r="R22" i="144"/>
  <c r="R24" i="144" s="1"/>
  <c r="N22" i="144"/>
  <c r="N24" i="144" s="1"/>
  <c r="J22" i="144"/>
  <c r="J24" i="144" s="1"/>
  <c r="F22" i="144"/>
  <c r="F24" i="144" s="1"/>
  <c r="E22" i="144"/>
  <c r="AE21" i="144"/>
  <c r="AC21" i="144"/>
  <c r="X21" i="144"/>
  <c r="R21" i="144"/>
  <c r="H21" i="144"/>
  <c r="AR22" i="144"/>
  <c r="AR24" i="144" s="1"/>
  <c r="AO22" i="144"/>
  <c r="AO24" i="144" s="1"/>
  <c r="AN22" i="144"/>
  <c r="AN24" i="144" s="1"/>
  <c r="AK22" i="144"/>
  <c r="AK24" i="144" s="1"/>
  <c r="AJ22" i="144"/>
  <c r="AJ24" i="144" s="1"/>
  <c r="AI22" i="144"/>
  <c r="AI24" i="144" s="1"/>
  <c r="AG22" i="144"/>
  <c r="AG24" i="144" s="1"/>
  <c r="AF22" i="144"/>
  <c r="AF24" i="144" s="1"/>
  <c r="AC22" i="144"/>
  <c r="AB22" i="144"/>
  <c r="AB24" i="144" s="1"/>
  <c r="Y22" i="144"/>
  <c r="Y24" i="144" s="1"/>
  <c r="X22" i="144"/>
  <c r="W22" i="144"/>
  <c r="W24" i="144" s="1"/>
  <c r="V20" i="144"/>
  <c r="U20" i="144"/>
  <c r="U22" i="144" s="1"/>
  <c r="U24" i="144" s="1"/>
  <c r="T20" i="144"/>
  <c r="T22" i="144" s="1"/>
  <c r="T24" i="144" s="1"/>
  <c r="S20" i="144"/>
  <c r="S22" i="144" s="1"/>
  <c r="S24" i="144" s="1"/>
  <c r="R20" i="144"/>
  <c r="Q20" i="144"/>
  <c r="Q22" i="144" s="1"/>
  <c r="Q24" i="144" s="1"/>
  <c r="P20" i="144"/>
  <c r="P22" i="144" s="1"/>
  <c r="P24" i="144" s="1"/>
  <c r="O20" i="144"/>
  <c r="O22" i="144" s="1"/>
  <c r="O24" i="144" s="1"/>
  <c r="N20" i="144"/>
  <c r="M20" i="144"/>
  <c r="M22" i="144" s="1"/>
  <c r="M24" i="144" s="1"/>
  <c r="L20" i="144"/>
  <c r="L22" i="144" s="1"/>
  <c r="L24" i="144" s="1"/>
  <c r="K20" i="144"/>
  <c r="K22" i="144" s="1"/>
  <c r="K24" i="144" s="1"/>
  <c r="J20" i="144"/>
  <c r="I20" i="144"/>
  <c r="I22" i="144" s="1"/>
  <c r="I24" i="144" s="1"/>
  <c r="H20" i="144"/>
  <c r="H22" i="144" s="1"/>
  <c r="H24" i="144" s="1"/>
  <c r="G20" i="144"/>
  <c r="G22" i="144" s="1"/>
  <c r="G24" i="144" s="1"/>
  <c r="F20" i="144"/>
  <c r="AE24" i="144" l="1"/>
  <c r="AC24" i="144"/>
  <c r="X24" i="144"/>
  <c r="X20" i="143"/>
  <c r="Y20" i="143"/>
  <c r="Z20" i="143"/>
  <c r="Z22" i="143" s="1"/>
  <c r="Z24" i="143" s="1"/>
  <c r="AA20" i="143"/>
  <c r="AA22" i="143" s="1"/>
  <c r="AA24" i="143" s="1"/>
  <c r="AB20" i="143"/>
  <c r="AC20" i="143"/>
  <c r="AD20" i="143"/>
  <c r="AE20" i="143"/>
  <c r="AE22" i="143" s="1"/>
  <c r="AF20" i="143"/>
  <c r="AG20" i="143"/>
  <c r="AH20" i="143"/>
  <c r="AH22" i="143" s="1"/>
  <c r="AH24" i="143" s="1"/>
  <c r="AI20" i="143"/>
  <c r="AI22" i="143" s="1"/>
  <c r="AI24" i="143" s="1"/>
  <c r="AJ20" i="143"/>
  <c r="AK20" i="143"/>
  <c r="AL20" i="143"/>
  <c r="AM20" i="143"/>
  <c r="AM22" i="143" s="1"/>
  <c r="AM24" i="143" s="1"/>
  <c r="AN20" i="143"/>
  <c r="AO20" i="143"/>
  <c r="AP20" i="143"/>
  <c r="AP22" i="143" s="1"/>
  <c r="AP24" i="143" s="1"/>
  <c r="AQ20" i="143"/>
  <c r="AQ22" i="143" s="1"/>
  <c r="AQ24" i="143" s="1"/>
  <c r="AR20" i="143"/>
  <c r="W20" i="143"/>
  <c r="E24" i="143"/>
  <c r="AE23" i="143"/>
  <c r="AC23" i="143"/>
  <c r="X23" i="143"/>
  <c r="V23" i="143"/>
  <c r="T23" i="143"/>
  <c r="R23" i="143"/>
  <c r="P23" i="143"/>
  <c r="N23" i="143"/>
  <c r="L23" i="143"/>
  <c r="J23" i="143"/>
  <c r="I23" i="143"/>
  <c r="H23" i="143"/>
  <c r="F23" i="143"/>
  <c r="AR22" i="143"/>
  <c r="AR24" i="143" s="1"/>
  <c r="AN22" i="143"/>
  <c r="AN24" i="143" s="1"/>
  <c r="AL22" i="143"/>
  <c r="AL24" i="143" s="1"/>
  <c r="AJ22" i="143"/>
  <c r="AJ24" i="143" s="1"/>
  <c r="AF22" i="143"/>
  <c r="AF24" i="143" s="1"/>
  <c r="AD22" i="143"/>
  <c r="AD24" i="143" s="1"/>
  <c r="AB22" i="143"/>
  <c r="AB24" i="143" s="1"/>
  <c r="V22" i="143"/>
  <c r="V24" i="143" s="1"/>
  <c r="T22" i="143"/>
  <c r="T24" i="143" s="1"/>
  <c r="P22" i="143"/>
  <c r="P24" i="143" s="1"/>
  <c r="L22" i="143"/>
  <c r="L24" i="143" s="1"/>
  <c r="E22" i="143"/>
  <c r="AE21" i="143"/>
  <c r="AC21" i="143"/>
  <c r="X21" i="143"/>
  <c r="X22" i="143" s="1"/>
  <c r="R21" i="143"/>
  <c r="H21" i="143"/>
  <c r="H22" i="143" s="1"/>
  <c r="H24" i="143" s="1"/>
  <c r="AO22" i="143"/>
  <c r="AO24" i="143" s="1"/>
  <c r="AK22" i="143"/>
  <c r="AK24" i="143" s="1"/>
  <c r="AG22" i="143"/>
  <c r="AG24" i="143" s="1"/>
  <c r="AC22" i="143"/>
  <c r="Y22" i="143"/>
  <c r="Y24" i="143" s="1"/>
  <c r="W22" i="143"/>
  <c r="W24" i="143" s="1"/>
  <c r="V20" i="143"/>
  <c r="U20" i="143"/>
  <c r="U22" i="143" s="1"/>
  <c r="U24" i="143" s="1"/>
  <c r="T20" i="143"/>
  <c r="S20" i="143"/>
  <c r="S22" i="143" s="1"/>
  <c r="S24" i="143" s="1"/>
  <c r="R20" i="143"/>
  <c r="R22" i="143" s="1"/>
  <c r="R24" i="143" s="1"/>
  <c r="Q20" i="143"/>
  <c r="Q22" i="143" s="1"/>
  <c r="Q24" i="143" s="1"/>
  <c r="P20" i="143"/>
  <c r="O20" i="143"/>
  <c r="O22" i="143" s="1"/>
  <c r="O24" i="143" s="1"/>
  <c r="N20" i="143"/>
  <c r="N22" i="143" s="1"/>
  <c r="N24" i="143" s="1"/>
  <c r="M20" i="143"/>
  <c r="M22" i="143" s="1"/>
  <c r="M24" i="143" s="1"/>
  <c r="L20" i="143"/>
  <c r="K20" i="143"/>
  <c r="K22" i="143" s="1"/>
  <c r="K24" i="143" s="1"/>
  <c r="J20" i="143"/>
  <c r="J22" i="143" s="1"/>
  <c r="J24" i="143" s="1"/>
  <c r="I20" i="143"/>
  <c r="I22" i="143" s="1"/>
  <c r="I24" i="143" s="1"/>
  <c r="H20" i="143"/>
  <c r="G20" i="143"/>
  <c r="G22" i="143" s="1"/>
  <c r="G24" i="143" s="1"/>
  <c r="F20" i="143"/>
  <c r="F22" i="143" s="1"/>
  <c r="F24" i="143" s="1"/>
  <c r="AE24" i="143" l="1"/>
  <c r="X24" i="143"/>
  <c r="AC24" i="143"/>
  <c r="X20" i="142"/>
  <c r="Y20" i="142"/>
  <c r="Z20" i="142"/>
  <c r="Z22" i="142" s="1"/>
  <c r="Z24" i="142" s="1"/>
  <c r="AA20" i="142"/>
  <c r="AB20" i="142"/>
  <c r="AC20" i="142"/>
  <c r="AD20" i="142"/>
  <c r="AD22" i="142" s="1"/>
  <c r="AD24" i="142" s="1"/>
  <c r="AE20" i="142"/>
  <c r="AE22" i="142" s="1"/>
  <c r="AE24" i="142" s="1"/>
  <c r="AF20" i="142"/>
  <c r="AG20" i="142"/>
  <c r="AH20" i="142"/>
  <c r="AI20" i="142"/>
  <c r="AI22" i="142" s="1"/>
  <c r="AI24" i="142" s="1"/>
  <c r="AJ20" i="142"/>
  <c r="AK20" i="142"/>
  <c r="AL20" i="142"/>
  <c r="AM20" i="142"/>
  <c r="AM22" i="142" s="1"/>
  <c r="AM24" i="142" s="1"/>
  <c r="AN20" i="142"/>
  <c r="AO20" i="142"/>
  <c r="AP20" i="142"/>
  <c r="AP22" i="142" s="1"/>
  <c r="AP24" i="142" s="1"/>
  <c r="AQ20" i="142"/>
  <c r="AR20" i="142"/>
  <c r="W20" i="142"/>
  <c r="AE23" i="142"/>
  <c r="AC23" i="142"/>
  <c r="X23" i="142"/>
  <c r="V23" i="142"/>
  <c r="T23" i="142"/>
  <c r="R23" i="142"/>
  <c r="P23" i="142"/>
  <c r="N23" i="142"/>
  <c r="L23" i="142"/>
  <c r="J23" i="142"/>
  <c r="I23" i="142"/>
  <c r="H23" i="142"/>
  <c r="F23" i="142"/>
  <c r="AO22" i="142"/>
  <c r="AO24" i="142" s="1"/>
  <c r="AK22" i="142"/>
  <c r="AK24" i="142" s="1"/>
  <c r="AG22" i="142"/>
  <c r="AG24" i="142" s="1"/>
  <c r="Y22" i="142"/>
  <c r="Y24" i="142" s="1"/>
  <c r="U22" i="142"/>
  <c r="U24" i="142" s="1"/>
  <c r="Q22" i="142"/>
  <c r="Q24" i="142" s="1"/>
  <c r="M22" i="142"/>
  <c r="M24" i="142" s="1"/>
  <c r="I22" i="142"/>
  <c r="I24" i="142" s="1"/>
  <c r="E22" i="142"/>
  <c r="E24" i="142" s="1"/>
  <c r="AE21" i="142"/>
  <c r="AC21" i="142"/>
  <c r="AC22" i="142" s="1"/>
  <c r="X21" i="142"/>
  <c r="R21" i="142"/>
  <c r="H21" i="142"/>
  <c r="AR22" i="142"/>
  <c r="AR24" i="142" s="1"/>
  <c r="AQ22" i="142"/>
  <c r="AQ24" i="142" s="1"/>
  <c r="AN22" i="142"/>
  <c r="AN24" i="142" s="1"/>
  <c r="AL22" i="142"/>
  <c r="AL24" i="142" s="1"/>
  <c r="AJ22" i="142"/>
  <c r="AJ24" i="142" s="1"/>
  <c r="AH22" i="142"/>
  <c r="AH24" i="142" s="1"/>
  <c r="AF22" i="142"/>
  <c r="AF24" i="142" s="1"/>
  <c r="AB22" i="142"/>
  <c r="AB24" i="142" s="1"/>
  <c r="AA22" i="142"/>
  <c r="AA24" i="142" s="1"/>
  <c r="X22" i="142"/>
  <c r="W22" i="142"/>
  <c r="W24" i="142" s="1"/>
  <c r="V20" i="142"/>
  <c r="V22" i="142" s="1"/>
  <c r="V24" i="142" s="1"/>
  <c r="U20" i="142"/>
  <c r="T20" i="142"/>
  <c r="T22" i="142" s="1"/>
  <c r="T24" i="142" s="1"/>
  <c r="S20" i="142"/>
  <c r="S22" i="142" s="1"/>
  <c r="S24" i="142" s="1"/>
  <c r="R20" i="142"/>
  <c r="R22" i="142" s="1"/>
  <c r="R24" i="142" s="1"/>
  <c r="Q20" i="142"/>
  <c r="P20" i="142"/>
  <c r="P22" i="142" s="1"/>
  <c r="P24" i="142" s="1"/>
  <c r="O20" i="142"/>
  <c r="O22" i="142" s="1"/>
  <c r="O24" i="142" s="1"/>
  <c r="N20" i="142"/>
  <c r="N22" i="142" s="1"/>
  <c r="N24" i="142" s="1"/>
  <c r="M20" i="142"/>
  <c r="L20" i="142"/>
  <c r="L22" i="142" s="1"/>
  <c r="L24" i="142" s="1"/>
  <c r="K20" i="142"/>
  <c r="K22" i="142" s="1"/>
  <c r="K24" i="142" s="1"/>
  <c r="J20" i="142"/>
  <c r="J22" i="142" s="1"/>
  <c r="J24" i="142" s="1"/>
  <c r="I20" i="142"/>
  <c r="H20" i="142"/>
  <c r="H22" i="142" s="1"/>
  <c r="H24" i="142" s="1"/>
  <c r="G20" i="142"/>
  <c r="G22" i="142" s="1"/>
  <c r="G24" i="142" s="1"/>
  <c r="F20" i="142"/>
  <c r="F22" i="142" s="1"/>
  <c r="F24" i="142" s="1"/>
  <c r="X24" i="142" l="1"/>
  <c r="AC24" i="142"/>
  <c r="X20" i="141" l="1"/>
  <c r="Y20" i="141"/>
  <c r="Y22" i="141" s="1"/>
  <c r="Y24" i="141" s="1"/>
  <c r="Z20" i="141"/>
  <c r="AA20" i="141"/>
  <c r="AA22" i="141" s="1"/>
  <c r="AA24" i="141" s="1"/>
  <c r="AB20" i="141"/>
  <c r="AB22" i="141" s="1"/>
  <c r="AB24" i="141" s="1"/>
  <c r="AC20" i="141"/>
  <c r="AD20" i="141"/>
  <c r="AE20" i="141"/>
  <c r="AF20" i="141"/>
  <c r="AF22" i="141" s="1"/>
  <c r="AF24" i="141" s="1"/>
  <c r="AG20" i="141"/>
  <c r="AG22" i="141" s="1"/>
  <c r="AG24" i="141" s="1"/>
  <c r="AH20" i="141"/>
  <c r="AI20" i="141"/>
  <c r="AJ20" i="141"/>
  <c r="AK20" i="141"/>
  <c r="AK22" i="141" s="1"/>
  <c r="AK24" i="141" s="1"/>
  <c r="AL20" i="141"/>
  <c r="AM20" i="141"/>
  <c r="AN20" i="141"/>
  <c r="AO20" i="141"/>
  <c r="AO22" i="141" s="1"/>
  <c r="AO24" i="141" s="1"/>
  <c r="AP20" i="141"/>
  <c r="AQ20" i="141"/>
  <c r="AQ22" i="141" s="1"/>
  <c r="AQ24" i="141" s="1"/>
  <c r="AR20" i="141"/>
  <c r="AR22" i="141" s="1"/>
  <c r="AR24" i="141" s="1"/>
  <c r="W20" i="141"/>
  <c r="AE23" i="141"/>
  <c r="AC23" i="141"/>
  <c r="X23" i="141"/>
  <c r="V23" i="141"/>
  <c r="T23" i="141"/>
  <c r="R23" i="141"/>
  <c r="P23" i="141"/>
  <c r="N23" i="141"/>
  <c r="L23" i="141"/>
  <c r="J23" i="141"/>
  <c r="I23" i="141"/>
  <c r="H23" i="141"/>
  <c r="F23" i="141"/>
  <c r="AN22" i="141"/>
  <c r="AN24" i="141" s="1"/>
  <c r="AJ22" i="141"/>
  <c r="AJ24" i="141" s="1"/>
  <c r="X22" i="141"/>
  <c r="X24" i="141" s="1"/>
  <c r="T22" i="141"/>
  <c r="T24" i="141" s="1"/>
  <c r="P22" i="141"/>
  <c r="P24" i="141" s="1"/>
  <c r="L22" i="141"/>
  <c r="L24" i="141" s="1"/>
  <c r="E22" i="141"/>
  <c r="E24" i="141" s="1"/>
  <c r="AE21" i="141"/>
  <c r="AC21" i="141"/>
  <c r="X21" i="141"/>
  <c r="R21" i="141"/>
  <c r="H21" i="141"/>
  <c r="H22" i="141" s="1"/>
  <c r="H24" i="141" s="1"/>
  <c r="AP22" i="141"/>
  <c r="AP24" i="141" s="1"/>
  <c r="AM22" i="141"/>
  <c r="AM24" i="141" s="1"/>
  <c r="AL22" i="141"/>
  <c r="AL24" i="141" s="1"/>
  <c r="AI22" i="141"/>
  <c r="AI24" i="141" s="1"/>
  <c r="AH22" i="141"/>
  <c r="AH24" i="141" s="1"/>
  <c r="AE22" i="141"/>
  <c r="AD22" i="141"/>
  <c r="AD24" i="141" s="1"/>
  <c r="AC22" i="141"/>
  <c r="Z22" i="141"/>
  <c r="Z24" i="141" s="1"/>
  <c r="W22" i="141"/>
  <c r="W24" i="141" s="1"/>
  <c r="V20" i="141"/>
  <c r="V22" i="141" s="1"/>
  <c r="V24" i="141" s="1"/>
  <c r="U20" i="141"/>
  <c r="U22" i="141" s="1"/>
  <c r="U24" i="141" s="1"/>
  <c r="T20" i="141"/>
  <c r="S20" i="141"/>
  <c r="S22" i="141" s="1"/>
  <c r="S24" i="141" s="1"/>
  <c r="R20" i="141"/>
  <c r="R22" i="141" s="1"/>
  <c r="R24" i="141" s="1"/>
  <c r="Q20" i="141"/>
  <c r="Q22" i="141" s="1"/>
  <c r="Q24" i="141" s="1"/>
  <c r="P20" i="141"/>
  <c r="O20" i="141"/>
  <c r="O22" i="141" s="1"/>
  <c r="O24" i="141" s="1"/>
  <c r="N20" i="141"/>
  <c r="N22" i="141" s="1"/>
  <c r="N24" i="141" s="1"/>
  <c r="M20" i="141"/>
  <c r="M22" i="141" s="1"/>
  <c r="M24" i="141" s="1"/>
  <c r="L20" i="141"/>
  <c r="K20" i="141"/>
  <c r="K22" i="141" s="1"/>
  <c r="K24" i="141" s="1"/>
  <c r="J20" i="141"/>
  <c r="J22" i="141" s="1"/>
  <c r="J24" i="141" s="1"/>
  <c r="I20" i="141"/>
  <c r="I22" i="141" s="1"/>
  <c r="I24" i="141" s="1"/>
  <c r="H20" i="141"/>
  <c r="G20" i="141"/>
  <c r="G22" i="141" s="1"/>
  <c r="G24" i="141" s="1"/>
  <c r="F20" i="141"/>
  <c r="F22" i="141" s="1"/>
  <c r="F24" i="141" s="1"/>
  <c r="AE24" i="141" l="1"/>
  <c r="AC24" i="141"/>
  <c r="X20" i="140"/>
  <c r="Y20" i="140"/>
  <c r="Z20" i="140"/>
  <c r="Z22" i="140" s="1"/>
  <c r="Z24" i="140" s="1"/>
  <c r="AA20" i="140"/>
  <c r="AA22" i="140" s="1"/>
  <c r="AA24" i="140" s="1"/>
  <c r="AB20" i="140"/>
  <c r="AC20" i="140"/>
  <c r="AD20" i="140"/>
  <c r="AE20" i="140"/>
  <c r="AE22" i="140" s="1"/>
  <c r="AF20" i="140"/>
  <c r="AG20" i="140"/>
  <c r="AH20" i="140"/>
  <c r="AI20" i="140"/>
  <c r="AI22" i="140" s="1"/>
  <c r="AI24" i="140" s="1"/>
  <c r="AJ20" i="140"/>
  <c r="AK20" i="140"/>
  <c r="AK22" i="140" s="1"/>
  <c r="AK24" i="140" s="1"/>
  <c r="AL20" i="140"/>
  <c r="AL22" i="140" s="1"/>
  <c r="AL24" i="140" s="1"/>
  <c r="AM20" i="140"/>
  <c r="AN20" i="140"/>
  <c r="AO20" i="140"/>
  <c r="AP20" i="140"/>
  <c r="AP22" i="140" s="1"/>
  <c r="AP24" i="140" s="1"/>
  <c r="AQ20" i="140"/>
  <c r="AQ22" i="140" s="1"/>
  <c r="AQ24" i="140" s="1"/>
  <c r="AR20" i="140"/>
  <c r="W20" i="140"/>
  <c r="W22" i="140" s="1"/>
  <c r="W24" i="140" s="1"/>
  <c r="E24" i="140"/>
  <c r="AE23" i="140"/>
  <c r="AC23" i="140"/>
  <c r="X23" i="140"/>
  <c r="V23" i="140"/>
  <c r="T23" i="140"/>
  <c r="R23" i="140"/>
  <c r="P23" i="140"/>
  <c r="N23" i="140"/>
  <c r="L23" i="140"/>
  <c r="J23" i="140"/>
  <c r="I23" i="140"/>
  <c r="H23" i="140"/>
  <c r="F23" i="140"/>
  <c r="AH22" i="140"/>
  <c r="AH24" i="140" s="1"/>
  <c r="AD22" i="140"/>
  <c r="AD24" i="140" s="1"/>
  <c r="V22" i="140"/>
  <c r="V24" i="140" s="1"/>
  <c r="R22" i="140"/>
  <c r="R24" i="140" s="1"/>
  <c r="N22" i="140"/>
  <c r="N24" i="140" s="1"/>
  <c r="J22" i="140"/>
  <c r="J24" i="140" s="1"/>
  <c r="E22" i="140"/>
  <c r="AE21" i="140"/>
  <c r="AC21" i="140"/>
  <c r="X21" i="140"/>
  <c r="R21" i="140"/>
  <c r="H21" i="140"/>
  <c r="AR22" i="140"/>
  <c r="AR24" i="140" s="1"/>
  <c r="AO22" i="140"/>
  <c r="AO24" i="140" s="1"/>
  <c r="AN22" i="140"/>
  <c r="AN24" i="140" s="1"/>
  <c r="AM22" i="140"/>
  <c r="AM24" i="140" s="1"/>
  <c r="AJ22" i="140"/>
  <c r="AJ24" i="140" s="1"/>
  <c r="AG22" i="140"/>
  <c r="AG24" i="140" s="1"/>
  <c r="AF22" i="140"/>
  <c r="AF24" i="140" s="1"/>
  <c r="AC22" i="140"/>
  <c r="AB22" i="140"/>
  <c r="AB24" i="140" s="1"/>
  <c r="Y22" i="140"/>
  <c r="Y24" i="140" s="1"/>
  <c r="X22" i="140"/>
  <c r="X24" i="140" s="1"/>
  <c r="V20" i="140"/>
  <c r="U20" i="140"/>
  <c r="U22" i="140" s="1"/>
  <c r="U24" i="140" s="1"/>
  <c r="T20" i="140"/>
  <c r="T22" i="140" s="1"/>
  <c r="T24" i="140" s="1"/>
  <c r="S20" i="140"/>
  <c r="S22" i="140" s="1"/>
  <c r="S24" i="140" s="1"/>
  <c r="R20" i="140"/>
  <c r="Q20" i="140"/>
  <c r="Q22" i="140" s="1"/>
  <c r="Q24" i="140" s="1"/>
  <c r="P20" i="140"/>
  <c r="P22" i="140" s="1"/>
  <c r="P24" i="140" s="1"/>
  <c r="O20" i="140"/>
  <c r="O22" i="140" s="1"/>
  <c r="O24" i="140" s="1"/>
  <c r="N20" i="140"/>
  <c r="M20" i="140"/>
  <c r="M22" i="140" s="1"/>
  <c r="M24" i="140" s="1"/>
  <c r="L20" i="140"/>
  <c r="L22" i="140" s="1"/>
  <c r="L24" i="140" s="1"/>
  <c r="K20" i="140"/>
  <c r="K22" i="140" s="1"/>
  <c r="K24" i="140" s="1"/>
  <c r="J20" i="140"/>
  <c r="I20" i="140"/>
  <c r="I22" i="140" s="1"/>
  <c r="I24" i="140" s="1"/>
  <c r="H20" i="140"/>
  <c r="H22" i="140" s="1"/>
  <c r="H24" i="140" s="1"/>
  <c r="G20" i="140"/>
  <c r="G22" i="140" s="1"/>
  <c r="G24" i="140" s="1"/>
  <c r="F20" i="140"/>
  <c r="F22" i="140" s="1"/>
  <c r="F24" i="140" s="1"/>
  <c r="AC24" i="140" l="1"/>
  <c r="AE24" i="140"/>
  <c r="X20" i="139"/>
  <c r="Y20" i="139"/>
  <c r="Z20" i="139"/>
  <c r="Z22" i="139" s="1"/>
  <c r="Z24" i="139" s="1"/>
  <c r="AA20" i="139"/>
  <c r="AB20" i="139"/>
  <c r="AC20" i="139"/>
  <c r="AD20" i="139"/>
  <c r="AD22" i="139" s="1"/>
  <c r="AD24" i="139" s="1"/>
  <c r="AE20" i="139"/>
  <c r="AE22" i="139" s="1"/>
  <c r="AF20" i="139"/>
  <c r="AG20" i="139"/>
  <c r="AH20" i="139"/>
  <c r="AI20" i="139"/>
  <c r="AI22" i="139" s="1"/>
  <c r="AI24" i="139" s="1"/>
  <c r="AJ20" i="139"/>
  <c r="AK20" i="139"/>
  <c r="AL20" i="139"/>
  <c r="AM20" i="139"/>
  <c r="AM22" i="139" s="1"/>
  <c r="AM24" i="139" s="1"/>
  <c r="AN20" i="139"/>
  <c r="AO20" i="139"/>
  <c r="AP20" i="139"/>
  <c r="AP22" i="139" s="1"/>
  <c r="AP24" i="139" s="1"/>
  <c r="AQ20" i="139"/>
  <c r="AR20" i="139"/>
  <c r="W20" i="139"/>
  <c r="W22" i="139" s="1"/>
  <c r="W24" i="139" s="1"/>
  <c r="AE23" i="139"/>
  <c r="AC23" i="139"/>
  <c r="X23" i="139"/>
  <c r="V23" i="139"/>
  <c r="T23" i="139"/>
  <c r="R23" i="139"/>
  <c r="P23" i="139"/>
  <c r="N23" i="139"/>
  <c r="L23" i="139"/>
  <c r="J23" i="139"/>
  <c r="I23" i="139"/>
  <c r="H23" i="139"/>
  <c r="F23" i="139"/>
  <c r="AR22" i="139"/>
  <c r="AR24" i="139" s="1"/>
  <c r="AN22" i="139"/>
  <c r="AN24" i="139" s="1"/>
  <c r="AJ22" i="139"/>
  <c r="AJ24" i="139" s="1"/>
  <c r="AF22" i="139"/>
  <c r="AF24" i="139" s="1"/>
  <c r="AB22" i="139"/>
  <c r="AB24" i="139" s="1"/>
  <c r="X22" i="139"/>
  <c r="X24" i="139" s="1"/>
  <c r="T22" i="139"/>
  <c r="T24" i="139" s="1"/>
  <c r="P22" i="139"/>
  <c r="P24" i="139" s="1"/>
  <c r="L22" i="139"/>
  <c r="L24" i="139" s="1"/>
  <c r="E22" i="139"/>
  <c r="E24" i="139" s="1"/>
  <c r="AE21" i="139"/>
  <c r="AC21" i="139"/>
  <c r="X21" i="139"/>
  <c r="R21" i="139"/>
  <c r="H21" i="139"/>
  <c r="H22" i="139" s="1"/>
  <c r="H24" i="139" s="1"/>
  <c r="AQ22" i="139"/>
  <c r="AQ24" i="139" s="1"/>
  <c r="AO22" i="139"/>
  <c r="AO24" i="139" s="1"/>
  <c r="AL22" i="139"/>
  <c r="AL24" i="139" s="1"/>
  <c r="AK22" i="139"/>
  <c r="AK24" i="139" s="1"/>
  <c r="AH22" i="139"/>
  <c r="AH24" i="139" s="1"/>
  <c r="AG22" i="139"/>
  <c r="AG24" i="139" s="1"/>
  <c r="AC22" i="139"/>
  <c r="AA22" i="139"/>
  <c r="AA24" i="139" s="1"/>
  <c r="Y22" i="139"/>
  <c r="Y24" i="139" s="1"/>
  <c r="V20" i="139"/>
  <c r="V22" i="139" s="1"/>
  <c r="V24" i="139" s="1"/>
  <c r="U20" i="139"/>
  <c r="U22" i="139" s="1"/>
  <c r="U24" i="139" s="1"/>
  <c r="T20" i="139"/>
  <c r="S20" i="139"/>
  <c r="S22" i="139" s="1"/>
  <c r="S24" i="139" s="1"/>
  <c r="R20" i="139"/>
  <c r="R22" i="139" s="1"/>
  <c r="R24" i="139" s="1"/>
  <c r="Q20" i="139"/>
  <c r="Q22" i="139" s="1"/>
  <c r="Q24" i="139" s="1"/>
  <c r="P20" i="139"/>
  <c r="O20" i="139"/>
  <c r="O22" i="139" s="1"/>
  <c r="O24" i="139" s="1"/>
  <c r="N20" i="139"/>
  <c r="N22" i="139" s="1"/>
  <c r="N24" i="139" s="1"/>
  <c r="M20" i="139"/>
  <c r="M22" i="139" s="1"/>
  <c r="M24" i="139" s="1"/>
  <c r="L20" i="139"/>
  <c r="K20" i="139"/>
  <c r="K22" i="139" s="1"/>
  <c r="K24" i="139" s="1"/>
  <c r="J20" i="139"/>
  <c r="J22" i="139" s="1"/>
  <c r="J24" i="139" s="1"/>
  <c r="I20" i="139"/>
  <c r="I22" i="139" s="1"/>
  <c r="I24" i="139" s="1"/>
  <c r="H20" i="139"/>
  <c r="G20" i="139"/>
  <c r="G22" i="139" s="1"/>
  <c r="G24" i="139" s="1"/>
  <c r="F20" i="139"/>
  <c r="F22" i="139" s="1"/>
  <c r="F24" i="139" s="1"/>
  <c r="AC24" i="139" l="1"/>
  <c r="AE24" i="139"/>
  <c r="X20" i="138"/>
  <c r="Y20" i="138"/>
  <c r="Y22" i="138" s="1"/>
  <c r="Y24" i="138" s="1"/>
  <c r="Z20" i="138"/>
  <c r="AA20" i="138"/>
  <c r="AA22" i="138" s="1"/>
  <c r="AA24" i="138" s="1"/>
  <c r="AB20" i="138"/>
  <c r="AC20" i="138"/>
  <c r="AD20" i="138"/>
  <c r="AE20" i="138"/>
  <c r="AE22" i="138" s="1"/>
  <c r="AF20" i="138"/>
  <c r="AG20" i="138"/>
  <c r="AH20" i="138"/>
  <c r="AI20" i="138"/>
  <c r="AI22" i="138" s="1"/>
  <c r="AI24" i="138" s="1"/>
  <c r="AJ20" i="138"/>
  <c r="AK20" i="138"/>
  <c r="AK22" i="138" s="1"/>
  <c r="AK24" i="138" s="1"/>
  <c r="AL20" i="138"/>
  <c r="AM20" i="138"/>
  <c r="AN20" i="138"/>
  <c r="AO20" i="138"/>
  <c r="AO22" i="138" s="1"/>
  <c r="AO24" i="138" s="1"/>
  <c r="AP20" i="138"/>
  <c r="AQ20" i="138"/>
  <c r="AR20" i="138"/>
  <c r="W20" i="138"/>
  <c r="W22" i="138" s="1"/>
  <c r="W24" i="138" s="1"/>
  <c r="AG22" i="138"/>
  <c r="AG24" i="138" s="1"/>
  <c r="X22" i="138"/>
  <c r="X24" i="138" s="1"/>
  <c r="AB22" i="138"/>
  <c r="AB24" i="138" s="1"/>
  <c r="AF22" i="138"/>
  <c r="AF24" i="138" s="1"/>
  <c r="AJ22" i="138"/>
  <c r="AJ24" i="138" s="1"/>
  <c r="AN22" i="138"/>
  <c r="AN24" i="138" s="1"/>
  <c r="AE23" i="138"/>
  <c r="AC23" i="138"/>
  <c r="X23" i="138"/>
  <c r="V23" i="138"/>
  <c r="T23" i="138"/>
  <c r="R23" i="138"/>
  <c r="P23" i="138"/>
  <c r="N23" i="138"/>
  <c r="L23" i="138"/>
  <c r="J23" i="138"/>
  <c r="I23" i="138"/>
  <c r="H23" i="138"/>
  <c r="F23" i="138"/>
  <c r="AM22" i="138"/>
  <c r="AM24" i="138" s="1"/>
  <c r="E22" i="138"/>
  <c r="E24" i="138" s="1"/>
  <c r="AE21" i="138"/>
  <c r="AC21" i="138"/>
  <c r="X21" i="138"/>
  <c r="R21" i="138"/>
  <c r="H21" i="138"/>
  <c r="AR22" i="138"/>
  <c r="AR24" i="138" s="1"/>
  <c r="AQ22" i="138"/>
  <c r="AQ24" i="138" s="1"/>
  <c r="AP22" i="138"/>
  <c r="AP24" i="138" s="1"/>
  <c r="AL22" i="138"/>
  <c r="AL24" i="138" s="1"/>
  <c r="AH22" i="138"/>
  <c r="AH24" i="138" s="1"/>
  <c r="AD22" i="138"/>
  <c r="AD24" i="138" s="1"/>
  <c r="Z22" i="138"/>
  <c r="Z24" i="138" s="1"/>
  <c r="V20" i="138"/>
  <c r="V22" i="138" s="1"/>
  <c r="V24" i="138" s="1"/>
  <c r="U20" i="138"/>
  <c r="U22" i="138" s="1"/>
  <c r="U24" i="138" s="1"/>
  <c r="T20" i="138"/>
  <c r="T22" i="138" s="1"/>
  <c r="T24" i="138" s="1"/>
  <c r="S20" i="138"/>
  <c r="S22" i="138" s="1"/>
  <c r="S24" i="138" s="1"/>
  <c r="R20" i="138"/>
  <c r="R22" i="138" s="1"/>
  <c r="R24" i="138" s="1"/>
  <c r="Q20" i="138"/>
  <c r="Q22" i="138" s="1"/>
  <c r="Q24" i="138" s="1"/>
  <c r="P20" i="138"/>
  <c r="P22" i="138" s="1"/>
  <c r="P24" i="138" s="1"/>
  <c r="O20" i="138"/>
  <c r="O22" i="138" s="1"/>
  <c r="O24" i="138" s="1"/>
  <c r="N20" i="138"/>
  <c r="N22" i="138" s="1"/>
  <c r="N24" i="138" s="1"/>
  <c r="M20" i="138"/>
  <c r="M22" i="138" s="1"/>
  <c r="M24" i="138" s="1"/>
  <c r="L20" i="138"/>
  <c r="L22" i="138" s="1"/>
  <c r="L24" i="138" s="1"/>
  <c r="K20" i="138"/>
  <c r="K22" i="138" s="1"/>
  <c r="K24" i="138" s="1"/>
  <c r="J20" i="138"/>
  <c r="J22" i="138" s="1"/>
  <c r="J24" i="138" s="1"/>
  <c r="I20" i="138"/>
  <c r="I22" i="138" s="1"/>
  <c r="I24" i="138" s="1"/>
  <c r="H20" i="138"/>
  <c r="H22" i="138" s="1"/>
  <c r="H24" i="138" s="1"/>
  <c r="G20" i="138"/>
  <c r="G22" i="138" s="1"/>
  <c r="G24" i="138" s="1"/>
  <c r="F20" i="138"/>
  <c r="F22" i="138" s="1"/>
  <c r="F24" i="138" s="1"/>
  <c r="AE24" i="138" l="1"/>
  <c r="AC22" i="138"/>
  <c r="AC24" i="138" s="1"/>
  <c r="AM22" i="137"/>
  <c r="AM24" i="137" s="1"/>
  <c r="T20" i="137" l="1"/>
  <c r="U20" i="137"/>
  <c r="V20" i="137"/>
  <c r="V22" i="137" s="1"/>
  <c r="V24" i="137" s="1"/>
  <c r="W20" i="137"/>
  <c r="W22" i="137" s="1"/>
  <c r="W24" i="137" s="1"/>
  <c r="X20" i="137"/>
  <c r="Y20" i="137"/>
  <c r="Y22" i="137" s="1"/>
  <c r="Y24" i="137" s="1"/>
  <c r="Z20" i="137"/>
  <c r="Z22" i="137" s="1"/>
  <c r="Z24" i="137" s="1"/>
  <c r="AA20" i="137"/>
  <c r="AA22" i="137" s="1"/>
  <c r="AA24" i="137" s="1"/>
  <c r="AB20" i="137"/>
  <c r="AC20" i="137"/>
  <c r="AD20" i="137"/>
  <c r="AD22" i="137" s="1"/>
  <c r="AD24" i="137" s="1"/>
  <c r="AE20" i="137"/>
  <c r="AF20" i="137"/>
  <c r="AG20" i="137"/>
  <c r="AG22" i="137" s="1"/>
  <c r="AG24" i="137" s="1"/>
  <c r="AH20" i="137"/>
  <c r="AH22" i="137" s="1"/>
  <c r="AH24" i="137" s="1"/>
  <c r="AI20" i="137"/>
  <c r="AI22" i="137" s="1"/>
  <c r="AI24" i="137" s="1"/>
  <c r="AJ20" i="137"/>
  <c r="AK20" i="137"/>
  <c r="AL20" i="137"/>
  <c r="AL22" i="137" s="1"/>
  <c r="AL24" i="137" s="1"/>
  <c r="AN20" i="137"/>
  <c r="AN22" i="137" s="1"/>
  <c r="AN24" i="137" s="1"/>
  <c r="AO20" i="137"/>
  <c r="AP20" i="137"/>
  <c r="AP22" i="137" s="1"/>
  <c r="AP24" i="137" s="1"/>
  <c r="AQ20" i="137"/>
  <c r="AQ22" i="137" s="1"/>
  <c r="AQ24" i="137" s="1"/>
  <c r="AR20" i="137"/>
  <c r="AR22" i="137" s="1"/>
  <c r="AR24" i="137" s="1"/>
  <c r="S20" i="137"/>
  <c r="S22" i="137" s="1"/>
  <c r="S24" i="137" s="1"/>
  <c r="AE23" i="137"/>
  <c r="AC23" i="137"/>
  <c r="X23" i="137"/>
  <c r="V23" i="137"/>
  <c r="T23" i="137"/>
  <c r="R23" i="137"/>
  <c r="P23" i="137"/>
  <c r="N23" i="137"/>
  <c r="L23" i="137"/>
  <c r="J23" i="137"/>
  <c r="I23" i="137"/>
  <c r="H23" i="137"/>
  <c r="F23" i="137"/>
  <c r="E22" i="137"/>
  <c r="E24" i="137" s="1"/>
  <c r="AE21" i="137"/>
  <c r="AC21" i="137"/>
  <c r="X21" i="137"/>
  <c r="R21" i="137"/>
  <c r="H21" i="137"/>
  <c r="AO22" i="137"/>
  <c r="AO24" i="137" s="1"/>
  <c r="AK22" i="137"/>
  <c r="AK24" i="137" s="1"/>
  <c r="AJ22" i="137"/>
  <c r="AJ24" i="137" s="1"/>
  <c r="AF22" i="137"/>
  <c r="AF24" i="137" s="1"/>
  <c r="AC22" i="137"/>
  <c r="AB22" i="137"/>
  <c r="AB24" i="137" s="1"/>
  <c r="X22" i="137"/>
  <c r="X24" i="137" s="1"/>
  <c r="U22" i="137"/>
  <c r="U24" i="137" s="1"/>
  <c r="T22" i="137"/>
  <c r="R20" i="137"/>
  <c r="Q20" i="137"/>
  <c r="Q22" i="137" s="1"/>
  <c r="Q24" i="137" s="1"/>
  <c r="P20" i="137"/>
  <c r="P22" i="137" s="1"/>
  <c r="P24" i="137" s="1"/>
  <c r="O20" i="137"/>
  <c r="O22" i="137" s="1"/>
  <c r="O24" i="137" s="1"/>
  <c r="N20" i="137"/>
  <c r="N22" i="137" s="1"/>
  <c r="N24" i="137" s="1"/>
  <c r="M20" i="137"/>
  <c r="M22" i="137" s="1"/>
  <c r="M24" i="137" s="1"/>
  <c r="L20" i="137"/>
  <c r="L22" i="137" s="1"/>
  <c r="L24" i="137" s="1"/>
  <c r="K20" i="137"/>
  <c r="K22" i="137" s="1"/>
  <c r="K24" i="137" s="1"/>
  <c r="J20" i="137"/>
  <c r="J22" i="137" s="1"/>
  <c r="I20" i="137"/>
  <c r="I22" i="137" s="1"/>
  <c r="I24" i="137" s="1"/>
  <c r="H20" i="137"/>
  <c r="H22" i="137" s="1"/>
  <c r="H24" i="137" s="1"/>
  <c r="G20" i="137"/>
  <c r="G22" i="137" s="1"/>
  <c r="G24" i="137" s="1"/>
  <c r="F20" i="137"/>
  <c r="F22" i="137" s="1"/>
  <c r="F24" i="137" s="1"/>
  <c r="J24" i="137" l="1"/>
  <c r="R22" i="137"/>
  <c r="R24" i="137" s="1"/>
  <c r="T24" i="137"/>
  <c r="AE22" i="137"/>
  <c r="AE24" i="137" s="1"/>
  <c r="AC24" i="137"/>
  <c r="T20" i="136"/>
  <c r="T22" i="136" s="1"/>
  <c r="T24" i="136" s="1"/>
  <c r="U20" i="136"/>
  <c r="V20" i="136"/>
  <c r="V22" i="136" s="1"/>
  <c r="V24" i="136" s="1"/>
  <c r="W20" i="136"/>
  <c r="X20" i="136"/>
  <c r="X22" i="136" s="1"/>
  <c r="X24" i="136" s="1"/>
  <c r="Y20" i="136"/>
  <c r="Z20" i="136"/>
  <c r="Z22" i="136" s="1"/>
  <c r="Z24" i="136" s="1"/>
  <c r="AA20" i="136"/>
  <c r="AB20" i="136"/>
  <c r="AB22" i="136" s="1"/>
  <c r="AB24" i="136" s="1"/>
  <c r="AC20" i="136"/>
  <c r="AD20" i="136"/>
  <c r="AD22" i="136" s="1"/>
  <c r="AD24" i="136" s="1"/>
  <c r="AE20" i="136"/>
  <c r="AF20" i="136"/>
  <c r="AF22" i="136" s="1"/>
  <c r="AF24" i="136" s="1"/>
  <c r="AG20" i="136"/>
  <c r="AH20" i="136"/>
  <c r="AH22" i="136" s="1"/>
  <c r="AH24" i="136" s="1"/>
  <c r="AI20" i="136"/>
  <c r="AJ20" i="136"/>
  <c r="AJ22" i="136" s="1"/>
  <c r="AJ24" i="136" s="1"/>
  <c r="AK20" i="136"/>
  <c r="AL20" i="136"/>
  <c r="AL22" i="136" s="1"/>
  <c r="AL24" i="136" s="1"/>
  <c r="AM20" i="136"/>
  <c r="AN20" i="136"/>
  <c r="AN22" i="136" s="1"/>
  <c r="AN24" i="136" s="1"/>
  <c r="AO20" i="136"/>
  <c r="AP20" i="136"/>
  <c r="AP22" i="136" s="1"/>
  <c r="AP24" i="136" s="1"/>
  <c r="AQ20" i="136"/>
  <c r="S20" i="136"/>
  <c r="AE23" i="136"/>
  <c r="AC23" i="136"/>
  <c r="X23" i="136"/>
  <c r="V23" i="136"/>
  <c r="T23" i="136"/>
  <c r="R23" i="136"/>
  <c r="P23" i="136"/>
  <c r="N23" i="136"/>
  <c r="L23" i="136"/>
  <c r="J23" i="136"/>
  <c r="I23" i="136"/>
  <c r="H23" i="136"/>
  <c r="F23" i="136"/>
  <c r="E22" i="136"/>
  <c r="E24" i="136" s="1"/>
  <c r="AE21" i="136"/>
  <c r="AC21" i="136"/>
  <c r="X21" i="136"/>
  <c r="R21" i="136"/>
  <c r="H21" i="136"/>
  <c r="AQ22" i="136"/>
  <c r="AQ24" i="136" s="1"/>
  <c r="AO22" i="136"/>
  <c r="AO24" i="136" s="1"/>
  <c r="AM22" i="136"/>
  <c r="AM24" i="136" s="1"/>
  <c r="AK22" i="136"/>
  <c r="AK24" i="136" s="1"/>
  <c r="AI22" i="136"/>
  <c r="AI24" i="136" s="1"/>
  <c r="AG22" i="136"/>
  <c r="AG24" i="136" s="1"/>
  <c r="AE22" i="136"/>
  <c r="AC22" i="136"/>
  <c r="AA22" i="136"/>
  <c r="AA24" i="136" s="1"/>
  <c r="Y22" i="136"/>
  <c r="Y24" i="136" s="1"/>
  <c r="W22" i="136"/>
  <c r="W24" i="136" s="1"/>
  <c r="U22" i="136"/>
  <c r="U24" i="136" s="1"/>
  <c r="S22" i="136"/>
  <c r="S24" i="136" s="1"/>
  <c r="R20" i="136"/>
  <c r="R22" i="136" s="1"/>
  <c r="R24" i="136" s="1"/>
  <c r="Q20" i="136"/>
  <c r="Q22" i="136" s="1"/>
  <c r="Q24" i="136" s="1"/>
  <c r="P20" i="136"/>
  <c r="P22" i="136" s="1"/>
  <c r="P24" i="136" s="1"/>
  <c r="O20" i="136"/>
  <c r="O22" i="136" s="1"/>
  <c r="O24" i="136" s="1"/>
  <c r="N20" i="136"/>
  <c r="N22" i="136" s="1"/>
  <c r="N24" i="136" s="1"/>
  <c r="M20" i="136"/>
  <c r="M22" i="136" s="1"/>
  <c r="M24" i="136" s="1"/>
  <c r="L20" i="136"/>
  <c r="L22" i="136" s="1"/>
  <c r="L24" i="136" s="1"/>
  <c r="K20" i="136"/>
  <c r="K22" i="136" s="1"/>
  <c r="K24" i="136" s="1"/>
  <c r="J20" i="136"/>
  <c r="J22" i="136" s="1"/>
  <c r="J24" i="136" s="1"/>
  <c r="I20" i="136"/>
  <c r="I22" i="136" s="1"/>
  <c r="I24" i="136" s="1"/>
  <c r="H20" i="136"/>
  <c r="H22" i="136" s="1"/>
  <c r="H24" i="136" s="1"/>
  <c r="G20" i="136"/>
  <c r="G22" i="136" s="1"/>
  <c r="G24" i="136" s="1"/>
  <c r="F20" i="136"/>
  <c r="F22" i="136" s="1"/>
  <c r="F24" i="136" s="1"/>
  <c r="AE24" i="136" l="1"/>
  <c r="AC24" i="136"/>
  <c r="T20" i="135"/>
  <c r="U20" i="135"/>
  <c r="V20" i="135"/>
  <c r="V22" i="135" s="1"/>
  <c r="V24" i="135" s="1"/>
  <c r="W20" i="135"/>
  <c r="W22" i="135" s="1"/>
  <c r="W24" i="135" s="1"/>
  <c r="X20" i="135"/>
  <c r="Y20" i="135"/>
  <c r="Z20" i="135"/>
  <c r="Z22" i="135" s="1"/>
  <c r="Z24" i="135" s="1"/>
  <c r="AA20" i="135"/>
  <c r="AA22" i="135" s="1"/>
  <c r="AA24" i="135" s="1"/>
  <c r="AB20" i="135"/>
  <c r="AC20" i="135"/>
  <c r="AD20" i="135"/>
  <c r="AD22" i="135" s="1"/>
  <c r="AD24" i="135" s="1"/>
  <c r="AE20" i="135"/>
  <c r="AE22" i="135" s="1"/>
  <c r="AE24" i="135" s="1"/>
  <c r="AF20" i="135"/>
  <c r="AG20" i="135"/>
  <c r="AH20" i="135"/>
  <c r="AH22" i="135" s="1"/>
  <c r="AH24" i="135" s="1"/>
  <c r="AI20" i="135"/>
  <c r="AI22" i="135" s="1"/>
  <c r="AI24" i="135" s="1"/>
  <c r="AJ20" i="135"/>
  <c r="AK20" i="135"/>
  <c r="AL20" i="135"/>
  <c r="AL22" i="135" s="1"/>
  <c r="AL24" i="135" s="1"/>
  <c r="AM20" i="135"/>
  <c r="AM22" i="135" s="1"/>
  <c r="AM24" i="135" s="1"/>
  <c r="AN20" i="135"/>
  <c r="AO20" i="135"/>
  <c r="AP20" i="135"/>
  <c r="AP22" i="135" s="1"/>
  <c r="AP24" i="135" s="1"/>
  <c r="AQ20" i="135"/>
  <c r="AQ22" i="135" s="1"/>
  <c r="AQ24" i="135" s="1"/>
  <c r="S20" i="135"/>
  <c r="S22" i="135" s="1"/>
  <c r="S24" i="135" s="1"/>
  <c r="AE23" i="135"/>
  <c r="AC23" i="135"/>
  <c r="X23" i="135"/>
  <c r="V23" i="135"/>
  <c r="T23" i="135"/>
  <c r="R23" i="135"/>
  <c r="P23" i="135"/>
  <c r="N23" i="135"/>
  <c r="L23" i="135"/>
  <c r="J23" i="135"/>
  <c r="I23" i="135"/>
  <c r="H23" i="135"/>
  <c r="F23" i="135"/>
  <c r="E22" i="135"/>
  <c r="E24" i="135" s="1"/>
  <c r="AE21" i="135"/>
  <c r="AC21" i="135"/>
  <c r="X21" i="135"/>
  <c r="R21" i="135"/>
  <c r="H21" i="135"/>
  <c r="AO22" i="135"/>
  <c r="AO24" i="135" s="1"/>
  <c r="AN22" i="135"/>
  <c r="AN24" i="135" s="1"/>
  <c r="AK22" i="135"/>
  <c r="AK24" i="135" s="1"/>
  <c r="AJ22" i="135"/>
  <c r="AJ24" i="135" s="1"/>
  <c r="AG22" i="135"/>
  <c r="AG24" i="135" s="1"/>
  <c r="AF22" i="135"/>
  <c r="AF24" i="135" s="1"/>
  <c r="AC22" i="135"/>
  <c r="AC24" i="135" s="1"/>
  <c r="AB22" i="135"/>
  <c r="AB24" i="135" s="1"/>
  <c r="Y22" i="135"/>
  <c r="Y24" i="135" s="1"/>
  <c r="X22" i="135"/>
  <c r="X24" i="135" s="1"/>
  <c r="U22" i="135"/>
  <c r="U24" i="135" s="1"/>
  <c r="T22" i="135"/>
  <c r="T24" i="135" s="1"/>
  <c r="R20" i="135"/>
  <c r="R22" i="135" s="1"/>
  <c r="R24" i="135" s="1"/>
  <c r="Q20" i="135"/>
  <c r="Q22" i="135" s="1"/>
  <c r="Q24" i="135" s="1"/>
  <c r="P20" i="135"/>
  <c r="P22" i="135" s="1"/>
  <c r="P24" i="135" s="1"/>
  <c r="O20" i="135"/>
  <c r="O22" i="135" s="1"/>
  <c r="O24" i="135" s="1"/>
  <c r="N20" i="135"/>
  <c r="N22" i="135" s="1"/>
  <c r="N24" i="135" s="1"/>
  <c r="M20" i="135"/>
  <c r="M22" i="135" s="1"/>
  <c r="M24" i="135" s="1"/>
  <c r="L20" i="135"/>
  <c r="L22" i="135" s="1"/>
  <c r="L24" i="135" s="1"/>
  <c r="K20" i="135"/>
  <c r="K22" i="135" s="1"/>
  <c r="K24" i="135" s="1"/>
  <c r="J20" i="135"/>
  <c r="J22" i="135" s="1"/>
  <c r="J24" i="135" s="1"/>
  <c r="I20" i="135"/>
  <c r="I22" i="135" s="1"/>
  <c r="I24" i="135" s="1"/>
  <c r="H20" i="135"/>
  <c r="H22" i="135" s="1"/>
  <c r="H24" i="135" s="1"/>
  <c r="G20" i="135"/>
  <c r="G22" i="135" s="1"/>
  <c r="G24" i="135" s="1"/>
  <c r="F20" i="135"/>
  <c r="F22" i="135" s="1"/>
  <c r="F24" i="135" s="1"/>
  <c r="T20" i="134" l="1"/>
  <c r="U20" i="134"/>
  <c r="V20" i="134"/>
  <c r="V22" i="134" s="1"/>
  <c r="V24" i="134" s="1"/>
  <c r="W20" i="134"/>
  <c r="X20" i="134"/>
  <c r="Y20" i="134"/>
  <c r="Z20" i="134"/>
  <c r="Z22" i="134" s="1"/>
  <c r="Z24" i="134" s="1"/>
  <c r="AA20" i="134"/>
  <c r="AB20" i="134"/>
  <c r="AC20" i="134"/>
  <c r="AD20" i="134"/>
  <c r="AD22" i="134" s="1"/>
  <c r="AD24" i="134" s="1"/>
  <c r="AE20" i="134"/>
  <c r="AF20" i="134"/>
  <c r="AG20" i="134"/>
  <c r="AH20" i="134"/>
  <c r="AH22" i="134" s="1"/>
  <c r="AH24" i="134" s="1"/>
  <c r="AI20" i="134"/>
  <c r="AJ20" i="134"/>
  <c r="AK20" i="134"/>
  <c r="AL20" i="134"/>
  <c r="AL22" i="134" s="1"/>
  <c r="AL24" i="134" s="1"/>
  <c r="AM20" i="134"/>
  <c r="AN20" i="134"/>
  <c r="AO20" i="134"/>
  <c r="AP20" i="134"/>
  <c r="AP22" i="134" s="1"/>
  <c r="AP24" i="134" s="1"/>
  <c r="AQ20" i="134"/>
  <c r="AQ22" i="134" s="1"/>
  <c r="AQ24" i="134" s="1"/>
  <c r="S20" i="134"/>
  <c r="AE23" i="134"/>
  <c r="AC23" i="134"/>
  <c r="X23" i="134"/>
  <c r="V23" i="134"/>
  <c r="T23" i="134"/>
  <c r="R23" i="134"/>
  <c r="P23" i="134"/>
  <c r="N23" i="134"/>
  <c r="L23" i="134"/>
  <c r="J23" i="134"/>
  <c r="I23" i="134"/>
  <c r="H23" i="134"/>
  <c r="F23" i="134"/>
  <c r="E22" i="134"/>
  <c r="E24" i="134" s="1"/>
  <c r="AE21" i="134"/>
  <c r="AC21" i="134"/>
  <c r="X21" i="134"/>
  <c r="R21" i="134"/>
  <c r="H21" i="134"/>
  <c r="AO22" i="134"/>
  <c r="AO24" i="134" s="1"/>
  <c r="AN22" i="134"/>
  <c r="AN24" i="134" s="1"/>
  <c r="AM22" i="134"/>
  <c r="AM24" i="134" s="1"/>
  <c r="AK22" i="134"/>
  <c r="AK24" i="134" s="1"/>
  <c r="AJ22" i="134"/>
  <c r="AJ24" i="134" s="1"/>
  <c r="AI22" i="134"/>
  <c r="AI24" i="134" s="1"/>
  <c r="AG22" i="134"/>
  <c r="AG24" i="134" s="1"/>
  <c r="AF22" i="134"/>
  <c r="AF24" i="134" s="1"/>
  <c r="AE22" i="134"/>
  <c r="AC22" i="134"/>
  <c r="AB22" i="134"/>
  <c r="AB24" i="134" s="1"/>
  <c r="AA22" i="134"/>
  <c r="AA24" i="134" s="1"/>
  <c r="Y22" i="134"/>
  <c r="Y24" i="134" s="1"/>
  <c r="X22" i="134"/>
  <c r="W22" i="134"/>
  <c r="W24" i="134" s="1"/>
  <c r="U22" i="134"/>
  <c r="U24" i="134" s="1"/>
  <c r="T22" i="134"/>
  <c r="T24" i="134" s="1"/>
  <c r="S22" i="134"/>
  <c r="S24" i="134" s="1"/>
  <c r="R20" i="134"/>
  <c r="R22" i="134" s="1"/>
  <c r="R24" i="134" s="1"/>
  <c r="Q20" i="134"/>
  <c r="Q22" i="134" s="1"/>
  <c r="Q24" i="134" s="1"/>
  <c r="P20" i="134"/>
  <c r="P22" i="134" s="1"/>
  <c r="P24" i="134" s="1"/>
  <c r="O20" i="134"/>
  <c r="O22" i="134" s="1"/>
  <c r="O24" i="134" s="1"/>
  <c r="N20" i="134"/>
  <c r="N22" i="134" s="1"/>
  <c r="N24" i="134" s="1"/>
  <c r="M20" i="134"/>
  <c r="M22" i="134" s="1"/>
  <c r="M24" i="134" s="1"/>
  <c r="L20" i="134"/>
  <c r="L22" i="134" s="1"/>
  <c r="L24" i="134" s="1"/>
  <c r="K20" i="134"/>
  <c r="K22" i="134" s="1"/>
  <c r="K24" i="134" s="1"/>
  <c r="J20" i="134"/>
  <c r="J22" i="134" s="1"/>
  <c r="J24" i="134" s="1"/>
  <c r="I20" i="134"/>
  <c r="I22" i="134" s="1"/>
  <c r="I24" i="134" s="1"/>
  <c r="H20" i="134"/>
  <c r="H22" i="134" s="1"/>
  <c r="H24" i="134" s="1"/>
  <c r="G20" i="134"/>
  <c r="G22" i="134" s="1"/>
  <c r="G24" i="134" s="1"/>
  <c r="F20" i="134"/>
  <c r="F22" i="134" s="1"/>
  <c r="F24" i="134" s="1"/>
  <c r="X24" i="134" l="1"/>
  <c r="AC24" i="134"/>
  <c r="AE24" i="134"/>
  <c r="T20" i="133"/>
  <c r="U20" i="133"/>
  <c r="V20" i="133"/>
  <c r="W20" i="133"/>
  <c r="W22" i="133" s="1"/>
  <c r="W24" i="133" s="1"/>
  <c r="X20" i="133"/>
  <c r="Y20" i="133"/>
  <c r="Z20" i="133"/>
  <c r="AA20" i="133"/>
  <c r="AA22" i="133" s="1"/>
  <c r="AA24" i="133" s="1"/>
  <c r="AB20" i="133"/>
  <c r="AC20" i="133"/>
  <c r="AD20" i="133"/>
  <c r="AE20" i="133"/>
  <c r="AE22" i="133" s="1"/>
  <c r="AE24" i="133" s="1"/>
  <c r="AF20" i="133"/>
  <c r="AG20" i="133"/>
  <c r="AH20" i="133"/>
  <c r="AI20" i="133"/>
  <c r="AI22" i="133" s="1"/>
  <c r="AI24" i="133" s="1"/>
  <c r="AJ20" i="133"/>
  <c r="AK20" i="133"/>
  <c r="AL20" i="133"/>
  <c r="AM20" i="133"/>
  <c r="AN20" i="133"/>
  <c r="AO20" i="133"/>
  <c r="AP20" i="133"/>
  <c r="AQ20" i="133"/>
  <c r="AQ22" i="133" s="1"/>
  <c r="AQ24" i="133" s="1"/>
  <c r="T22" i="133"/>
  <c r="T24" i="133" s="1"/>
  <c r="X22" i="133"/>
  <c r="AD22" i="133"/>
  <c r="AD24" i="133" s="1"/>
  <c r="AF22" i="133"/>
  <c r="AF24" i="133" s="1"/>
  <c r="AJ22" i="133"/>
  <c r="AJ24" i="133" s="1"/>
  <c r="AN22" i="133"/>
  <c r="AN24" i="133" s="1"/>
  <c r="V22" i="133"/>
  <c r="V24" i="133" s="1"/>
  <c r="Z22" i="133"/>
  <c r="Z24" i="133" s="1"/>
  <c r="AH22" i="133"/>
  <c r="AH24" i="133" s="1"/>
  <c r="AL22" i="133"/>
  <c r="AL24" i="133" s="1"/>
  <c r="AP22" i="133"/>
  <c r="AP24" i="133" s="1"/>
  <c r="S20" i="133"/>
  <c r="AE23" i="133"/>
  <c r="AC23" i="133"/>
  <c r="X23" i="133"/>
  <c r="V23" i="133"/>
  <c r="T23" i="133"/>
  <c r="R23" i="133"/>
  <c r="P23" i="133"/>
  <c r="N23" i="133"/>
  <c r="L23" i="133"/>
  <c r="J23" i="133"/>
  <c r="I23" i="133"/>
  <c r="H23" i="133"/>
  <c r="F23" i="133"/>
  <c r="E22" i="133"/>
  <c r="E24" i="133" s="1"/>
  <c r="AE21" i="133"/>
  <c r="AC21" i="133"/>
  <c r="X21" i="133"/>
  <c r="R21" i="133"/>
  <c r="H21" i="133"/>
  <c r="AO22" i="133"/>
  <c r="AO24" i="133" s="1"/>
  <c r="AM22" i="133"/>
  <c r="AM24" i="133" s="1"/>
  <c r="AK22" i="133"/>
  <c r="AK24" i="133" s="1"/>
  <c r="AG22" i="133"/>
  <c r="AG24" i="133" s="1"/>
  <c r="AC22" i="133"/>
  <c r="AB22" i="133"/>
  <c r="AB24" i="133" s="1"/>
  <c r="Y22" i="133"/>
  <c r="Y24" i="133" s="1"/>
  <c r="U22" i="133"/>
  <c r="U24" i="133" s="1"/>
  <c r="S22" i="133"/>
  <c r="S24" i="133" s="1"/>
  <c r="R20" i="133"/>
  <c r="R22" i="133" s="1"/>
  <c r="R24" i="133" s="1"/>
  <c r="Q20" i="133"/>
  <c r="Q22" i="133" s="1"/>
  <c r="Q24" i="133" s="1"/>
  <c r="P20" i="133"/>
  <c r="P22" i="133" s="1"/>
  <c r="P24" i="133" s="1"/>
  <c r="O20" i="133"/>
  <c r="O22" i="133" s="1"/>
  <c r="O24" i="133" s="1"/>
  <c r="N20" i="133"/>
  <c r="N22" i="133" s="1"/>
  <c r="N24" i="133" s="1"/>
  <c r="M20" i="133"/>
  <c r="M22" i="133" s="1"/>
  <c r="M24" i="133" s="1"/>
  <c r="L20" i="133"/>
  <c r="L22" i="133" s="1"/>
  <c r="L24" i="133" s="1"/>
  <c r="K20" i="133"/>
  <c r="K22" i="133" s="1"/>
  <c r="K24" i="133" s="1"/>
  <c r="J20" i="133"/>
  <c r="J22" i="133" s="1"/>
  <c r="J24" i="133" s="1"/>
  <c r="I20" i="133"/>
  <c r="I22" i="133" s="1"/>
  <c r="I24" i="133" s="1"/>
  <c r="H20" i="133"/>
  <c r="H22" i="133" s="1"/>
  <c r="H24" i="133" s="1"/>
  <c r="G20" i="133"/>
  <c r="G22" i="133" s="1"/>
  <c r="G24" i="133" s="1"/>
  <c r="F20" i="133"/>
  <c r="F22" i="133" s="1"/>
  <c r="F24" i="133" s="1"/>
  <c r="X24" i="133" l="1"/>
  <c r="AC24" i="133"/>
  <c r="X23" i="132"/>
  <c r="X21" i="132"/>
  <c r="X22" i="132"/>
  <c r="T20" i="132"/>
  <c r="U20" i="132"/>
  <c r="V20" i="132"/>
  <c r="W20" i="132"/>
  <c r="X20" i="132"/>
  <c r="Y20" i="132"/>
  <c r="Z20" i="132"/>
  <c r="AA20" i="132"/>
  <c r="AA22" i="132" s="1"/>
  <c r="AA24" i="132" s="1"/>
  <c r="AB20" i="132"/>
  <c r="AC20" i="132"/>
  <c r="AD20" i="132"/>
  <c r="AE20" i="132"/>
  <c r="AE22" i="132" s="1"/>
  <c r="AF20" i="132"/>
  <c r="AG20" i="132"/>
  <c r="AH20" i="132"/>
  <c r="AI20" i="132"/>
  <c r="AI22" i="132" s="1"/>
  <c r="AI24" i="132" s="1"/>
  <c r="AJ20" i="132"/>
  <c r="AK20" i="132"/>
  <c r="AL20" i="132"/>
  <c r="AM20" i="132"/>
  <c r="AN20" i="132"/>
  <c r="AO20" i="132"/>
  <c r="AP20" i="132"/>
  <c r="AQ20" i="132"/>
  <c r="AQ22" i="132" s="1"/>
  <c r="AQ24" i="132" s="1"/>
  <c r="S20" i="132"/>
  <c r="S22" i="132" s="1"/>
  <c r="S24" i="132" s="1"/>
  <c r="AE23" i="132"/>
  <c r="AC23" i="132"/>
  <c r="V23" i="132"/>
  <c r="T23" i="132"/>
  <c r="R23" i="132"/>
  <c r="P23" i="132"/>
  <c r="N23" i="132"/>
  <c r="L23" i="132"/>
  <c r="J23" i="132"/>
  <c r="I23" i="132"/>
  <c r="H23" i="132"/>
  <c r="F23" i="132"/>
  <c r="AP22" i="132"/>
  <c r="AP24" i="132" s="1"/>
  <c r="AO22" i="132"/>
  <c r="AO24" i="132" s="1"/>
  <c r="AN22" i="132"/>
  <c r="AN24" i="132" s="1"/>
  <c r="AL22" i="132"/>
  <c r="AL24" i="132" s="1"/>
  <c r="AK22" i="132"/>
  <c r="AK24" i="132" s="1"/>
  <c r="AJ22" i="132"/>
  <c r="AJ24" i="132" s="1"/>
  <c r="AH22" i="132"/>
  <c r="AH24" i="132" s="1"/>
  <c r="AG22" i="132"/>
  <c r="AG24" i="132" s="1"/>
  <c r="AF22" i="132"/>
  <c r="AF24" i="132" s="1"/>
  <c r="AD22" i="132"/>
  <c r="AD24" i="132" s="1"/>
  <c r="AB22" i="132"/>
  <c r="AB24" i="132" s="1"/>
  <c r="Z22" i="132"/>
  <c r="Z24" i="132" s="1"/>
  <c r="Y22" i="132"/>
  <c r="Y24" i="132" s="1"/>
  <c r="V22" i="132"/>
  <c r="V24" i="132" s="1"/>
  <c r="U22" i="132"/>
  <c r="U24" i="132" s="1"/>
  <c r="T22" i="132"/>
  <c r="T24" i="132" s="1"/>
  <c r="Q22" i="132"/>
  <c r="Q24" i="132" s="1"/>
  <c r="P22" i="132"/>
  <c r="P24" i="132" s="1"/>
  <c r="N22" i="132"/>
  <c r="N24" i="132" s="1"/>
  <c r="M22" i="132"/>
  <c r="M24" i="132" s="1"/>
  <c r="L22" i="132"/>
  <c r="L24" i="132" s="1"/>
  <c r="J22" i="132"/>
  <c r="J24" i="132" s="1"/>
  <c r="I22" i="132"/>
  <c r="I24" i="132" s="1"/>
  <c r="H22" i="132"/>
  <c r="H24" i="132" s="1"/>
  <c r="F22" i="132"/>
  <c r="F24" i="132" s="1"/>
  <c r="E22" i="132"/>
  <c r="E24" i="132" s="1"/>
  <c r="AE21" i="132"/>
  <c r="AC21" i="132"/>
  <c r="AC22" i="132" s="1"/>
  <c r="R21" i="132"/>
  <c r="R22" i="132" s="1"/>
  <c r="R24" i="132" s="1"/>
  <c r="H21" i="132"/>
  <c r="AM22" i="132"/>
  <c r="AM24" i="132" s="1"/>
  <c r="W22" i="132"/>
  <c r="W24" i="132" s="1"/>
  <c r="R20" i="132"/>
  <c r="Q20" i="132"/>
  <c r="P20" i="132"/>
  <c r="O20" i="132"/>
  <c r="O22" i="132" s="1"/>
  <c r="O24" i="132" s="1"/>
  <c r="N20" i="132"/>
  <c r="M20" i="132"/>
  <c r="L20" i="132"/>
  <c r="K20" i="132"/>
  <c r="K22" i="132" s="1"/>
  <c r="K24" i="132" s="1"/>
  <c r="J20" i="132"/>
  <c r="I20" i="132"/>
  <c r="H20" i="132"/>
  <c r="G20" i="132"/>
  <c r="G22" i="132" s="1"/>
  <c r="G24" i="132" s="1"/>
  <c r="F20" i="132"/>
  <c r="AE24" i="132" l="1"/>
  <c r="X24" i="132"/>
  <c r="AC24" i="132"/>
  <c r="T20" i="131"/>
  <c r="U20" i="131"/>
  <c r="V20" i="131"/>
  <c r="V22" i="131" s="1"/>
  <c r="V24" i="131" s="1"/>
  <c r="W20" i="131"/>
  <c r="W22" i="131" s="1"/>
  <c r="W24" i="131" s="1"/>
  <c r="X20" i="131"/>
  <c r="Y20" i="131"/>
  <c r="Z20" i="131"/>
  <c r="AA20" i="131"/>
  <c r="AA22" i="131" s="1"/>
  <c r="AA24" i="131" s="1"/>
  <c r="AB20" i="131"/>
  <c r="AC20" i="131"/>
  <c r="AD20" i="131"/>
  <c r="AD22" i="131" s="1"/>
  <c r="AD24" i="131" s="1"/>
  <c r="AE20" i="131"/>
  <c r="AE22" i="131" s="1"/>
  <c r="AF20" i="131"/>
  <c r="AG20" i="131"/>
  <c r="AH20" i="131"/>
  <c r="AI20" i="131"/>
  <c r="AI22" i="131" s="1"/>
  <c r="AI24" i="131" s="1"/>
  <c r="AJ20" i="131"/>
  <c r="AK20" i="131"/>
  <c r="AL20" i="131"/>
  <c r="AL22" i="131" s="1"/>
  <c r="AL24" i="131" s="1"/>
  <c r="AM20" i="131"/>
  <c r="AM22" i="131" s="1"/>
  <c r="AM24" i="131" s="1"/>
  <c r="AN20" i="131"/>
  <c r="AO20" i="131"/>
  <c r="AP20" i="131"/>
  <c r="AQ20" i="131"/>
  <c r="AQ22" i="131" s="1"/>
  <c r="AQ24" i="131" s="1"/>
  <c r="S20" i="131"/>
  <c r="AE23" i="131"/>
  <c r="AC23" i="131"/>
  <c r="X23" i="131"/>
  <c r="V23" i="131"/>
  <c r="T23" i="131"/>
  <c r="R23" i="131"/>
  <c r="P23" i="131"/>
  <c r="N23" i="131"/>
  <c r="L23" i="131"/>
  <c r="J23" i="131"/>
  <c r="I23" i="131"/>
  <c r="H23" i="131"/>
  <c r="F23" i="131"/>
  <c r="AP22" i="131"/>
  <c r="AP24" i="131" s="1"/>
  <c r="AH22" i="131"/>
  <c r="AH24" i="131" s="1"/>
  <c r="Z22" i="131"/>
  <c r="Z24" i="131" s="1"/>
  <c r="S22" i="131"/>
  <c r="S24" i="131" s="1"/>
  <c r="O22" i="131"/>
  <c r="O24" i="131" s="1"/>
  <c r="N22" i="131"/>
  <c r="N24" i="131" s="1"/>
  <c r="K22" i="131"/>
  <c r="K24" i="131" s="1"/>
  <c r="J22" i="131"/>
  <c r="J24" i="131" s="1"/>
  <c r="G22" i="131"/>
  <c r="G24" i="131" s="1"/>
  <c r="F22" i="131"/>
  <c r="F24" i="131" s="1"/>
  <c r="E22" i="131"/>
  <c r="E24" i="131" s="1"/>
  <c r="AE21" i="131"/>
  <c r="AC21" i="131"/>
  <c r="R21" i="131"/>
  <c r="R22" i="131" s="1"/>
  <c r="R24" i="131" s="1"/>
  <c r="H21" i="131"/>
  <c r="AO22" i="131"/>
  <c r="AO24" i="131" s="1"/>
  <c r="AN22" i="131"/>
  <c r="AN24" i="131" s="1"/>
  <c r="AK22" i="131"/>
  <c r="AK24" i="131" s="1"/>
  <c r="AJ22" i="131"/>
  <c r="AJ24" i="131" s="1"/>
  <c r="AG22" i="131"/>
  <c r="AG24" i="131" s="1"/>
  <c r="AF22" i="131"/>
  <c r="AF24" i="131" s="1"/>
  <c r="AC22" i="131"/>
  <c r="AB22" i="131"/>
  <c r="AB24" i="131" s="1"/>
  <c r="Y22" i="131"/>
  <c r="Y24" i="131" s="1"/>
  <c r="X22" i="131"/>
  <c r="X24" i="131" s="1"/>
  <c r="U22" i="131"/>
  <c r="U24" i="131" s="1"/>
  <c r="T22" i="131"/>
  <c r="T24" i="131" s="1"/>
  <c r="R20" i="131"/>
  <c r="Q20" i="131"/>
  <c r="Q22" i="131" s="1"/>
  <c r="Q24" i="131" s="1"/>
  <c r="P20" i="131"/>
  <c r="P22" i="131" s="1"/>
  <c r="P24" i="131" s="1"/>
  <c r="O20" i="131"/>
  <c r="N20" i="131"/>
  <c r="M20" i="131"/>
  <c r="M22" i="131" s="1"/>
  <c r="M24" i="131" s="1"/>
  <c r="L20" i="131"/>
  <c r="L22" i="131" s="1"/>
  <c r="L24" i="131" s="1"/>
  <c r="K20" i="131"/>
  <c r="J20" i="131"/>
  <c r="I20" i="131"/>
  <c r="I22" i="131" s="1"/>
  <c r="I24" i="131" s="1"/>
  <c r="H20" i="131"/>
  <c r="H22" i="131" s="1"/>
  <c r="H24" i="131" s="1"/>
  <c r="G20" i="131"/>
  <c r="F20" i="131"/>
  <c r="AC24" i="131" l="1"/>
  <c r="AE24" i="131"/>
  <c r="AE23" i="130"/>
  <c r="T20" i="130" l="1"/>
  <c r="U20" i="130"/>
  <c r="V20" i="130"/>
  <c r="V22" i="130" s="1"/>
  <c r="V24" i="130" s="1"/>
  <c r="W20" i="130"/>
  <c r="X20" i="130"/>
  <c r="Y20" i="130"/>
  <c r="Z20" i="130"/>
  <c r="Z22" i="130" s="1"/>
  <c r="Z24" i="130" s="1"/>
  <c r="AA20" i="130"/>
  <c r="AB20" i="130"/>
  <c r="AC20" i="130"/>
  <c r="AD20" i="130"/>
  <c r="AD22" i="130" s="1"/>
  <c r="AD24" i="130" s="1"/>
  <c r="AE20" i="130"/>
  <c r="AF20" i="130"/>
  <c r="AG20" i="130"/>
  <c r="AH20" i="130"/>
  <c r="AH22" i="130" s="1"/>
  <c r="AH24" i="130" s="1"/>
  <c r="AI20" i="130"/>
  <c r="AJ20" i="130"/>
  <c r="AK20" i="130"/>
  <c r="AL20" i="130"/>
  <c r="AL22" i="130" s="1"/>
  <c r="AL24" i="130" s="1"/>
  <c r="AM20" i="130"/>
  <c r="AN20" i="130"/>
  <c r="AO20" i="130"/>
  <c r="AP20" i="130"/>
  <c r="AP22" i="130" s="1"/>
  <c r="AP24" i="130" s="1"/>
  <c r="AQ20" i="130"/>
  <c r="S20" i="130"/>
  <c r="S22" i="130" s="1"/>
  <c r="S24" i="130" s="1"/>
  <c r="AC23" i="130"/>
  <c r="X23" i="130"/>
  <c r="V23" i="130"/>
  <c r="T23" i="130"/>
  <c r="R23" i="130"/>
  <c r="P23" i="130"/>
  <c r="N23" i="130"/>
  <c r="L23" i="130"/>
  <c r="J23" i="130"/>
  <c r="I23" i="130"/>
  <c r="H23" i="130"/>
  <c r="F23" i="130"/>
  <c r="E22" i="130"/>
  <c r="E24" i="130" s="1"/>
  <c r="AE21" i="130"/>
  <c r="AC21" i="130"/>
  <c r="R21" i="130"/>
  <c r="H21" i="130"/>
  <c r="AQ22" i="130"/>
  <c r="AQ24" i="130" s="1"/>
  <c r="AO22" i="130"/>
  <c r="AO24" i="130" s="1"/>
  <c r="AN22" i="130"/>
  <c r="AN24" i="130" s="1"/>
  <c r="AM22" i="130"/>
  <c r="AM24" i="130" s="1"/>
  <c r="AK22" i="130"/>
  <c r="AK24" i="130" s="1"/>
  <c r="AJ22" i="130"/>
  <c r="AJ24" i="130" s="1"/>
  <c r="AI22" i="130"/>
  <c r="AI24" i="130" s="1"/>
  <c r="AG22" i="130"/>
  <c r="AG24" i="130" s="1"/>
  <c r="AF22" i="130"/>
  <c r="AF24" i="130" s="1"/>
  <c r="AE22" i="130"/>
  <c r="AC22" i="130"/>
  <c r="AB22" i="130"/>
  <c r="AB24" i="130" s="1"/>
  <c r="AA22" i="130"/>
  <c r="AA24" i="130" s="1"/>
  <c r="Y22" i="130"/>
  <c r="Y24" i="130" s="1"/>
  <c r="X22" i="130"/>
  <c r="X24" i="130" s="1"/>
  <c r="W22" i="130"/>
  <c r="W24" i="130" s="1"/>
  <c r="U22" i="130"/>
  <c r="U24" i="130" s="1"/>
  <c r="T22" i="130"/>
  <c r="T24" i="130" s="1"/>
  <c r="R20" i="130"/>
  <c r="R22" i="130" s="1"/>
  <c r="R24" i="130" s="1"/>
  <c r="Q20" i="130"/>
  <c r="Q22" i="130" s="1"/>
  <c r="Q24" i="130" s="1"/>
  <c r="P20" i="130"/>
  <c r="P22" i="130" s="1"/>
  <c r="P24" i="130" s="1"/>
  <c r="O20" i="130"/>
  <c r="O22" i="130" s="1"/>
  <c r="O24" i="130" s="1"/>
  <c r="N20" i="130"/>
  <c r="N22" i="130" s="1"/>
  <c r="N24" i="130" s="1"/>
  <c r="M20" i="130"/>
  <c r="M22" i="130" s="1"/>
  <c r="M24" i="130" s="1"/>
  <c r="L20" i="130"/>
  <c r="L22" i="130" s="1"/>
  <c r="L24" i="130" s="1"/>
  <c r="K20" i="130"/>
  <c r="K22" i="130" s="1"/>
  <c r="K24" i="130" s="1"/>
  <c r="J20" i="130"/>
  <c r="J22" i="130" s="1"/>
  <c r="J24" i="130" s="1"/>
  <c r="I20" i="130"/>
  <c r="I22" i="130" s="1"/>
  <c r="I24" i="130" s="1"/>
  <c r="H20" i="130"/>
  <c r="H22" i="130" s="1"/>
  <c r="H24" i="130" s="1"/>
  <c r="G20" i="130"/>
  <c r="G22" i="130" s="1"/>
  <c r="G24" i="130" s="1"/>
  <c r="F20" i="130"/>
  <c r="F22" i="130" s="1"/>
  <c r="F24" i="130" s="1"/>
  <c r="AE24" i="130" l="1"/>
  <c r="AC24" i="130"/>
  <c r="T20" i="129"/>
  <c r="U20" i="129"/>
  <c r="V20" i="129"/>
  <c r="W20" i="129"/>
  <c r="X20" i="129"/>
  <c r="Y20" i="129"/>
  <c r="Z20" i="129"/>
  <c r="AA20" i="129"/>
  <c r="AA22" i="129" s="1"/>
  <c r="AA24" i="129" s="1"/>
  <c r="AB20" i="129"/>
  <c r="AC20" i="129"/>
  <c r="AD20" i="129"/>
  <c r="AE20" i="129"/>
  <c r="AF20" i="129"/>
  <c r="AG20" i="129"/>
  <c r="AH20" i="129"/>
  <c r="AI20" i="129"/>
  <c r="AI22" i="129" s="1"/>
  <c r="AI24" i="129" s="1"/>
  <c r="AJ20" i="129"/>
  <c r="AK20" i="129"/>
  <c r="AL20" i="129"/>
  <c r="AM20" i="129"/>
  <c r="AN20" i="129"/>
  <c r="AO20" i="129"/>
  <c r="AP20" i="129"/>
  <c r="AQ20" i="129"/>
  <c r="AQ22" i="129" s="1"/>
  <c r="AQ24" i="129" s="1"/>
  <c r="S20" i="129"/>
  <c r="AE23" i="129"/>
  <c r="AC23" i="129"/>
  <c r="X23" i="129"/>
  <c r="V23" i="129"/>
  <c r="T23" i="129"/>
  <c r="R23" i="129"/>
  <c r="P23" i="129"/>
  <c r="N23" i="129"/>
  <c r="L23" i="129"/>
  <c r="J23" i="129"/>
  <c r="I23" i="129"/>
  <c r="H23" i="129"/>
  <c r="F23" i="129"/>
  <c r="AO22" i="129"/>
  <c r="AO24" i="129" s="1"/>
  <c r="AN22" i="129"/>
  <c r="AN24" i="129" s="1"/>
  <c r="AK22" i="129"/>
  <c r="AK24" i="129" s="1"/>
  <c r="AJ22" i="129"/>
  <c r="AJ24" i="129" s="1"/>
  <c r="AG22" i="129"/>
  <c r="AG24" i="129" s="1"/>
  <c r="AF22" i="129"/>
  <c r="AF24" i="129" s="1"/>
  <c r="AC22" i="129"/>
  <c r="AB22" i="129"/>
  <c r="AB24" i="129" s="1"/>
  <c r="Y22" i="129"/>
  <c r="Y24" i="129" s="1"/>
  <c r="X22" i="129"/>
  <c r="X24" i="129" s="1"/>
  <c r="U22" i="129"/>
  <c r="U24" i="129" s="1"/>
  <c r="T22" i="129"/>
  <c r="T24" i="129" s="1"/>
  <c r="Q22" i="129"/>
  <c r="Q24" i="129" s="1"/>
  <c r="P22" i="129"/>
  <c r="P24" i="129" s="1"/>
  <c r="M22" i="129"/>
  <c r="M24" i="129" s="1"/>
  <c r="L22" i="129"/>
  <c r="L24" i="129" s="1"/>
  <c r="I22" i="129"/>
  <c r="I24" i="129" s="1"/>
  <c r="H22" i="129"/>
  <c r="H24" i="129" s="1"/>
  <c r="E22" i="129"/>
  <c r="E24" i="129" s="1"/>
  <c r="AE21" i="129"/>
  <c r="AC21" i="129"/>
  <c r="R21" i="129"/>
  <c r="H21" i="129"/>
  <c r="AP22" i="129"/>
  <c r="AP24" i="129" s="1"/>
  <c r="AM22" i="129"/>
  <c r="AM24" i="129" s="1"/>
  <c r="AL22" i="129"/>
  <c r="AL24" i="129" s="1"/>
  <c r="AH22" i="129"/>
  <c r="AH24" i="129" s="1"/>
  <c r="AE22" i="129"/>
  <c r="AE24" i="129" s="1"/>
  <c r="AD22" i="129"/>
  <c r="AD24" i="129" s="1"/>
  <c r="Z22" i="129"/>
  <c r="Z24" i="129" s="1"/>
  <c r="W22" i="129"/>
  <c r="W24" i="129" s="1"/>
  <c r="V22" i="129"/>
  <c r="V24" i="129" s="1"/>
  <c r="S22" i="129"/>
  <c r="S24" i="129" s="1"/>
  <c r="R20" i="129"/>
  <c r="R22" i="129" s="1"/>
  <c r="R24" i="129" s="1"/>
  <c r="Q20" i="129"/>
  <c r="P20" i="129"/>
  <c r="O20" i="129"/>
  <c r="O22" i="129" s="1"/>
  <c r="O24" i="129" s="1"/>
  <c r="N20" i="129"/>
  <c r="N22" i="129" s="1"/>
  <c r="N24" i="129" s="1"/>
  <c r="M20" i="129"/>
  <c r="L20" i="129"/>
  <c r="K20" i="129"/>
  <c r="K22" i="129" s="1"/>
  <c r="K24" i="129" s="1"/>
  <c r="J20" i="129"/>
  <c r="J22" i="129" s="1"/>
  <c r="J24" i="129" s="1"/>
  <c r="I20" i="129"/>
  <c r="H20" i="129"/>
  <c r="G20" i="129"/>
  <c r="G22" i="129" s="1"/>
  <c r="G24" i="129" s="1"/>
  <c r="F20" i="129"/>
  <c r="F22" i="129" s="1"/>
  <c r="F24" i="129" s="1"/>
  <c r="AC24" i="129" l="1"/>
  <c r="T20" i="128"/>
  <c r="U20" i="128"/>
  <c r="U22" i="128" s="1"/>
  <c r="U24" i="128" s="1"/>
  <c r="V20" i="128"/>
  <c r="W20" i="128"/>
  <c r="X20" i="128"/>
  <c r="X22" i="128" s="1"/>
  <c r="X24" i="128" s="1"/>
  <c r="Y20" i="128"/>
  <c r="Z20" i="128"/>
  <c r="AA20" i="128"/>
  <c r="AA22" i="128" s="1"/>
  <c r="AA24" i="128" s="1"/>
  <c r="AB20" i="128"/>
  <c r="AC20" i="128"/>
  <c r="AC22" i="128" s="1"/>
  <c r="AD20" i="128"/>
  <c r="AE20" i="128"/>
  <c r="AF20" i="128"/>
  <c r="AF22" i="128" s="1"/>
  <c r="AF24" i="128" s="1"/>
  <c r="AG20" i="128"/>
  <c r="AH20" i="128"/>
  <c r="AI20" i="128"/>
  <c r="AI22" i="128" s="1"/>
  <c r="AI24" i="128" s="1"/>
  <c r="AJ20" i="128"/>
  <c r="AK20" i="128"/>
  <c r="AK22" i="128" s="1"/>
  <c r="AK24" i="128" s="1"/>
  <c r="AL20" i="128"/>
  <c r="AM20" i="128"/>
  <c r="AN20" i="128"/>
  <c r="AN22" i="128" s="1"/>
  <c r="AN24" i="128" s="1"/>
  <c r="AO20" i="128"/>
  <c r="AP20" i="128"/>
  <c r="AQ20" i="128"/>
  <c r="AQ22" i="128" s="1"/>
  <c r="AQ24" i="128" s="1"/>
  <c r="S20" i="128"/>
  <c r="S22" i="128" s="1"/>
  <c r="S24" i="128" s="1"/>
  <c r="AE23" i="128"/>
  <c r="AC23" i="128"/>
  <c r="X23" i="128"/>
  <c r="V23" i="128"/>
  <c r="T23" i="128"/>
  <c r="R23" i="128"/>
  <c r="P23" i="128"/>
  <c r="N23" i="128"/>
  <c r="L23" i="128"/>
  <c r="J23" i="128"/>
  <c r="I23" i="128"/>
  <c r="H23" i="128"/>
  <c r="F23" i="128"/>
  <c r="AP22" i="128"/>
  <c r="AP24" i="128" s="1"/>
  <c r="AM22" i="128"/>
  <c r="AM24" i="128" s="1"/>
  <c r="AL22" i="128"/>
  <c r="AL24" i="128" s="1"/>
  <c r="AH22" i="128"/>
  <c r="AH24" i="128" s="1"/>
  <c r="AE22" i="128"/>
  <c r="AD22" i="128"/>
  <c r="AD24" i="128" s="1"/>
  <c r="Z22" i="128"/>
  <c r="Z24" i="128" s="1"/>
  <c r="W22" i="128"/>
  <c r="W24" i="128" s="1"/>
  <c r="V22" i="128"/>
  <c r="V24" i="128" s="1"/>
  <c r="O22" i="128"/>
  <c r="O24" i="128" s="1"/>
  <c r="N22" i="128"/>
  <c r="N24" i="128" s="1"/>
  <c r="K22" i="128"/>
  <c r="K24" i="128" s="1"/>
  <c r="J22" i="128"/>
  <c r="J24" i="128" s="1"/>
  <c r="G22" i="128"/>
  <c r="G24" i="128" s="1"/>
  <c r="F22" i="128"/>
  <c r="F24" i="128" s="1"/>
  <c r="E22" i="128"/>
  <c r="E24" i="128" s="1"/>
  <c r="AE21" i="128"/>
  <c r="AC21" i="128"/>
  <c r="R21" i="128"/>
  <c r="R22" i="128" s="1"/>
  <c r="R24" i="128" s="1"/>
  <c r="H21" i="128"/>
  <c r="AO22" i="128"/>
  <c r="AO24" i="128" s="1"/>
  <c r="AJ22" i="128"/>
  <c r="AJ24" i="128" s="1"/>
  <c r="AG22" i="128"/>
  <c r="AG24" i="128" s="1"/>
  <c r="AB22" i="128"/>
  <c r="AB24" i="128" s="1"/>
  <c r="Y22" i="128"/>
  <c r="Y24" i="128" s="1"/>
  <c r="T22" i="128"/>
  <c r="T24" i="128" s="1"/>
  <c r="R20" i="128"/>
  <c r="Q20" i="128"/>
  <c r="Q22" i="128" s="1"/>
  <c r="Q24" i="128" s="1"/>
  <c r="P20" i="128"/>
  <c r="P22" i="128" s="1"/>
  <c r="P24" i="128" s="1"/>
  <c r="O20" i="128"/>
  <c r="N20" i="128"/>
  <c r="M20" i="128"/>
  <c r="M22" i="128" s="1"/>
  <c r="M24" i="128" s="1"/>
  <c r="L20" i="128"/>
  <c r="L22" i="128" s="1"/>
  <c r="L24" i="128" s="1"/>
  <c r="K20" i="128"/>
  <c r="J20" i="128"/>
  <c r="I20" i="128"/>
  <c r="I22" i="128" s="1"/>
  <c r="I24" i="128" s="1"/>
  <c r="H20" i="128"/>
  <c r="H22" i="128" s="1"/>
  <c r="H24" i="128" s="1"/>
  <c r="G20" i="128"/>
  <c r="F20" i="128"/>
  <c r="AC24" i="128" l="1"/>
  <c r="AE24" i="128"/>
  <c r="T20" i="127"/>
  <c r="T22" i="127" s="1"/>
  <c r="T24" i="127" s="1"/>
  <c r="U20" i="127"/>
  <c r="V20" i="127"/>
  <c r="W20" i="127"/>
  <c r="X20" i="127"/>
  <c r="X22" i="127" s="1"/>
  <c r="X24" i="127" s="1"/>
  <c r="Y20" i="127"/>
  <c r="Z20" i="127"/>
  <c r="AA20" i="127"/>
  <c r="AA22" i="127" s="1"/>
  <c r="AA24" i="127" s="1"/>
  <c r="AB20" i="127"/>
  <c r="AB22" i="127" s="1"/>
  <c r="AB24" i="127" s="1"/>
  <c r="AC20" i="127"/>
  <c r="AD20" i="127"/>
  <c r="AE20" i="127"/>
  <c r="AF20" i="127"/>
  <c r="AF22" i="127" s="1"/>
  <c r="AF24" i="127" s="1"/>
  <c r="AG20" i="127"/>
  <c r="AH20" i="127"/>
  <c r="AI20" i="127"/>
  <c r="AI22" i="127" s="1"/>
  <c r="AI24" i="127" s="1"/>
  <c r="AJ20" i="127"/>
  <c r="AJ22" i="127" s="1"/>
  <c r="AJ24" i="127" s="1"/>
  <c r="AK20" i="127"/>
  <c r="AL20" i="127"/>
  <c r="AM20" i="127"/>
  <c r="AN20" i="127"/>
  <c r="AN22" i="127" s="1"/>
  <c r="AN24" i="127" s="1"/>
  <c r="AO20" i="127"/>
  <c r="AP20" i="127"/>
  <c r="AQ20" i="127"/>
  <c r="AQ22" i="127" s="1"/>
  <c r="AQ24" i="127" s="1"/>
  <c r="S20" i="127"/>
  <c r="S22" i="127" s="1"/>
  <c r="S24" i="127" s="1"/>
  <c r="AE23" i="127"/>
  <c r="AC23" i="127"/>
  <c r="X23" i="127"/>
  <c r="V23" i="127"/>
  <c r="T23" i="127"/>
  <c r="R23" i="127"/>
  <c r="P23" i="127"/>
  <c r="N23" i="127"/>
  <c r="L23" i="127"/>
  <c r="J23" i="127"/>
  <c r="I23" i="127"/>
  <c r="H23" i="127"/>
  <c r="F23" i="127"/>
  <c r="AP22" i="127"/>
  <c r="AP24" i="127" s="1"/>
  <c r="AL22" i="127"/>
  <c r="AL24" i="127" s="1"/>
  <c r="AH22" i="127"/>
  <c r="AH24" i="127" s="1"/>
  <c r="AD22" i="127"/>
  <c r="AD24" i="127" s="1"/>
  <c r="Z22" i="127"/>
  <c r="Z24" i="127" s="1"/>
  <c r="V22" i="127"/>
  <c r="V24" i="127" s="1"/>
  <c r="P22" i="127"/>
  <c r="P24" i="127" s="1"/>
  <c r="N22" i="127"/>
  <c r="N24" i="127" s="1"/>
  <c r="L22" i="127"/>
  <c r="L24" i="127" s="1"/>
  <c r="J22" i="127"/>
  <c r="J24" i="127" s="1"/>
  <c r="H22" i="127"/>
  <c r="H24" i="127" s="1"/>
  <c r="F22" i="127"/>
  <c r="F24" i="127" s="1"/>
  <c r="E22" i="127"/>
  <c r="E24" i="127" s="1"/>
  <c r="AE21" i="127"/>
  <c r="AC21" i="127"/>
  <c r="R21" i="127"/>
  <c r="R22" i="127" s="1"/>
  <c r="R24" i="127" s="1"/>
  <c r="H21" i="127"/>
  <c r="AO22" i="127"/>
  <c r="AO24" i="127" s="1"/>
  <c r="AM22" i="127"/>
  <c r="AM24" i="127" s="1"/>
  <c r="AK22" i="127"/>
  <c r="AK24" i="127" s="1"/>
  <c r="AG22" i="127"/>
  <c r="AG24" i="127" s="1"/>
  <c r="AE22" i="127"/>
  <c r="AC22" i="127"/>
  <c r="Y22" i="127"/>
  <c r="Y24" i="127" s="1"/>
  <c r="W22" i="127"/>
  <c r="W24" i="127" s="1"/>
  <c r="U22" i="127"/>
  <c r="U24" i="127" s="1"/>
  <c r="R20" i="127"/>
  <c r="Q20" i="127"/>
  <c r="Q22" i="127" s="1"/>
  <c r="Q24" i="127" s="1"/>
  <c r="P20" i="127"/>
  <c r="O20" i="127"/>
  <c r="O22" i="127" s="1"/>
  <c r="O24" i="127" s="1"/>
  <c r="N20" i="127"/>
  <c r="M20" i="127"/>
  <c r="M22" i="127" s="1"/>
  <c r="M24" i="127" s="1"/>
  <c r="L20" i="127"/>
  <c r="K20" i="127"/>
  <c r="K22" i="127" s="1"/>
  <c r="K24" i="127" s="1"/>
  <c r="J20" i="127"/>
  <c r="I20" i="127"/>
  <c r="I22" i="127" s="1"/>
  <c r="I24" i="127" s="1"/>
  <c r="H20" i="127"/>
  <c r="G20" i="127"/>
  <c r="G22" i="127" s="1"/>
  <c r="G24" i="127" s="1"/>
  <c r="F20" i="127"/>
  <c r="AE24" i="127" l="1"/>
  <c r="AC24" i="127"/>
  <c r="T20" i="126" l="1"/>
  <c r="U20" i="126"/>
  <c r="V20" i="126"/>
  <c r="W20" i="126"/>
  <c r="X20" i="126"/>
  <c r="X22" i="126" s="1"/>
  <c r="X24" i="126" s="1"/>
  <c r="Y20" i="126"/>
  <c r="Z20" i="126"/>
  <c r="AA20" i="126"/>
  <c r="AB20" i="126"/>
  <c r="AB22" i="126" s="1"/>
  <c r="AB24" i="126" s="1"/>
  <c r="AC20" i="126"/>
  <c r="AC22" i="126" s="1"/>
  <c r="AD20" i="126"/>
  <c r="AE20" i="126"/>
  <c r="AF20" i="126"/>
  <c r="AG20" i="126"/>
  <c r="AG22" i="126" s="1"/>
  <c r="AG24" i="126" s="1"/>
  <c r="AH20" i="126"/>
  <c r="AI20" i="126"/>
  <c r="AI22" i="126" s="1"/>
  <c r="AI24" i="126" s="1"/>
  <c r="AJ20" i="126"/>
  <c r="AK20" i="126"/>
  <c r="AK22" i="126" s="1"/>
  <c r="AK24" i="126" s="1"/>
  <c r="AL20" i="126"/>
  <c r="AM20" i="126"/>
  <c r="AN20" i="126"/>
  <c r="AN22" i="126" s="1"/>
  <c r="AN24" i="126" s="1"/>
  <c r="AO20" i="126"/>
  <c r="AP20" i="126"/>
  <c r="AQ20" i="126"/>
  <c r="S20" i="126"/>
  <c r="AE23" i="126"/>
  <c r="AC23" i="126"/>
  <c r="X23" i="126"/>
  <c r="V23" i="126"/>
  <c r="T23" i="126"/>
  <c r="R23" i="126"/>
  <c r="P23" i="126"/>
  <c r="N23" i="126"/>
  <c r="L23" i="126"/>
  <c r="J23" i="126"/>
  <c r="I23" i="126"/>
  <c r="H23" i="126"/>
  <c r="F23" i="126"/>
  <c r="AP22" i="126"/>
  <c r="AP24" i="126" s="1"/>
  <c r="AL22" i="126"/>
  <c r="AL24" i="126" s="1"/>
  <c r="AH22" i="126"/>
  <c r="AH24" i="126" s="1"/>
  <c r="AD22" i="126"/>
  <c r="AD24" i="126" s="1"/>
  <c r="Z22" i="126"/>
  <c r="Z24" i="126" s="1"/>
  <c r="V22" i="126"/>
  <c r="V24" i="126" s="1"/>
  <c r="N22" i="126"/>
  <c r="N24" i="126" s="1"/>
  <c r="J22" i="126"/>
  <c r="J24" i="126" s="1"/>
  <c r="F22" i="126"/>
  <c r="F24" i="126" s="1"/>
  <c r="E22" i="126"/>
  <c r="E24" i="126" s="1"/>
  <c r="AE21" i="126"/>
  <c r="AC21" i="126"/>
  <c r="R21" i="126"/>
  <c r="R22" i="126" s="1"/>
  <c r="R24" i="126" s="1"/>
  <c r="H21" i="126"/>
  <c r="AQ22" i="126"/>
  <c r="AQ24" i="126" s="1"/>
  <c r="AO22" i="126"/>
  <c r="AO24" i="126" s="1"/>
  <c r="AM22" i="126"/>
  <c r="AM24" i="126" s="1"/>
  <c r="AJ22" i="126"/>
  <c r="AJ24" i="126" s="1"/>
  <c r="AF22" i="126"/>
  <c r="AF24" i="126" s="1"/>
  <c r="AE22" i="126"/>
  <c r="AE24" i="126" s="1"/>
  <c r="AA22" i="126"/>
  <c r="AA24" i="126" s="1"/>
  <c r="Y22" i="126"/>
  <c r="Y24" i="126" s="1"/>
  <c r="W22" i="126"/>
  <c r="W24" i="126" s="1"/>
  <c r="U22" i="126"/>
  <c r="U24" i="126" s="1"/>
  <c r="T22" i="126"/>
  <c r="T24" i="126" s="1"/>
  <c r="S22" i="126"/>
  <c r="S24" i="126" s="1"/>
  <c r="R20" i="126"/>
  <c r="Q20" i="126"/>
  <c r="Q22" i="126" s="1"/>
  <c r="Q24" i="126" s="1"/>
  <c r="P20" i="126"/>
  <c r="P22" i="126" s="1"/>
  <c r="P24" i="126" s="1"/>
  <c r="O20" i="126"/>
  <c r="O22" i="126" s="1"/>
  <c r="O24" i="126" s="1"/>
  <c r="N20" i="126"/>
  <c r="M20" i="126"/>
  <c r="M22" i="126" s="1"/>
  <c r="M24" i="126" s="1"/>
  <c r="L20" i="126"/>
  <c r="L22" i="126" s="1"/>
  <c r="L24" i="126" s="1"/>
  <c r="K20" i="126"/>
  <c r="K22" i="126" s="1"/>
  <c r="K24" i="126" s="1"/>
  <c r="J20" i="126"/>
  <c r="I20" i="126"/>
  <c r="I22" i="126" s="1"/>
  <c r="I24" i="126" s="1"/>
  <c r="H20" i="126"/>
  <c r="H22" i="126" s="1"/>
  <c r="H24" i="126" s="1"/>
  <c r="G20" i="126"/>
  <c r="G22" i="126" s="1"/>
  <c r="G24" i="126" s="1"/>
  <c r="F20" i="126"/>
  <c r="AC24" i="126" l="1"/>
  <c r="T20" i="125"/>
  <c r="T22" i="125" s="1"/>
  <c r="T24" i="125" s="1"/>
  <c r="U20" i="125"/>
  <c r="V20" i="125"/>
  <c r="W20" i="125"/>
  <c r="X20" i="125"/>
  <c r="X22" i="125" s="1"/>
  <c r="X24" i="125" s="1"/>
  <c r="Y20" i="125"/>
  <c r="Y22" i="125" s="1"/>
  <c r="Y24" i="125" s="1"/>
  <c r="Z20" i="125"/>
  <c r="AA20" i="125"/>
  <c r="AA22" i="125" s="1"/>
  <c r="AA24" i="125" s="1"/>
  <c r="AB20" i="125"/>
  <c r="AC20" i="125"/>
  <c r="AC22" i="125" s="1"/>
  <c r="AD20" i="125"/>
  <c r="AE20" i="125"/>
  <c r="AF20" i="125"/>
  <c r="AG20" i="125"/>
  <c r="AG22" i="125" s="1"/>
  <c r="AG24" i="125" s="1"/>
  <c r="AH20" i="125"/>
  <c r="AI20" i="125"/>
  <c r="AJ20" i="125"/>
  <c r="AJ22" i="125" s="1"/>
  <c r="AJ24" i="125" s="1"/>
  <c r="AK20" i="125"/>
  <c r="AL20" i="125"/>
  <c r="AM20" i="125"/>
  <c r="AN20" i="125"/>
  <c r="AN22" i="125" s="1"/>
  <c r="AN24" i="125" s="1"/>
  <c r="AO20" i="125"/>
  <c r="AO22" i="125" s="1"/>
  <c r="AO24" i="125" s="1"/>
  <c r="AP20" i="125"/>
  <c r="AQ20" i="125"/>
  <c r="AQ22" i="125" s="1"/>
  <c r="AQ24" i="125" s="1"/>
  <c r="S20" i="125"/>
  <c r="AE23" i="125"/>
  <c r="AC23" i="125"/>
  <c r="X23" i="125"/>
  <c r="V23" i="125"/>
  <c r="T23" i="125"/>
  <c r="R23" i="125"/>
  <c r="P23" i="125"/>
  <c r="N23" i="125"/>
  <c r="L23" i="125"/>
  <c r="J23" i="125"/>
  <c r="I23" i="125"/>
  <c r="H23" i="125"/>
  <c r="F23" i="125"/>
  <c r="AM22" i="125"/>
  <c r="AM24" i="125" s="1"/>
  <c r="AI22" i="125"/>
  <c r="AI24" i="125" s="1"/>
  <c r="AE22" i="125"/>
  <c r="W22" i="125"/>
  <c r="W24" i="125" s="1"/>
  <c r="S22" i="125"/>
  <c r="S24" i="125" s="1"/>
  <c r="O22" i="125"/>
  <c r="O24" i="125" s="1"/>
  <c r="K22" i="125"/>
  <c r="K24" i="125" s="1"/>
  <c r="G22" i="125"/>
  <c r="G24" i="125" s="1"/>
  <c r="E22" i="125"/>
  <c r="E24" i="125" s="1"/>
  <c r="AE21" i="125"/>
  <c r="AC21" i="125"/>
  <c r="R21" i="125"/>
  <c r="H21" i="125"/>
  <c r="AP22" i="125"/>
  <c r="AP24" i="125" s="1"/>
  <c r="AL22" i="125"/>
  <c r="AL24" i="125" s="1"/>
  <c r="AK22" i="125"/>
  <c r="AK24" i="125" s="1"/>
  <c r="AH22" i="125"/>
  <c r="AH24" i="125" s="1"/>
  <c r="AF22" i="125"/>
  <c r="AF24" i="125" s="1"/>
  <c r="AD22" i="125"/>
  <c r="AD24" i="125" s="1"/>
  <c r="AB22" i="125"/>
  <c r="AB24" i="125" s="1"/>
  <c r="Z22" i="125"/>
  <c r="Z24" i="125" s="1"/>
  <c r="V22" i="125"/>
  <c r="V24" i="125" s="1"/>
  <c r="U22" i="125"/>
  <c r="U24" i="125" s="1"/>
  <c r="R20" i="125"/>
  <c r="R22" i="125" s="1"/>
  <c r="R24" i="125" s="1"/>
  <c r="Q20" i="125"/>
  <c r="Q22" i="125" s="1"/>
  <c r="Q24" i="125" s="1"/>
  <c r="P20" i="125"/>
  <c r="P22" i="125" s="1"/>
  <c r="P24" i="125" s="1"/>
  <c r="O20" i="125"/>
  <c r="N20" i="125"/>
  <c r="N22" i="125" s="1"/>
  <c r="N24" i="125" s="1"/>
  <c r="M20" i="125"/>
  <c r="M22" i="125" s="1"/>
  <c r="M24" i="125" s="1"/>
  <c r="L20" i="125"/>
  <c r="L22" i="125" s="1"/>
  <c r="L24" i="125" s="1"/>
  <c r="K20" i="125"/>
  <c r="J20" i="125"/>
  <c r="J22" i="125" s="1"/>
  <c r="J24" i="125" s="1"/>
  <c r="I20" i="125"/>
  <c r="I22" i="125" s="1"/>
  <c r="I24" i="125" s="1"/>
  <c r="H20" i="125"/>
  <c r="H22" i="125" s="1"/>
  <c r="H24" i="125" s="1"/>
  <c r="G20" i="125"/>
  <c r="F20" i="125"/>
  <c r="F22" i="125" s="1"/>
  <c r="F24" i="125" s="1"/>
  <c r="AE24" i="125" l="1"/>
  <c r="AC24" i="125"/>
  <c r="T20" i="124"/>
  <c r="T22" i="124" s="1"/>
  <c r="T24" i="124" s="1"/>
  <c r="U20" i="124"/>
  <c r="V20" i="124"/>
  <c r="W20" i="124"/>
  <c r="X20" i="124"/>
  <c r="X22" i="124" s="1"/>
  <c r="X24" i="124" s="1"/>
  <c r="Y20" i="124"/>
  <c r="Z20" i="124"/>
  <c r="AA20" i="124"/>
  <c r="AB20" i="124"/>
  <c r="AB22" i="124" s="1"/>
  <c r="AB24" i="124" s="1"/>
  <c r="AC20" i="124"/>
  <c r="AD20" i="124"/>
  <c r="AE20" i="124"/>
  <c r="AF20" i="124"/>
  <c r="AF22" i="124" s="1"/>
  <c r="AF24" i="124" s="1"/>
  <c r="AG20" i="124"/>
  <c r="AH20" i="124"/>
  <c r="AI20" i="124"/>
  <c r="AJ20" i="124"/>
  <c r="AJ22" i="124" s="1"/>
  <c r="AJ24" i="124" s="1"/>
  <c r="AK20" i="124"/>
  <c r="AL20" i="124"/>
  <c r="AM20" i="124"/>
  <c r="AN20" i="124"/>
  <c r="AN22" i="124" s="1"/>
  <c r="AN24" i="124" s="1"/>
  <c r="AO20" i="124"/>
  <c r="AP20" i="124"/>
  <c r="AQ20" i="124"/>
  <c r="AQ22" i="124" s="1"/>
  <c r="AQ24" i="124" s="1"/>
  <c r="S20" i="124"/>
  <c r="S22" i="124" s="1"/>
  <c r="S24" i="124" s="1"/>
  <c r="AE23" i="124"/>
  <c r="AC23" i="124"/>
  <c r="X23" i="124"/>
  <c r="V23" i="124"/>
  <c r="T23" i="124"/>
  <c r="R23" i="124"/>
  <c r="P23" i="124"/>
  <c r="N23" i="124"/>
  <c r="L23" i="124"/>
  <c r="J23" i="124"/>
  <c r="I23" i="124"/>
  <c r="H23" i="124"/>
  <c r="F23" i="124"/>
  <c r="E22" i="124"/>
  <c r="E24" i="124" s="1"/>
  <c r="AE21" i="124"/>
  <c r="AC21" i="124"/>
  <c r="R21" i="124"/>
  <c r="H21" i="124"/>
  <c r="AP22" i="124"/>
  <c r="AP24" i="124" s="1"/>
  <c r="AO22" i="124"/>
  <c r="AO24" i="124" s="1"/>
  <c r="AM22" i="124"/>
  <c r="AM24" i="124" s="1"/>
  <c r="AL22" i="124"/>
  <c r="AL24" i="124" s="1"/>
  <c r="AK22" i="124"/>
  <c r="AK24" i="124" s="1"/>
  <c r="AI22" i="124"/>
  <c r="AI24" i="124" s="1"/>
  <c r="AH22" i="124"/>
  <c r="AH24" i="124" s="1"/>
  <c r="AG22" i="124"/>
  <c r="AG24" i="124" s="1"/>
  <c r="AE22" i="124"/>
  <c r="AD22" i="124"/>
  <c r="AD24" i="124" s="1"/>
  <c r="AC22" i="124"/>
  <c r="AC24" i="124" s="1"/>
  <c r="AA22" i="124"/>
  <c r="AA24" i="124" s="1"/>
  <c r="Z22" i="124"/>
  <c r="Z24" i="124" s="1"/>
  <c r="Y22" i="124"/>
  <c r="Y24" i="124" s="1"/>
  <c r="W22" i="124"/>
  <c r="W24" i="124" s="1"/>
  <c r="V22" i="124"/>
  <c r="V24" i="124" s="1"/>
  <c r="U22" i="124"/>
  <c r="U24" i="124" s="1"/>
  <c r="R20" i="124"/>
  <c r="R22" i="124" s="1"/>
  <c r="R24" i="124" s="1"/>
  <c r="Q20" i="124"/>
  <c r="Q22" i="124" s="1"/>
  <c r="Q24" i="124" s="1"/>
  <c r="P20" i="124"/>
  <c r="P22" i="124" s="1"/>
  <c r="P24" i="124" s="1"/>
  <c r="O20" i="124"/>
  <c r="O22" i="124" s="1"/>
  <c r="O24" i="124" s="1"/>
  <c r="N20" i="124"/>
  <c r="N22" i="124" s="1"/>
  <c r="N24" i="124" s="1"/>
  <c r="M20" i="124"/>
  <c r="M22" i="124" s="1"/>
  <c r="M24" i="124" s="1"/>
  <c r="L20" i="124"/>
  <c r="L22" i="124" s="1"/>
  <c r="L24" i="124" s="1"/>
  <c r="K20" i="124"/>
  <c r="K22" i="124" s="1"/>
  <c r="K24" i="124" s="1"/>
  <c r="J20" i="124"/>
  <c r="J22" i="124" s="1"/>
  <c r="J24" i="124" s="1"/>
  <c r="I20" i="124"/>
  <c r="I22" i="124" s="1"/>
  <c r="I24" i="124" s="1"/>
  <c r="H20" i="124"/>
  <c r="H22" i="124" s="1"/>
  <c r="H24" i="124" s="1"/>
  <c r="G20" i="124"/>
  <c r="G22" i="124" s="1"/>
  <c r="G24" i="124" s="1"/>
  <c r="F20" i="124"/>
  <c r="F22" i="124" s="1"/>
  <c r="F24" i="124" s="1"/>
  <c r="AE24" i="124" l="1"/>
  <c r="T20" i="123" l="1"/>
  <c r="U20" i="123"/>
  <c r="U22" i="123" s="1"/>
  <c r="U24" i="123" s="1"/>
  <c r="V20" i="123"/>
  <c r="W20" i="123"/>
  <c r="X20" i="123"/>
  <c r="X22" i="123" s="1"/>
  <c r="X24" i="123" s="1"/>
  <c r="Y20" i="123"/>
  <c r="Y22" i="123" s="1"/>
  <c r="Y24" i="123" s="1"/>
  <c r="Z20" i="123"/>
  <c r="AA20" i="123"/>
  <c r="AB20" i="123"/>
  <c r="AC20" i="123"/>
  <c r="AD20" i="123"/>
  <c r="AE20" i="123"/>
  <c r="AF20" i="123"/>
  <c r="AF22" i="123" s="1"/>
  <c r="AF24" i="123" s="1"/>
  <c r="AG20" i="123"/>
  <c r="AG22" i="123" s="1"/>
  <c r="AG24" i="123" s="1"/>
  <c r="AH20" i="123"/>
  <c r="AI20" i="123"/>
  <c r="AI22" i="123" s="1"/>
  <c r="AI24" i="123" s="1"/>
  <c r="AJ20" i="123"/>
  <c r="AK20" i="123"/>
  <c r="AK22" i="123" s="1"/>
  <c r="AK24" i="123" s="1"/>
  <c r="AL20" i="123"/>
  <c r="AM20" i="123"/>
  <c r="AN20" i="123"/>
  <c r="AN22" i="123" s="1"/>
  <c r="AN24" i="123" s="1"/>
  <c r="AO20" i="123"/>
  <c r="AO22" i="123" s="1"/>
  <c r="AO24" i="123" s="1"/>
  <c r="AP20" i="123"/>
  <c r="AQ20" i="123"/>
  <c r="AQ22" i="123" s="1"/>
  <c r="AQ24" i="123" s="1"/>
  <c r="S20" i="123"/>
  <c r="AE23" i="123"/>
  <c r="AC23" i="123"/>
  <c r="X23" i="123"/>
  <c r="V23" i="123"/>
  <c r="T23" i="123"/>
  <c r="R23" i="123"/>
  <c r="P23" i="123"/>
  <c r="N23" i="123"/>
  <c r="L23" i="123"/>
  <c r="J23" i="123"/>
  <c r="I23" i="123"/>
  <c r="H23" i="123"/>
  <c r="F23" i="123"/>
  <c r="AM22" i="123"/>
  <c r="AM24" i="123" s="1"/>
  <c r="AE22" i="123"/>
  <c r="AE24" i="123" s="1"/>
  <c r="AA22" i="123"/>
  <c r="AA24" i="123" s="1"/>
  <c r="W22" i="123"/>
  <c r="W24" i="123" s="1"/>
  <c r="S22" i="123"/>
  <c r="S24" i="123" s="1"/>
  <c r="Q22" i="123"/>
  <c r="Q24" i="123" s="1"/>
  <c r="O22" i="123"/>
  <c r="O24" i="123" s="1"/>
  <c r="M22" i="123"/>
  <c r="M24" i="123" s="1"/>
  <c r="K22" i="123"/>
  <c r="K24" i="123" s="1"/>
  <c r="I22" i="123"/>
  <c r="I24" i="123" s="1"/>
  <c r="G22" i="123"/>
  <c r="G24" i="123" s="1"/>
  <c r="E22" i="123"/>
  <c r="E24" i="123" s="1"/>
  <c r="AE21" i="123"/>
  <c r="AC21" i="123"/>
  <c r="R21" i="123"/>
  <c r="H21" i="123"/>
  <c r="AP22" i="123"/>
  <c r="AP24" i="123" s="1"/>
  <c r="AL22" i="123"/>
  <c r="AL24" i="123" s="1"/>
  <c r="AJ22" i="123"/>
  <c r="AJ24" i="123" s="1"/>
  <c r="AH22" i="123"/>
  <c r="AH24" i="123" s="1"/>
  <c r="AD22" i="123"/>
  <c r="AD24" i="123" s="1"/>
  <c r="AB22" i="123"/>
  <c r="AB24" i="123" s="1"/>
  <c r="Z22" i="123"/>
  <c r="Z24" i="123" s="1"/>
  <c r="V22" i="123"/>
  <c r="V24" i="123" s="1"/>
  <c r="T22" i="123"/>
  <c r="T24" i="123" s="1"/>
  <c r="R20" i="123"/>
  <c r="R22" i="123" s="1"/>
  <c r="R24" i="123" s="1"/>
  <c r="Q20" i="123"/>
  <c r="P20" i="123"/>
  <c r="P22" i="123" s="1"/>
  <c r="P24" i="123" s="1"/>
  <c r="O20" i="123"/>
  <c r="N20" i="123"/>
  <c r="N22" i="123" s="1"/>
  <c r="N24" i="123" s="1"/>
  <c r="M20" i="123"/>
  <c r="L20" i="123"/>
  <c r="L22" i="123" s="1"/>
  <c r="L24" i="123" s="1"/>
  <c r="K20" i="123"/>
  <c r="J20" i="123"/>
  <c r="J22" i="123" s="1"/>
  <c r="J24" i="123" s="1"/>
  <c r="I20" i="123"/>
  <c r="H20" i="123"/>
  <c r="H22" i="123" s="1"/>
  <c r="H24" i="123" s="1"/>
  <c r="G20" i="123"/>
  <c r="F20" i="123"/>
  <c r="F22" i="123" s="1"/>
  <c r="F24" i="123" s="1"/>
  <c r="AC22" i="123" l="1"/>
  <c r="AC24" i="123" s="1"/>
  <c r="T20" i="122"/>
  <c r="U20" i="122"/>
  <c r="V20" i="122"/>
  <c r="W20" i="122"/>
  <c r="X20" i="122"/>
  <c r="Y20" i="122"/>
  <c r="Z20" i="122"/>
  <c r="AA20" i="122"/>
  <c r="AA22" i="122" s="1"/>
  <c r="AA24" i="122" s="1"/>
  <c r="AB20" i="122"/>
  <c r="AC20" i="122"/>
  <c r="AD20" i="122"/>
  <c r="AE20" i="122"/>
  <c r="AE22" i="122" s="1"/>
  <c r="AF20" i="122"/>
  <c r="AG20" i="122"/>
  <c r="AH20" i="122"/>
  <c r="AI20" i="122"/>
  <c r="AI22" i="122" s="1"/>
  <c r="AI24" i="122" s="1"/>
  <c r="AJ20" i="122"/>
  <c r="AK20" i="122"/>
  <c r="AL20" i="122"/>
  <c r="AM20" i="122"/>
  <c r="AN20" i="122"/>
  <c r="AO20" i="122"/>
  <c r="AP20" i="122"/>
  <c r="AQ20" i="122"/>
  <c r="AQ22" i="122" s="1"/>
  <c r="AQ24" i="122" s="1"/>
  <c r="S20" i="122"/>
  <c r="S22" i="122" s="1"/>
  <c r="S24" i="122" s="1"/>
  <c r="AE23" i="122"/>
  <c r="AC23" i="122"/>
  <c r="X23" i="122"/>
  <c r="V23" i="122"/>
  <c r="T23" i="122"/>
  <c r="R23" i="122"/>
  <c r="P23" i="122"/>
  <c r="N23" i="122"/>
  <c r="L23" i="122"/>
  <c r="J23" i="122"/>
  <c r="I23" i="122"/>
  <c r="H23" i="122"/>
  <c r="F23" i="122"/>
  <c r="AP22" i="122"/>
  <c r="AP24" i="122" s="1"/>
  <c r="AO22" i="122"/>
  <c r="AO24" i="122" s="1"/>
  <c r="AN22" i="122"/>
  <c r="AN24" i="122" s="1"/>
  <c r="AL22" i="122"/>
  <c r="AL24" i="122" s="1"/>
  <c r="AK22" i="122"/>
  <c r="AK24" i="122" s="1"/>
  <c r="AJ22" i="122"/>
  <c r="AJ24" i="122" s="1"/>
  <c r="AH22" i="122"/>
  <c r="AH24" i="122" s="1"/>
  <c r="AG22" i="122"/>
  <c r="AG24" i="122" s="1"/>
  <c r="AF22" i="122"/>
  <c r="AF24" i="122" s="1"/>
  <c r="AD22" i="122"/>
  <c r="AD24" i="122" s="1"/>
  <c r="AC22" i="122"/>
  <c r="AB22" i="122"/>
  <c r="AB24" i="122" s="1"/>
  <c r="Z22" i="122"/>
  <c r="Z24" i="122" s="1"/>
  <c r="Y22" i="122"/>
  <c r="Y24" i="122" s="1"/>
  <c r="X22" i="122"/>
  <c r="X24" i="122" s="1"/>
  <c r="V22" i="122"/>
  <c r="V24" i="122" s="1"/>
  <c r="U22" i="122"/>
  <c r="U24" i="122" s="1"/>
  <c r="T22" i="122"/>
  <c r="T24" i="122" s="1"/>
  <c r="Q22" i="122"/>
  <c r="Q24" i="122" s="1"/>
  <c r="P22" i="122"/>
  <c r="P24" i="122" s="1"/>
  <c r="N22" i="122"/>
  <c r="N24" i="122" s="1"/>
  <c r="M22" i="122"/>
  <c r="M24" i="122" s="1"/>
  <c r="L22" i="122"/>
  <c r="L24" i="122" s="1"/>
  <c r="J22" i="122"/>
  <c r="J24" i="122" s="1"/>
  <c r="I22" i="122"/>
  <c r="I24" i="122" s="1"/>
  <c r="H22" i="122"/>
  <c r="H24" i="122" s="1"/>
  <c r="F22" i="122"/>
  <c r="F24" i="122" s="1"/>
  <c r="E22" i="122"/>
  <c r="E24" i="122" s="1"/>
  <c r="AE21" i="122"/>
  <c r="AC21" i="122"/>
  <c r="R21" i="122"/>
  <c r="R22" i="122" s="1"/>
  <c r="R24" i="122" s="1"/>
  <c r="H21" i="122"/>
  <c r="AM22" i="122"/>
  <c r="AM24" i="122" s="1"/>
  <c r="W22" i="122"/>
  <c r="W24" i="122" s="1"/>
  <c r="R20" i="122"/>
  <c r="Q20" i="122"/>
  <c r="P20" i="122"/>
  <c r="O20" i="122"/>
  <c r="O22" i="122" s="1"/>
  <c r="O24" i="122" s="1"/>
  <c r="N20" i="122"/>
  <c r="M20" i="122"/>
  <c r="L20" i="122"/>
  <c r="K20" i="122"/>
  <c r="K22" i="122" s="1"/>
  <c r="K24" i="122" s="1"/>
  <c r="J20" i="122"/>
  <c r="I20" i="122"/>
  <c r="H20" i="122"/>
  <c r="G20" i="122"/>
  <c r="G22" i="122" s="1"/>
  <c r="G24" i="122" s="1"/>
  <c r="F20" i="122"/>
  <c r="AE24" i="122" l="1"/>
  <c r="AC24" i="122"/>
  <c r="T20" i="121"/>
  <c r="U20" i="121"/>
  <c r="U22" i="121" s="1"/>
  <c r="U24" i="121" s="1"/>
  <c r="V20" i="121"/>
  <c r="W20" i="121"/>
  <c r="W22" i="121" s="1"/>
  <c r="W24" i="121" s="1"/>
  <c r="X20" i="121"/>
  <c r="X22" i="121" s="1"/>
  <c r="X24" i="121" s="1"/>
  <c r="Y20" i="121"/>
  <c r="Z20" i="121"/>
  <c r="AA20" i="121"/>
  <c r="AB20" i="121"/>
  <c r="AC20" i="121"/>
  <c r="AD20" i="121"/>
  <c r="AE20" i="121"/>
  <c r="AE22" i="121" s="1"/>
  <c r="AF20" i="121"/>
  <c r="AG20" i="121"/>
  <c r="AH20" i="121"/>
  <c r="AI20" i="121"/>
  <c r="AJ20" i="121"/>
  <c r="AJ22" i="121" s="1"/>
  <c r="AJ24" i="121" s="1"/>
  <c r="AK20" i="121"/>
  <c r="AL20" i="121"/>
  <c r="AM20" i="121"/>
  <c r="AM22" i="121" s="1"/>
  <c r="AM24" i="121" s="1"/>
  <c r="AN20" i="121"/>
  <c r="AO20" i="121"/>
  <c r="AO22" i="121" s="1"/>
  <c r="AO24" i="121" s="1"/>
  <c r="AP20" i="121"/>
  <c r="AQ20" i="121"/>
  <c r="S20" i="121"/>
  <c r="V22" i="121"/>
  <c r="V24" i="121" s="1"/>
  <c r="AA22" i="121"/>
  <c r="AA24" i="121" s="1"/>
  <c r="AD22" i="121"/>
  <c r="AD24" i="121" s="1"/>
  <c r="AG22" i="121"/>
  <c r="AG24" i="121" s="1"/>
  <c r="AE23" i="121"/>
  <c r="AC23" i="121"/>
  <c r="X23" i="121"/>
  <c r="V23" i="121"/>
  <c r="T23" i="121"/>
  <c r="R23" i="121"/>
  <c r="P23" i="121"/>
  <c r="N23" i="121"/>
  <c r="L23" i="121"/>
  <c r="J23" i="121"/>
  <c r="I23" i="121"/>
  <c r="H23" i="121"/>
  <c r="F23" i="121"/>
  <c r="AQ22" i="121"/>
  <c r="AQ24" i="121" s="1"/>
  <c r="AP22" i="121"/>
  <c r="AP24" i="121" s="1"/>
  <c r="AL22" i="121"/>
  <c r="AL24" i="121" s="1"/>
  <c r="AI22" i="121"/>
  <c r="AI24" i="121" s="1"/>
  <c r="AH22" i="121"/>
  <c r="AH24" i="121" s="1"/>
  <c r="Z22" i="121"/>
  <c r="Z24" i="121" s="1"/>
  <c r="S22" i="121"/>
  <c r="S24" i="121" s="1"/>
  <c r="O22" i="121"/>
  <c r="O24" i="121" s="1"/>
  <c r="N22" i="121"/>
  <c r="N24" i="121" s="1"/>
  <c r="K22" i="121"/>
  <c r="K24" i="121" s="1"/>
  <c r="J22" i="121"/>
  <c r="J24" i="121" s="1"/>
  <c r="G22" i="121"/>
  <c r="G24" i="121" s="1"/>
  <c r="F22" i="121"/>
  <c r="F24" i="121" s="1"/>
  <c r="E22" i="121"/>
  <c r="E24" i="121" s="1"/>
  <c r="AE21" i="121"/>
  <c r="AC21" i="121"/>
  <c r="R21" i="121"/>
  <c r="R22" i="121" s="1"/>
  <c r="R24" i="121" s="1"/>
  <c r="H21" i="121"/>
  <c r="AN22" i="121"/>
  <c r="AN24" i="121" s="1"/>
  <c r="AK22" i="121"/>
  <c r="AK24" i="121" s="1"/>
  <c r="AF22" i="121"/>
  <c r="AF24" i="121" s="1"/>
  <c r="AB22" i="121"/>
  <c r="AB24" i="121" s="1"/>
  <c r="Y22" i="121"/>
  <c r="Y24" i="121" s="1"/>
  <c r="T22" i="121"/>
  <c r="T24" i="121" s="1"/>
  <c r="R20" i="121"/>
  <c r="Q20" i="121"/>
  <c r="Q22" i="121" s="1"/>
  <c r="Q24" i="121" s="1"/>
  <c r="P20" i="121"/>
  <c r="P22" i="121" s="1"/>
  <c r="P24" i="121" s="1"/>
  <c r="O20" i="121"/>
  <c r="N20" i="121"/>
  <c r="M20" i="121"/>
  <c r="M22" i="121" s="1"/>
  <c r="M24" i="121" s="1"/>
  <c r="L20" i="121"/>
  <c r="L22" i="121" s="1"/>
  <c r="L24" i="121" s="1"/>
  <c r="K20" i="121"/>
  <c r="J20" i="121"/>
  <c r="I20" i="121"/>
  <c r="I22" i="121" s="1"/>
  <c r="I24" i="121" s="1"/>
  <c r="H20" i="121"/>
  <c r="H22" i="121" s="1"/>
  <c r="H24" i="121" s="1"/>
  <c r="G20" i="121"/>
  <c r="F20" i="121"/>
  <c r="AE24" i="121" l="1"/>
  <c r="AC22" i="121"/>
  <c r="AC24" i="121" s="1"/>
  <c r="T20" i="120"/>
  <c r="U20" i="120"/>
  <c r="V20" i="120"/>
  <c r="V22" i="120" s="1"/>
  <c r="V24" i="120" s="1"/>
  <c r="W20" i="120"/>
  <c r="X20" i="120"/>
  <c r="Y20" i="120"/>
  <c r="Z20" i="120"/>
  <c r="AA20" i="120"/>
  <c r="AA22" i="120" s="1"/>
  <c r="AA24" i="120" s="1"/>
  <c r="AB20" i="120"/>
  <c r="AC20" i="120"/>
  <c r="AD20" i="120"/>
  <c r="AE20" i="120"/>
  <c r="AE22" i="120" s="1"/>
  <c r="AF20" i="120"/>
  <c r="AG20" i="120"/>
  <c r="AH20" i="120"/>
  <c r="AH22" i="120" s="1"/>
  <c r="AH24" i="120" s="1"/>
  <c r="AI20" i="120"/>
  <c r="AI22" i="120" s="1"/>
  <c r="AI24" i="120" s="1"/>
  <c r="AJ20" i="120"/>
  <c r="AK20" i="120"/>
  <c r="AL20" i="120"/>
  <c r="AL22" i="120" s="1"/>
  <c r="AL24" i="120" s="1"/>
  <c r="AM20" i="120"/>
  <c r="AN20" i="120"/>
  <c r="AO20" i="120"/>
  <c r="AP20" i="120"/>
  <c r="AQ20" i="120"/>
  <c r="AQ22" i="120" s="1"/>
  <c r="AQ24" i="120" s="1"/>
  <c r="S20" i="120"/>
  <c r="AE23" i="120"/>
  <c r="AC23" i="120"/>
  <c r="X23" i="120"/>
  <c r="V23" i="120"/>
  <c r="T23" i="120"/>
  <c r="R23" i="120"/>
  <c r="P23" i="120"/>
  <c r="N23" i="120"/>
  <c r="L23" i="120"/>
  <c r="J23" i="120"/>
  <c r="I23" i="120"/>
  <c r="H23" i="120"/>
  <c r="F23" i="120"/>
  <c r="AP22" i="120"/>
  <c r="AP24" i="120" s="1"/>
  <c r="AO22" i="120"/>
  <c r="AO24" i="120" s="1"/>
  <c r="AN22" i="120"/>
  <c r="AN24" i="120" s="1"/>
  <c r="AK22" i="120"/>
  <c r="AK24" i="120" s="1"/>
  <c r="AJ22" i="120"/>
  <c r="AJ24" i="120" s="1"/>
  <c r="AG22" i="120"/>
  <c r="AG24" i="120" s="1"/>
  <c r="AF22" i="120"/>
  <c r="AF24" i="120" s="1"/>
  <c r="AD22" i="120"/>
  <c r="AD24" i="120" s="1"/>
  <c r="AB22" i="120"/>
  <c r="AB24" i="120" s="1"/>
  <c r="Z22" i="120"/>
  <c r="Z24" i="120" s="1"/>
  <c r="Y22" i="120"/>
  <c r="Y24" i="120" s="1"/>
  <c r="X22" i="120"/>
  <c r="X24" i="120" s="1"/>
  <c r="U22" i="120"/>
  <c r="U24" i="120" s="1"/>
  <c r="T22" i="120"/>
  <c r="T24" i="120" s="1"/>
  <c r="Q22" i="120"/>
  <c r="Q24" i="120" s="1"/>
  <c r="P22" i="120"/>
  <c r="P24" i="120" s="1"/>
  <c r="N22" i="120"/>
  <c r="N24" i="120" s="1"/>
  <c r="M22" i="120"/>
  <c r="M24" i="120" s="1"/>
  <c r="L22" i="120"/>
  <c r="L24" i="120" s="1"/>
  <c r="J22" i="120"/>
  <c r="J24" i="120" s="1"/>
  <c r="I22" i="120"/>
  <c r="I24" i="120" s="1"/>
  <c r="H22" i="120"/>
  <c r="H24" i="120" s="1"/>
  <c r="F22" i="120"/>
  <c r="F24" i="120" s="1"/>
  <c r="E22" i="120"/>
  <c r="E24" i="120" s="1"/>
  <c r="AE21" i="120"/>
  <c r="AC21" i="120"/>
  <c r="AC22" i="120" s="1"/>
  <c r="R21" i="120"/>
  <c r="R22" i="120" s="1"/>
  <c r="R24" i="120" s="1"/>
  <c r="H21" i="120"/>
  <c r="AM22" i="120"/>
  <c r="AM24" i="120" s="1"/>
  <c r="W22" i="120"/>
  <c r="W24" i="120" s="1"/>
  <c r="S22" i="120"/>
  <c r="S24" i="120" s="1"/>
  <c r="R20" i="120"/>
  <c r="Q20" i="120"/>
  <c r="P20" i="120"/>
  <c r="O20" i="120"/>
  <c r="O22" i="120" s="1"/>
  <c r="O24" i="120" s="1"/>
  <c r="N20" i="120"/>
  <c r="M20" i="120"/>
  <c r="L20" i="120"/>
  <c r="K20" i="120"/>
  <c r="K22" i="120" s="1"/>
  <c r="K24" i="120" s="1"/>
  <c r="J20" i="120"/>
  <c r="I20" i="120"/>
  <c r="H20" i="120"/>
  <c r="G20" i="120"/>
  <c r="G22" i="120" s="1"/>
  <c r="G24" i="120" s="1"/>
  <c r="F20" i="120"/>
  <c r="AE24" i="120" l="1"/>
  <c r="AC24" i="120"/>
  <c r="T20" i="119"/>
  <c r="U20" i="119"/>
  <c r="V20" i="119"/>
  <c r="W20" i="119"/>
  <c r="X20" i="119"/>
  <c r="Y20" i="119"/>
  <c r="Y22" i="119" s="1"/>
  <c r="Y24" i="119" s="1"/>
  <c r="Z20" i="119"/>
  <c r="AA20" i="119"/>
  <c r="AA22" i="119" s="1"/>
  <c r="AA24" i="119" s="1"/>
  <c r="AB20" i="119"/>
  <c r="AC20" i="119"/>
  <c r="AD20" i="119"/>
  <c r="AE20" i="119"/>
  <c r="AF20" i="119"/>
  <c r="AG20" i="119"/>
  <c r="AG22" i="119" s="1"/>
  <c r="AG24" i="119" s="1"/>
  <c r="AH20" i="119"/>
  <c r="AI20" i="119"/>
  <c r="AI22" i="119" s="1"/>
  <c r="AI24" i="119" s="1"/>
  <c r="AJ20" i="119"/>
  <c r="AK20" i="119"/>
  <c r="AL20" i="119"/>
  <c r="AM20" i="119"/>
  <c r="AN20" i="119"/>
  <c r="AO20" i="119"/>
  <c r="AO22" i="119" s="1"/>
  <c r="AO24" i="119" s="1"/>
  <c r="AP20" i="119"/>
  <c r="AQ20" i="119"/>
  <c r="AQ22" i="119" s="1"/>
  <c r="AQ24" i="119" s="1"/>
  <c r="S20" i="119"/>
  <c r="AE23" i="119"/>
  <c r="AC23" i="119"/>
  <c r="X23" i="119"/>
  <c r="V23" i="119"/>
  <c r="T23" i="119"/>
  <c r="R23" i="119"/>
  <c r="P23" i="119"/>
  <c r="N23" i="119"/>
  <c r="L23" i="119"/>
  <c r="J23" i="119"/>
  <c r="I23" i="119"/>
  <c r="H23" i="119"/>
  <c r="F23" i="119"/>
  <c r="AK22" i="119"/>
  <c r="AK24" i="119" s="1"/>
  <c r="AC22" i="119"/>
  <c r="U22" i="119"/>
  <c r="U24" i="119" s="1"/>
  <c r="Q22" i="119"/>
  <c r="Q24" i="119" s="1"/>
  <c r="M22" i="119"/>
  <c r="M24" i="119" s="1"/>
  <c r="I22" i="119"/>
  <c r="I24" i="119" s="1"/>
  <c r="E22" i="119"/>
  <c r="E24" i="119" s="1"/>
  <c r="AE21" i="119"/>
  <c r="AC21" i="119"/>
  <c r="R21" i="119"/>
  <c r="H21" i="119"/>
  <c r="AP22" i="119"/>
  <c r="AP24" i="119" s="1"/>
  <c r="AN22" i="119"/>
  <c r="AN24" i="119" s="1"/>
  <c r="AM22" i="119"/>
  <c r="AM24" i="119" s="1"/>
  <c r="AL22" i="119"/>
  <c r="AL24" i="119" s="1"/>
  <c r="AJ22" i="119"/>
  <c r="AJ24" i="119" s="1"/>
  <c r="AH22" i="119"/>
  <c r="AH24" i="119" s="1"/>
  <c r="AF22" i="119"/>
  <c r="AF24" i="119" s="1"/>
  <c r="AE22" i="119"/>
  <c r="AD22" i="119"/>
  <c r="AD24" i="119" s="1"/>
  <c r="AB22" i="119"/>
  <c r="AB24" i="119" s="1"/>
  <c r="Z22" i="119"/>
  <c r="Z24" i="119" s="1"/>
  <c r="X22" i="119"/>
  <c r="X24" i="119" s="1"/>
  <c r="W22" i="119"/>
  <c r="W24" i="119" s="1"/>
  <c r="V22" i="119"/>
  <c r="V24" i="119" s="1"/>
  <c r="T22" i="119"/>
  <c r="T24" i="119" s="1"/>
  <c r="S22" i="119"/>
  <c r="S24" i="119" s="1"/>
  <c r="R20" i="119"/>
  <c r="R22" i="119" s="1"/>
  <c r="R24" i="119" s="1"/>
  <c r="Q20" i="119"/>
  <c r="P20" i="119"/>
  <c r="P22" i="119" s="1"/>
  <c r="P24" i="119" s="1"/>
  <c r="O20" i="119"/>
  <c r="O22" i="119" s="1"/>
  <c r="O24" i="119" s="1"/>
  <c r="N20" i="119"/>
  <c r="N22" i="119" s="1"/>
  <c r="N24" i="119" s="1"/>
  <c r="M20" i="119"/>
  <c r="L20" i="119"/>
  <c r="L22" i="119" s="1"/>
  <c r="L24" i="119" s="1"/>
  <c r="K20" i="119"/>
  <c r="K22" i="119" s="1"/>
  <c r="K24" i="119" s="1"/>
  <c r="J20" i="119"/>
  <c r="J22" i="119" s="1"/>
  <c r="J24" i="119" s="1"/>
  <c r="I20" i="119"/>
  <c r="H20" i="119"/>
  <c r="H22" i="119" s="1"/>
  <c r="H24" i="119" s="1"/>
  <c r="G20" i="119"/>
  <c r="G22" i="119" s="1"/>
  <c r="G24" i="119" s="1"/>
  <c r="F20" i="119"/>
  <c r="F22" i="119" s="1"/>
  <c r="F24" i="119" s="1"/>
  <c r="AE24" i="119" l="1"/>
  <c r="AC24" i="119"/>
  <c r="AL23" i="118" l="1"/>
  <c r="AO23" i="118"/>
  <c r="AN23" i="118"/>
  <c r="AI23" i="118"/>
  <c r="AF23" i="118"/>
  <c r="AB23" i="118"/>
  <c r="T20" i="118" l="1"/>
  <c r="U20" i="118"/>
  <c r="U22" i="118" s="1"/>
  <c r="U24" i="118" s="1"/>
  <c r="V20" i="118"/>
  <c r="W20" i="118"/>
  <c r="X20" i="118"/>
  <c r="Y20" i="118"/>
  <c r="Y22" i="118" s="1"/>
  <c r="Y24" i="118" s="1"/>
  <c r="Z20" i="118"/>
  <c r="AA20" i="118"/>
  <c r="AA22" i="118" s="1"/>
  <c r="AA24" i="118" s="1"/>
  <c r="AB20" i="118"/>
  <c r="AC20" i="118"/>
  <c r="AC22" i="118" s="1"/>
  <c r="AC24" i="118" s="1"/>
  <c r="AD20" i="118"/>
  <c r="AE20" i="118"/>
  <c r="AF20" i="118"/>
  <c r="AG20" i="118"/>
  <c r="AG22" i="118" s="1"/>
  <c r="AG24" i="118" s="1"/>
  <c r="AH20" i="118"/>
  <c r="AI20" i="118"/>
  <c r="AI22" i="118" s="1"/>
  <c r="AI24" i="118" s="1"/>
  <c r="AJ20" i="118"/>
  <c r="AK20" i="118"/>
  <c r="AK22" i="118" s="1"/>
  <c r="AK24" i="118" s="1"/>
  <c r="AL20" i="118"/>
  <c r="AM20" i="118"/>
  <c r="AN20" i="118"/>
  <c r="AO20" i="118"/>
  <c r="AO22" i="118" s="1"/>
  <c r="AO24" i="118" s="1"/>
  <c r="AP20" i="118"/>
  <c r="AQ20" i="118"/>
  <c r="AQ22" i="118" s="1"/>
  <c r="AQ24" i="118" s="1"/>
  <c r="S20" i="118"/>
  <c r="AE23" i="118"/>
  <c r="AC23" i="118"/>
  <c r="X23" i="118"/>
  <c r="V23" i="118"/>
  <c r="T23" i="118"/>
  <c r="R23" i="118"/>
  <c r="P23" i="118"/>
  <c r="N23" i="118"/>
  <c r="L23" i="118"/>
  <c r="J23" i="118"/>
  <c r="I23" i="118"/>
  <c r="H23" i="118"/>
  <c r="F23" i="118"/>
  <c r="AP22" i="118"/>
  <c r="AP24" i="118" s="1"/>
  <c r="AM22" i="118"/>
  <c r="AM24" i="118" s="1"/>
  <c r="AL22" i="118"/>
  <c r="AL24" i="118" s="1"/>
  <c r="AH22" i="118"/>
  <c r="AH24" i="118" s="1"/>
  <c r="AE22" i="118"/>
  <c r="AD22" i="118"/>
  <c r="AD24" i="118" s="1"/>
  <c r="Z22" i="118"/>
  <c r="Z24" i="118" s="1"/>
  <c r="W22" i="118"/>
  <c r="W24" i="118" s="1"/>
  <c r="V22" i="118"/>
  <c r="V24" i="118" s="1"/>
  <c r="S22" i="118"/>
  <c r="S24" i="118" s="1"/>
  <c r="O22" i="118"/>
  <c r="O24" i="118" s="1"/>
  <c r="N22" i="118"/>
  <c r="N24" i="118" s="1"/>
  <c r="K22" i="118"/>
  <c r="K24" i="118" s="1"/>
  <c r="J22" i="118"/>
  <c r="J24" i="118" s="1"/>
  <c r="G22" i="118"/>
  <c r="G24" i="118" s="1"/>
  <c r="F22" i="118"/>
  <c r="F24" i="118" s="1"/>
  <c r="E22" i="118"/>
  <c r="E24" i="118" s="1"/>
  <c r="AE21" i="118"/>
  <c r="AC21" i="118"/>
  <c r="R21" i="118"/>
  <c r="R22" i="118" s="1"/>
  <c r="R24" i="118" s="1"/>
  <c r="H21" i="118"/>
  <c r="AN22" i="118"/>
  <c r="AN24" i="118" s="1"/>
  <c r="AJ22" i="118"/>
  <c r="AJ24" i="118" s="1"/>
  <c r="AF22" i="118"/>
  <c r="AF24" i="118" s="1"/>
  <c r="AB22" i="118"/>
  <c r="AB24" i="118" s="1"/>
  <c r="X22" i="118"/>
  <c r="X24" i="118" s="1"/>
  <c r="T22" i="118"/>
  <c r="T24" i="118" s="1"/>
  <c r="R20" i="118"/>
  <c r="Q20" i="118"/>
  <c r="Q22" i="118" s="1"/>
  <c r="Q24" i="118" s="1"/>
  <c r="P20" i="118"/>
  <c r="P22" i="118" s="1"/>
  <c r="P24" i="118" s="1"/>
  <c r="O20" i="118"/>
  <c r="N20" i="118"/>
  <c r="M20" i="118"/>
  <c r="M22" i="118" s="1"/>
  <c r="M24" i="118" s="1"/>
  <c r="L20" i="118"/>
  <c r="L22" i="118" s="1"/>
  <c r="L24" i="118" s="1"/>
  <c r="K20" i="118"/>
  <c r="J20" i="118"/>
  <c r="I20" i="118"/>
  <c r="I22" i="118" s="1"/>
  <c r="I24" i="118" s="1"/>
  <c r="H20" i="118"/>
  <c r="H22" i="118" s="1"/>
  <c r="H24" i="118" s="1"/>
  <c r="G20" i="118"/>
  <c r="F20" i="118"/>
  <c r="AE24" i="118" l="1"/>
  <c r="T20" i="117"/>
  <c r="U20" i="117"/>
  <c r="V20" i="117"/>
  <c r="W20" i="117"/>
  <c r="X20" i="117"/>
  <c r="Y20" i="117"/>
  <c r="Z20" i="117"/>
  <c r="AA20" i="117"/>
  <c r="AB20" i="117"/>
  <c r="AC20" i="117"/>
  <c r="AD20" i="117"/>
  <c r="AE20" i="117"/>
  <c r="AF20" i="117"/>
  <c r="AG20" i="117"/>
  <c r="AH20" i="117"/>
  <c r="AI20" i="117"/>
  <c r="AJ20" i="117"/>
  <c r="AK20" i="117"/>
  <c r="AL20" i="117"/>
  <c r="AM20" i="117"/>
  <c r="AN20" i="117"/>
  <c r="AO20" i="117"/>
  <c r="AP20" i="117"/>
  <c r="AQ20" i="117"/>
  <c r="S20" i="117"/>
  <c r="AE23" i="117" l="1"/>
  <c r="AC23" i="117"/>
  <c r="X23" i="117"/>
  <c r="V23" i="117"/>
  <c r="T23" i="117"/>
  <c r="R23" i="117"/>
  <c r="P23" i="117"/>
  <c r="N23" i="117"/>
  <c r="L23" i="117"/>
  <c r="J23" i="117"/>
  <c r="I23" i="117"/>
  <c r="H23" i="117"/>
  <c r="F23" i="117"/>
  <c r="AQ22" i="117"/>
  <c r="AQ24" i="117" s="1"/>
  <c r="AP22" i="117"/>
  <c r="AP24" i="117" s="1"/>
  <c r="AO22" i="117"/>
  <c r="AO24" i="117" s="1"/>
  <c r="AM22" i="117"/>
  <c r="AM24" i="117" s="1"/>
  <c r="AL22" i="117"/>
  <c r="AL24" i="117" s="1"/>
  <c r="AK22" i="117"/>
  <c r="AK24" i="117" s="1"/>
  <c r="AI22" i="117"/>
  <c r="AI24" i="117" s="1"/>
  <c r="AH22" i="117"/>
  <c r="AH24" i="117" s="1"/>
  <c r="AG22" i="117"/>
  <c r="AG24" i="117" s="1"/>
  <c r="AE22" i="117"/>
  <c r="AE24" i="117" s="1"/>
  <c r="AD22" i="117"/>
  <c r="AD24" i="117" s="1"/>
  <c r="AA22" i="117"/>
  <c r="AA24" i="117" s="1"/>
  <c r="Z22" i="117"/>
  <c r="Z24" i="117" s="1"/>
  <c r="Y22" i="117"/>
  <c r="Y24" i="117" s="1"/>
  <c r="W22" i="117"/>
  <c r="W24" i="117" s="1"/>
  <c r="V22" i="117"/>
  <c r="V24" i="117" s="1"/>
  <c r="U22" i="117"/>
  <c r="U24" i="117" s="1"/>
  <c r="S22" i="117"/>
  <c r="S24" i="117" s="1"/>
  <c r="Q22" i="117"/>
  <c r="Q24" i="117" s="1"/>
  <c r="O22" i="117"/>
  <c r="O24" i="117" s="1"/>
  <c r="N22" i="117"/>
  <c r="N24" i="117" s="1"/>
  <c r="M22" i="117"/>
  <c r="M24" i="117" s="1"/>
  <c r="K22" i="117"/>
  <c r="K24" i="117" s="1"/>
  <c r="J22" i="117"/>
  <c r="J24" i="117" s="1"/>
  <c r="I22" i="117"/>
  <c r="I24" i="117" s="1"/>
  <c r="G22" i="117"/>
  <c r="G24" i="117" s="1"/>
  <c r="F22" i="117"/>
  <c r="F24" i="117" s="1"/>
  <c r="E22" i="117"/>
  <c r="E24" i="117" s="1"/>
  <c r="AE21" i="117"/>
  <c r="AC21" i="117"/>
  <c r="AC22" i="117" s="1"/>
  <c r="R21" i="117"/>
  <c r="R22" i="117" s="1"/>
  <c r="R24" i="117" s="1"/>
  <c r="H21" i="117"/>
  <c r="AN22" i="117"/>
  <c r="AN24" i="117" s="1"/>
  <c r="AJ22" i="117"/>
  <c r="AJ24" i="117" s="1"/>
  <c r="AF22" i="117"/>
  <c r="AF24" i="117" s="1"/>
  <c r="AB22" i="117"/>
  <c r="AB24" i="117" s="1"/>
  <c r="X22" i="117"/>
  <c r="X24" i="117" s="1"/>
  <c r="T22" i="117"/>
  <c r="T24" i="117" s="1"/>
  <c r="R20" i="117"/>
  <c r="Q20" i="117"/>
  <c r="P20" i="117"/>
  <c r="P22" i="117" s="1"/>
  <c r="P24" i="117" s="1"/>
  <c r="O20" i="117"/>
  <c r="N20" i="117"/>
  <c r="M20" i="117"/>
  <c r="L20" i="117"/>
  <c r="L22" i="117" s="1"/>
  <c r="L24" i="117" s="1"/>
  <c r="K20" i="117"/>
  <c r="J20" i="117"/>
  <c r="I20" i="117"/>
  <c r="H20" i="117"/>
  <c r="H22" i="117" s="1"/>
  <c r="H24" i="117" s="1"/>
  <c r="G20" i="117"/>
  <c r="F20" i="117"/>
  <c r="AC24" i="117" l="1"/>
  <c r="T20" i="116"/>
  <c r="U20" i="116"/>
  <c r="U22" i="116" s="1"/>
  <c r="U24" i="116" s="1"/>
  <c r="V20" i="116"/>
  <c r="W20" i="116"/>
  <c r="W22" i="116" s="1"/>
  <c r="W24" i="116" s="1"/>
  <c r="X20" i="116"/>
  <c r="Y20" i="116"/>
  <c r="Y22" i="116" s="1"/>
  <c r="Y24" i="116" s="1"/>
  <c r="Z20" i="116"/>
  <c r="AA20" i="116"/>
  <c r="AA22" i="116" s="1"/>
  <c r="AA24" i="116" s="1"/>
  <c r="AB20" i="116"/>
  <c r="AC20" i="116"/>
  <c r="AC22" i="116" s="1"/>
  <c r="AD20" i="116"/>
  <c r="AE20" i="116"/>
  <c r="AE22" i="116" s="1"/>
  <c r="AF20" i="116"/>
  <c r="AG20" i="116"/>
  <c r="AG22" i="116" s="1"/>
  <c r="AG24" i="116" s="1"/>
  <c r="AH20" i="116"/>
  <c r="AI20" i="116"/>
  <c r="AI22" i="116" s="1"/>
  <c r="AI24" i="116" s="1"/>
  <c r="AJ20" i="116"/>
  <c r="AK20" i="116"/>
  <c r="AK22" i="116" s="1"/>
  <c r="AK24" i="116" s="1"/>
  <c r="AL20" i="116"/>
  <c r="AM20" i="116"/>
  <c r="AM22" i="116" s="1"/>
  <c r="AM24" i="116" s="1"/>
  <c r="AN20" i="116"/>
  <c r="AO20" i="116"/>
  <c r="AO22" i="116" s="1"/>
  <c r="AO24" i="116" s="1"/>
  <c r="AP20" i="116"/>
  <c r="AQ20" i="116"/>
  <c r="AQ22" i="116" s="1"/>
  <c r="AQ24" i="116" s="1"/>
  <c r="S20" i="116"/>
  <c r="S22" i="116" s="1"/>
  <c r="S24" i="116" s="1"/>
  <c r="AE23" i="116"/>
  <c r="AC23" i="116"/>
  <c r="X23" i="116"/>
  <c r="V23" i="116"/>
  <c r="T23" i="116"/>
  <c r="R23" i="116"/>
  <c r="P23" i="116"/>
  <c r="N23" i="116"/>
  <c r="L23" i="116"/>
  <c r="J23" i="116"/>
  <c r="I23" i="116"/>
  <c r="H23" i="116"/>
  <c r="F23" i="116"/>
  <c r="AN22" i="116"/>
  <c r="AN24" i="116" s="1"/>
  <c r="AJ22" i="116"/>
  <c r="AJ24" i="116" s="1"/>
  <c r="AF22" i="116"/>
  <c r="AF24" i="116" s="1"/>
  <c r="AB22" i="116"/>
  <c r="AB24" i="116" s="1"/>
  <c r="X22" i="116"/>
  <c r="X24" i="116" s="1"/>
  <c r="T22" i="116"/>
  <c r="T24" i="116" s="1"/>
  <c r="P22" i="116"/>
  <c r="P24" i="116" s="1"/>
  <c r="O22" i="116"/>
  <c r="O24" i="116" s="1"/>
  <c r="L22" i="116"/>
  <c r="L24" i="116" s="1"/>
  <c r="K22" i="116"/>
  <c r="K24" i="116" s="1"/>
  <c r="H22" i="116"/>
  <c r="H24" i="116" s="1"/>
  <c r="G22" i="116"/>
  <c r="G24" i="116" s="1"/>
  <c r="E22" i="116"/>
  <c r="E24" i="116" s="1"/>
  <c r="AE21" i="116"/>
  <c r="AC21" i="116"/>
  <c r="R21" i="116"/>
  <c r="H21" i="116"/>
  <c r="AP22" i="116"/>
  <c r="AP24" i="116" s="1"/>
  <c r="AL22" i="116"/>
  <c r="AL24" i="116" s="1"/>
  <c r="AH22" i="116"/>
  <c r="AH24" i="116" s="1"/>
  <c r="AD22" i="116"/>
  <c r="AD24" i="116" s="1"/>
  <c r="Z22" i="116"/>
  <c r="Z24" i="116" s="1"/>
  <c r="V22" i="116"/>
  <c r="V24" i="116" s="1"/>
  <c r="R20" i="116"/>
  <c r="R22" i="116" s="1"/>
  <c r="R24" i="116" s="1"/>
  <c r="Q20" i="116"/>
  <c r="Q22" i="116" s="1"/>
  <c r="Q24" i="116" s="1"/>
  <c r="P20" i="116"/>
  <c r="O20" i="116"/>
  <c r="N20" i="116"/>
  <c r="N22" i="116" s="1"/>
  <c r="N24" i="116" s="1"/>
  <c r="M20" i="116"/>
  <c r="M22" i="116" s="1"/>
  <c r="M24" i="116" s="1"/>
  <c r="L20" i="116"/>
  <c r="K20" i="116"/>
  <c r="J20" i="116"/>
  <c r="J22" i="116" s="1"/>
  <c r="J24" i="116" s="1"/>
  <c r="I20" i="116"/>
  <c r="I22" i="116" s="1"/>
  <c r="I24" i="116" s="1"/>
  <c r="H20" i="116"/>
  <c r="G20" i="116"/>
  <c r="F20" i="116"/>
  <c r="F22" i="116" s="1"/>
  <c r="F24" i="116" s="1"/>
  <c r="AC24" i="116" l="1"/>
  <c r="AE24" i="116"/>
  <c r="T20" i="115"/>
  <c r="U20" i="115"/>
  <c r="V20" i="115"/>
  <c r="W20" i="115"/>
  <c r="X20" i="115"/>
  <c r="Y20" i="115"/>
  <c r="Z20" i="115"/>
  <c r="Z22" i="115" s="1"/>
  <c r="Z24" i="115" s="1"/>
  <c r="AA20" i="115"/>
  <c r="AA22" i="115" s="1"/>
  <c r="AA24" i="115" s="1"/>
  <c r="AB20" i="115"/>
  <c r="AC20" i="115"/>
  <c r="AD20" i="115"/>
  <c r="AE20" i="115"/>
  <c r="AE22" i="115" s="1"/>
  <c r="AF20" i="115"/>
  <c r="AG20" i="115"/>
  <c r="AH20" i="115"/>
  <c r="AH22" i="115" s="1"/>
  <c r="AH24" i="115" s="1"/>
  <c r="AI20" i="115"/>
  <c r="AI22" i="115" s="1"/>
  <c r="AI24" i="115" s="1"/>
  <c r="AJ20" i="115"/>
  <c r="AK20" i="115"/>
  <c r="AL20" i="115"/>
  <c r="AM20" i="115"/>
  <c r="AM22" i="115" s="1"/>
  <c r="AM24" i="115" s="1"/>
  <c r="AN20" i="115"/>
  <c r="AO20" i="115"/>
  <c r="AP20" i="115"/>
  <c r="AP22" i="115" s="1"/>
  <c r="AP24" i="115" s="1"/>
  <c r="AQ20" i="115"/>
  <c r="AQ22" i="115" s="1"/>
  <c r="AQ24" i="115" s="1"/>
  <c r="S20" i="115"/>
  <c r="AE23" i="115"/>
  <c r="AC23" i="115"/>
  <c r="X23" i="115"/>
  <c r="V23" i="115"/>
  <c r="T23" i="115"/>
  <c r="R23" i="115"/>
  <c r="P23" i="115"/>
  <c r="N23" i="115"/>
  <c r="L23" i="115"/>
  <c r="J23" i="115"/>
  <c r="I23" i="115"/>
  <c r="H23" i="115"/>
  <c r="F23" i="115"/>
  <c r="AO22" i="115"/>
  <c r="AO24" i="115" s="1"/>
  <c r="AK22" i="115"/>
  <c r="AK24" i="115" s="1"/>
  <c r="AG22" i="115"/>
  <c r="AG24" i="115" s="1"/>
  <c r="Y22" i="115"/>
  <c r="Y24" i="115" s="1"/>
  <c r="W22" i="115"/>
  <c r="W24" i="115" s="1"/>
  <c r="U22" i="115"/>
  <c r="U24" i="115" s="1"/>
  <c r="S22" i="115"/>
  <c r="S24" i="115" s="1"/>
  <c r="Q22" i="115"/>
  <c r="Q24" i="115" s="1"/>
  <c r="O22" i="115"/>
  <c r="O24" i="115" s="1"/>
  <c r="M22" i="115"/>
  <c r="M24" i="115" s="1"/>
  <c r="K22" i="115"/>
  <c r="K24" i="115" s="1"/>
  <c r="I22" i="115"/>
  <c r="I24" i="115" s="1"/>
  <c r="G22" i="115"/>
  <c r="G24" i="115" s="1"/>
  <c r="E22" i="115"/>
  <c r="E24" i="115" s="1"/>
  <c r="AE21" i="115"/>
  <c r="AC21" i="115"/>
  <c r="AC22" i="115" s="1"/>
  <c r="R21" i="115"/>
  <c r="H21" i="115"/>
  <c r="AN22" i="115"/>
  <c r="AN24" i="115" s="1"/>
  <c r="AL22" i="115"/>
  <c r="AL24" i="115" s="1"/>
  <c r="AJ22" i="115"/>
  <c r="AJ24" i="115" s="1"/>
  <c r="AF22" i="115"/>
  <c r="AF24" i="115" s="1"/>
  <c r="AD22" i="115"/>
  <c r="AD24" i="115" s="1"/>
  <c r="AB22" i="115"/>
  <c r="AB24" i="115" s="1"/>
  <c r="X22" i="115"/>
  <c r="X24" i="115" s="1"/>
  <c r="V22" i="115"/>
  <c r="V24" i="115" s="1"/>
  <c r="T22" i="115"/>
  <c r="T24" i="115" s="1"/>
  <c r="R20" i="115"/>
  <c r="R22" i="115" s="1"/>
  <c r="R24" i="115" s="1"/>
  <c r="Q20" i="115"/>
  <c r="P20" i="115"/>
  <c r="P22" i="115" s="1"/>
  <c r="P24" i="115" s="1"/>
  <c r="O20" i="115"/>
  <c r="N20" i="115"/>
  <c r="N22" i="115" s="1"/>
  <c r="N24" i="115" s="1"/>
  <c r="M20" i="115"/>
  <c r="L20" i="115"/>
  <c r="L22" i="115" s="1"/>
  <c r="L24" i="115" s="1"/>
  <c r="K20" i="115"/>
  <c r="J20" i="115"/>
  <c r="J22" i="115" s="1"/>
  <c r="J24" i="115" s="1"/>
  <c r="I20" i="115"/>
  <c r="H20" i="115"/>
  <c r="H22" i="115" s="1"/>
  <c r="H24" i="115" s="1"/>
  <c r="G20" i="115"/>
  <c r="F20" i="115"/>
  <c r="F22" i="115" s="1"/>
  <c r="F24" i="115" s="1"/>
  <c r="AC24" i="115" l="1"/>
  <c r="AE24" i="115"/>
  <c r="AO23" i="114"/>
  <c r="AN23" i="114"/>
  <c r="AL23" i="114"/>
  <c r="AI23" i="114"/>
  <c r="AH23" i="114"/>
  <c r="T20" i="114" l="1"/>
  <c r="U20" i="114"/>
  <c r="V20" i="114"/>
  <c r="W20" i="114"/>
  <c r="W22" i="114" s="1"/>
  <c r="W24" i="114" s="1"/>
  <c r="X20" i="114"/>
  <c r="Y20" i="114"/>
  <c r="Z20" i="114"/>
  <c r="Z22" i="114" s="1"/>
  <c r="Z24" i="114" s="1"/>
  <c r="AA20" i="114"/>
  <c r="AA22" i="114" s="1"/>
  <c r="AA24" i="114" s="1"/>
  <c r="AB20" i="114"/>
  <c r="AC20" i="114"/>
  <c r="AD20" i="114"/>
  <c r="AE20" i="114"/>
  <c r="AE22" i="114" s="1"/>
  <c r="AF20" i="114"/>
  <c r="AG20" i="114"/>
  <c r="AH20" i="114"/>
  <c r="AH22" i="114" s="1"/>
  <c r="AH24" i="114" s="1"/>
  <c r="AI20" i="114"/>
  <c r="AI22" i="114" s="1"/>
  <c r="AI24" i="114" s="1"/>
  <c r="AJ20" i="114"/>
  <c r="AK20" i="114"/>
  <c r="AL20" i="114"/>
  <c r="AM20" i="114"/>
  <c r="AM22" i="114" s="1"/>
  <c r="AM24" i="114" s="1"/>
  <c r="AN20" i="114"/>
  <c r="AO20" i="114"/>
  <c r="AP20" i="114"/>
  <c r="AP22" i="114" s="1"/>
  <c r="AP24" i="114" s="1"/>
  <c r="AQ20" i="114"/>
  <c r="AQ22" i="114" s="1"/>
  <c r="AQ24" i="114" s="1"/>
  <c r="S20" i="114"/>
  <c r="S22" i="114" s="1"/>
  <c r="S24" i="114" s="1"/>
  <c r="AE23" i="114"/>
  <c r="AC23" i="114"/>
  <c r="X23" i="114"/>
  <c r="V23" i="114"/>
  <c r="T23" i="114"/>
  <c r="R23" i="114"/>
  <c r="P23" i="114"/>
  <c r="N23" i="114"/>
  <c r="L23" i="114"/>
  <c r="J23" i="114"/>
  <c r="I23" i="114"/>
  <c r="H23" i="114"/>
  <c r="F23" i="114"/>
  <c r="AN22" i="114"/>
  <c r="AN24" i="114" s="1"/>
  <c r="AJ22" i="114"/>
  <c r="AJ24" i="114" s="1"/>
  <c r="AF22" i="114"/>
  <c r="AF24" i="114" s="1"/>
  <c r="AB22" i="114"/>
  <c r="AB24" i="114" s="1"/>
  <c r="X22" i="114"/>
  <c r="X24" i="114" s="1"/>
  <c r="T22" i="114"/>
  <c r="T24" i="114" s="1"/>
  <c r="P22" i="114"/>
  <c r="P24" i="114" s="1"/>
  <c r="O22" i="114"/>
  <c r="O24" i="114" s="1"/>
  <c r="L22" i="114"/>
  <c r="L24" i="114" s="1"/>
  <c r="K22" i="114"/>
  <c r="K24" i="114" s="1"/>
  <c r="H22" i="114"/>
  <c r="H24" i="114" s="1"/>
  <c r="G22" i="114"/>
  <c r="G24" i="114" s="1"/>
  <c r="E22" i="114"/>
  <c r="E24" i="114" s="1"/>
  <c r="AE21" i="114"/>
  <c r="AC21" i="114"/>
  <c r="R21" i="114"/>
  <c r="H21" i="114"/>
  <c r="AO22" i="114"/>
  <c r="AO24" i="114" s="1"/>
  <c r="AL22" i="114"/>
  <c r="AL24" i="114" s="1"/>
  <c r="AK22" i="114"/>
  <c r="AK24" i="114" s="1"/>
  <c r="AG22" i="114"/>
  <c r="AG24" i="114" s="1"/>
  <c r="AD22" i="114"/>
  <c r="AD24" i="114" s="1"/>
  <c r="AC22" i="114"/>
  <c r="Y22" i="114"/>
  <c r="Y24" i="114" s="1"/>
  <c r="V22" i="114"/>
  <c r="V24" i="114" s="1"/>
  <c r="U22" i="114"/>
  <c r="U24" i="114" s="1"/>
  <c r="R20" i="114"/>
  <c r="R22" i="114" s="1"/>
  <c r="R24" i="114" s="1"/>
  <c r="Q20" i="114"/>
  <c r="Q22" i="114" s="1"/>
  <c r="Q24" i="114" s="1"/>
  <c r="P20" i="114"/>
  <c r="O20" i="114"/>
  <c r="N20" i="114"/>
  <c r="N22" i="114" s="1"/>
  <c r="N24" i="114" s="1"/>
  <c r="M20" i="114"/>
  <c r="M22" i="114" s="1"/>
  <c r="M24" i="114" s="1"/>
  <c r="L20" i="114"/>
  <c r="K20" i="114"/>
  <c r="J20" i="114"/>
  <c r="J22" i="114" s="1"/>
  <c r="J24" i="114" s="1"/>
  <c r="I20" i="114"/>
  <c r="I22" i="114" s="1"/>
  <c r="I24" i="114" s="1"/>
  <c r="H20" i="114"/>
  <c r="G20" i="114"/>
  <c r="F20" i="114"/>
  <c r="F22" i="114" s="1"/>
  <c r="F24" i="114" s="1"/>
  <c r="AC24" i="114" l="1"/>
  <c r="AE24" i="114"/>
  <c r="T20" i="113"/>
  <c r="U20" i="113"/>
  <c r="V20" i="113"/>
  <c r="W20" i="113"/>
  <c r="X20" i="113"/>
  <c r="Y20" i="113"/>
  <c r="Z20" i="113"/>
  <c r="Z22" i="113" s="1"/>
  <c r="Z24" i="113" s="1"/>
  <c r="AA20" i="113"/>
  <c r="AA22" i="113" s="1"/>
  <c r="AA24" i="113" s="1"/>
  <c r="AB20" i="113"/>
  <c r="AC20" i="113"/>
  <c r="AD20" i="113"/>
  <c r="AE20" i="113"/>
  <c r="AE22" i="113" s="1"/>
  <c r="AF20" i="113"/>
  <c r="AG20" i="113"/>
  <c r="AH20" i="113"/>
  <c r="AH22" i="113" s="1"/>
  <c r="AH24" i="113" s="1"/>
  <c r="AI20" i="113"/>
  <c r="AI22" i="113" s="1"/>
  <c r="AI24" i="113" s="1"/>
  <c r="AJ20" i="113"/>
  <c r="AK20" i="113"/>
  <c r="AL20" i="113"/>
  <c r="AM20" i="113"/>
  <c r="AM22" i="113" s="1"/>
  <c r="AM24" i="113" s="1"/>
  <c r="AN20" i="113"/>
  <c r="AO20" i="113"/>
  <c r="AP20" i="113"/>
  <c r="AP22" i="113" s="1"/>
  <c r="AP24" i="113" s="1"/>
  <c r="AQ20" i="113"/>
  <c r="AQ22" i="113" s="1"/>
  <c r="AQ24" i="113" s="1"/>
  <c r="S20" i="113"/>
  <c r="S22" i="113" s="1"/>
  <c r="S24" i="113" s="1"/>
  <c r="AE23" i="113"/>
  <c r="AC23" i="113"/>
  <c r="X23" i="113"/>
  <c r="V23" i="113"/>
  <c r="T23" i="113"/>
  <c r="R23" i="113"/>
  <c r="P23" i="113"/>
  <c r="N23" i="113"/>
  <c r="L23" i="113"/>
  <c r="J23" i="113"/>
  <c r="I23" i="113"/>
  <c r="H23" i="113"/>
  <c r="F23" i="113"/>
  <c r="AO22" i="113"/>
  <c r="AO24" i="113" s="1"/>
  <c r="AK22" i="113"/>
  <c r="AK24" i="113" s="1"/>
  <c r="AG22" i="113"/>
  <c r="AG24" i="113" s="1"/>
  <c r="Y22" i="113"/>
  <c r="Y24" i="113" s="1"/>
  <c r="W22" i="113"/>
  <c r="W24" i="113" s="1"/>
  <c r="U22" i="113"/>
  <c r="U24" i="113" s="1"/>
  <c r="Q22" i="113"/>
  <c r="Q24" i="113" s="1"/>
  <c r="O22" i="113"/>
  <c r="O24" i="113" s="1"/>
  <c r="M22" i="113"/>
  <c r="M24" i="113" s="1"/>
  <c r="K22" i="113"/>
  <c r="K24" i="113" s="1"/>
  <c r="I22" i="113"/>
  <c r="I24" i="113" s="1"/>
  <c r="G22" i="113"/>
  <c r="G24" i="113" s="1"/>
  <c r="E22" i="113"/>
  <c r="E24" i="113" s="1"/>
  <c r="AE21" i="113"/>
  <c r="AC21" i="113"/>
  <c r="AC22" i="113" s="1"/>
  <c r="R21" i="113"/>
  <c r="H21" i="113"/>
  <c r="AN22" i="113"/>
  <c r="AN24" i="113" s="1"/>
  <c r="AL22" i="113"/>
  <c r="AL24" i="113" s="1"/>
  <c r="AJ22" i="113"/>
  <c r="AJ24" i="113" s="1"/>
  <c r="AF22" i="113"/>
  <c r="AF24" i="113" s="1"/>
  <c r="AD22" i="113"/>
  <c r="AD24" i="113" s="1"/>
  <c r="AB22" i="113"/>
  <c r="AB24" i="113" s="1"/>
  <c r="X22" i="113"/>
  <c r="X24" i="113" s="1"/>
  <c r="V22" i="113"/>
  <c r="V24" i="113" s="1"/>
  <c r="T22" i="113"/>
  <c r="T24" i="113" s="1"/>
  <c r="R20" i="113"/>
  <c r="R22" i="113" s="1"/>
  <c r="R24" i="113" s="1"/>
  <c r="Q20" i="113"/>
  <c r="P20" i="113"/>
  <c r="P22" i="113" s="1"/>
  <c r="P24" i="113" s="1"/>
  <c r="O20" i="113"/>
  <c r="N20" i="113"/>
  <c r="N22" i="113" s="1"/>
  <c r="N24" i="113" s="1"/>
  <c r="M20" i="113"/>
  <c r="L20" i="113"/>
  <c r="L22" i="113" s="1"/>
  <c r="L24" i="113" s="1"/>
  <c r="K20" i="113"/>
  <c r="J20" i="113"/>
  <c r="J22" i="113" s="1"/>
  <c r="J24" i="113" s="1"/>
  <c r="I20" i="113"/>
  <c r="H20" i="113"/>
  <c r="H22" i="113" s="1"/>
  <c r="H24" i="113" s="1"/>
  <c r="G20" i="113"/>
  <c r="F20" i="113"/>
  <c r="F22" i="113" s="1"/>
  <c r="F24" i="113" s="1"/>
  <c r="AC24" i="113" l="1"/>
  <c r="AE24" i="113"/>
  <c r="T20" i="112"/>
  <c r="U20" i="112"/>
  <c r="V20" i="112"/>
  <c r="W20" i="112"/>
  <c r="X20" i="112"/>
  <c r="Y20" i="112"/>
  <c r="Z20" i="112"/>
  <c r="AA20" i="112"/>
  <c r="AA22" i="112" s="1"/>
  <c r="AA24" i="112" s="1"/>
  <c r="AB20" i="112"/>
  <c r="AC20" i="112"/>
  <c r="AD20" i="112"/>
  <c r="AE20" i="112"/>
  <c r="AF20" i="112"/>
  <c r="AG20" i="112"/>
  <c r="AH20" i="112"/>
  <c r="AI20" i="112"/>
  <c r="AI22" i="112" s="1"/>
  <c r="AI24" i="112" s="1"/>
  <c r="AJ20" i="112"/>
  <c r="AK20" i="112"/>
  <c r="AL20" i="112"/>
  <c r="AM20" i="112"/>
  <c r="AN20" i="112"/>
  <c r="AO20" i="112"/>
  <c r="AP20" i="112"/>
  <c r="AQ20" i="112"/>
  <c r="AQ22" i="112" s="1"/>
  <c r="AQ24" i="112" s="1"/>
  <c r="S20" i="112"/>
  <c r="S22" i="112" s="1"/>
  <c r="S24" i="112" s="1"/>
  <c r="AE23" i="112"/>
  <c r="AC23" i="112"/>
  <c r="X23" i="112"/>
  <c r="V23" i="112"/>
  <c r="T23" i="112"/>
  <c r="R23" i="112"/>
  <c r="P23" i="112"/>
  <c r="N23" i="112"/>
  <c r="L23" i="112"/>
  <c r="J23" i="112"/>
  <c r="I23" i="112"/>
  <c r="H23" i="112"/>
  <c r="F23" i="112"/>
  <c r="AO22" i="112"/>
  <c r="AO24" i="112" s="1"/>
  <c r="AN22" i="112"/>
  <c r="AN24" i="112" s="1"/>
  <c r="AK22" i="112"/>
  <c r="AK24" i="112" s="1"/>
  <c r="AJ22" i="112"/>
  <c r="AJ24" i="112" s="1"/>
  <c r="AG22" i="112"/>
  <c r="AG24" i="112" s="1"/>
  <c r="AF22" i="112"/>
  <c r="AF24" i="112" s="1"/>
  <c r="AC22" i="112"/>
  <c r="AB22" i="112"/>
  <c r="AB24" i="112" s="1"/>
  <c r="Y22" i="112"/>
  <c r="Y24" i="112" s="1"/>
  <c r="X22" i="112"/>
  <c r="X24" i="112" s="1"/>
  <c r="U22" i="112"/>
  <c r="U24" i="112" s="1"/>
  <c r="T22" i="112"/>
  <c r="T24" i="112" s="1"/>
  <c r="Q22" i="112"/>
  <c r="Q24" i="112" s="1"/>
  <c r="P22" i="112"/>
  <c r="P24" i="112" s="1"/>
  <c r="M22" i="112"/>
  <c r="M24" i="112" s="1"/>
  <c r="L22" i="112"/>
  <c r="L24" i="112" s="1"/>
  <c r="I22" i="112"/>
  <c r="I24" i="112" s="1"/>
  <c r="H22" i="112"/>
  <c r="H24" i="112" s="1"/>
  <c r="E22" i="112"/>
  <c r="E24" i="112" s="1"/>
  <c r="AE21" i="112"/>
  <c r="AC21" i="112"/>
  <c r="R21" i="112"/>
  <c r="H21" i="112"/>
  <c r="AP22" i="112"/>
  <c r="AP24" i="112" s="1"/>
  <c r="AM22" i="112"/>
  <c r="AM24" i="112" s="1"/>
  <c r="AL22" i="112"/>
  <c r="AL24" i="112" s="1"/>
  <c r="AH22" i="112"/>
  <c r="AH24" i="112" s="1"/>
  <c r="AE22" i="112"/>
  <c r="AD22" i="112"/>
  <c r="AD24" i="112" s="1"/>
  <c r="Z22" i="112"/>
  <c r="Z24" i="112" s="1"/>
  <c r="W22" i="112"/>
  <c r="W24" i="112" s="1"/>
  <c r="V22" i="112"/>
  <c r="V24" i="112" s="1"/>
  <c r="R20" i="112"/>
  <c r="R22" i="112" s="1"/>
  <c r="R24" i="112" s="1"/>
  <c r="Q20" i="112"/>
  <c r="P20" i="112"/>
  <c r="O20" i="112"/>
  <c r="O22" i="112" s="1"/>
  <c r="O24" i="112" s="1"/>
  <c r="N20" i="112"/>
  <c r="N22" i="112" s="1"/>
  <c r="N24" i="112" s="1"/>
  <c r="M20" i="112"/>
  <c r="L20" i="112"/>
  <c r="K20" i="112"/>
  <c r="K22" i="112" s="1"/>
  <c r="K24" i="112" s="1"/>
  <c r="J20" i="112"/>
  <c r="J22" i="112" s="1"/>
  <c r="J24" i="112" s="1"/>
  <c r="I20" i="112"/>
  <c r="H20" i="112"/>
  <c r="G20" i="112"/>
  <c r="G22" i="112" s="1"/>
  <c r="G24" i="112" s="1"/>
  <c r="F20" i="112"/>
  <c r="F22" i="112" s="1"/>
  <c r="F24" i="112" s="1"/>
  <c r="AE24" i="112" l="1"/>
  <c r="AC24" i="112"/>
  <c r="T20" i="111"/>
  <c r="U20" i="111"/>
  <c r="V20" i="111"/>
  <c r="V22" i="111" s="1"/>
  <c r="V24" i="111" s="1"/>
  <c r="W20" i="111"/>
  <c r="W22" i="111" s="1"/>
  <c r="W24" i="111" s="1"/>
  <c r="X20" i="111"/>
  <c r="Y20" i="111"/>
  <c r="Z20" i="111"/>
  <c r="AA20" i="111"/>
  <c r="AA22" i="111" s="1"/>
  <c r="AA24" i="111" s="1"/>
  <c r="AB20" i="111"/>
  <c r="AC20" i="111"/>
  <c r="AD20" i="111"/>
  <c r="AD22" i="111" s="1"/>
  <c r="AD24" i="111" s="1"/>
  <c r="AE20" i="111"/>
  <c r="AF20" i="111"/>
  <c r="AG20" i="111"/>
  <c r="AH20" i="111"/>
  <c r="AH22" i="111" s="1"/>
  <c r="AH24" i="111" s="1"/>
  <c r="AI20" i="111"/>
  <c r="AI22" i="111" s="1"/>
  <c r="AI24" i="111" s="1"/>
  <c r="AJ20" i="111"/>
  <c r="AK20" i="111"/>
  <c r="AL20" i="111"/>
  <c r="AM20" i="111"/>
  <c r="AM22" i="111" s="1"/>
  <c r="AM24" i="111" s="1"/>
  <c r="AN20" i="111"/>
  <c r="AO20" i="111"/>
  <c r="AO22" i="111" s="1"/>
  <c r="AO24" i="111" s="1"/>
  <c r="AP20" i="111"/>
  <c r="AQ20" i="111"/>
  <c r="AQ22" i="111" s="1"/>
  <c r="AQ24" i="111" s="1"/>
  <c r="S20" i="111"/>
  <c r="AE23" i="111"/>
  <c r="AC23" i="111"/>
  <c r="X23" i="111"/>
  <c r="V23" i="111"/>
  <c r="T23" i="111"/>
  <c r="R23" i="111"/>
  <c r="P23" i="111"/>
  <c r="N23" i="111"/>
  <c r="L23" i="111"/>
  <c r="J23" i="111"/>
  <c r="I23" i="111"/>
  <c r="H23" i="111"/>
  <c r="F23" i="111"/>
  <c r="AP22" i="111"/>
  <c r="AP24" i="111" s="1"/>
  <c r="AL22" i="111"/>
  <c r="AL24" i="111" s="1"/>
  <c r="AK22" i="111"/>
  <c r="AK24" i="111" s="1"/>
  <c r="AG22" i="111"/>
  <c r="AG24" i="111" s="1"/>
  <c r="AE22" i="111"/>
  <c r="AE24" i="111" s="1"/>
  <c r="Z22" i="111"/>
  <c r="Z24" i="111" s="1"/>
  <c r="Y22" i="111"/>
  <c r="Y24" i="111" s="1"/>
  <c r="U22" i="111"/>
  <c r="U24" i="111" s="1"/>
  <c r="S22" i="111"/>
  <c r="S24" i="111" s="1"/>
  <c r="Q22" i="111"/>
  <c r="Q24" i="111" s="1"/>
  <c r="O22" i="111"/>
  <c r="O24" i="111" s="1"/>
  <c r="N22" i="111"/>
  <c r="N24" i="111" s="1"/>
  <c r="M22" i="111"/>
  <c r="M24" i="111" s="1"/>
  <c r="K22" i="111"/>
  <c r="K24" i="111" s="1"/>
  <c r="J22" i="111"/>
  <c r="J24" i="111" s="1"/>
  <c r="I22" i="111"/>
  <c r="I24" i="111" s="1"/>
  <c r="G22" i="111"/>
  <c r="G24" i="111" s="1"/>
  <c r="F22" i="111"/>
  <c r="F24" i="111" s="1"/>
  <c r="E22" i="111"/>
  <c r="E24" i="111" s="1"/>
  <c r="AE21" i="111"/>
  <c r="AC21" i="111"/>
  <c r="AC22" i="111" s="1"/>
  <c r="R21" i="111"/>
  <c r="R22" i="111" s="1"/>
  <c r="R24" i="111" s="1"/>
  <c r="H21" i="111"/>
  <c r="AN22" i="111"/>
  <c r="AN24" i="111" s="1"/>
  <c r="AJ22" i="111"/>
  <c r="AJ24" i="111" s="1"/>
  <c r="AF22" i="111"/>
  <c r="AF24" i="111" s="1"/>
  <c r="AB22" i="111"/>
  <c r="AB24" i="111" s="1"/>
  <c r="X22" i="111"/>
  <c r="X24" i="111" s="1"/>
  <c r="T22" i="111"/>
  <c r="T24" i="111" s="1"/>
  <c r="R20" i="111"/>
  <c r="Q20" i="111"/>
  <c r="P20" i="111"/>
  <c r="P22" i="111" s="1"/>
  <c r="P24" i="111" s="1"/>
  <c r="O20" i="111"/>
  <c r="N20" i="111"/>
  <c r="M20" i="111"/>
  <c r="L20" i="111"/>
  <c r="L22" i="111" s="1"/>
  <c r="L24" i="111" s="1"/>
  <c r="K20" i="111"/>
  <c r="J20" i="111"/>
  <c r="I20" i="111"/>
  <c r="H20" i="111"/>
  <c r="H22" i="111" s="1"/>
  <c r="H24" i="111" s="1"/>
  <c r="G20" i="111"/>
  <c r="F20" i="111"/>
  <c r="AC24" i="111" l="1"/>
  <c r="T20" i="110"/>
  <c r="U20" i="110"/>
  <c r="V20" i="110"/>
  <c r="W20" i="110"/>
  <c r="X20" i="110"/>
  <c r="Y20" i="110"/>
  <c r="Z20" i="110"/>
  <c r="AA20" i="110"/>
  <c r="AA22" i="110" s="1"/>
  <c r="AA24" i="110" s="1"/>
  <c r="AB20" i="110"/>
  <c r="AC20" i="110"/>
  <c r="AD20" i="110"/>
  <c r="AE20" i="110"/>
  <c r="AF20" i="110"/>
  <c r="AG20" i="110"/>
  <c r="AH20" i="110"/>
  <c r="AI20" i="110"/>
  <c r="AI22" i="110" s="1"/>
  <c r="AI24" i="110" s="1"/>
  <c r="AJ20" i="110"/>
  <c r="AK20" i="110"/>
  <c r="AL20" i="110"/>
  <c r="AM20" i="110"/>
  <c r="AN20" i="110"/>
  <c r="AO20" i="110"/>
  <c r="AP20" i="110"/>
  <c r="AQ20" i="110"/>
  <c r="AQ22" i="110" s="1"/>
  <c r="AQ24" i="110" s="1"/>
  <c r="S20" i="110"/>
  <c r="S22" i="110" s="1"/>
  <c r="S24" i="110" s="1"/>
  <c r="AE23" i="110"/>
  <c r="AC23" i="110"/>
  <c r="X23" i="110"/>
  <c r="V23" i="110"/>
  <c r="T23" i="110"/>
  <c r="R23" i="110"/>
  <c r="P23" i="110"/>
  <c r="N23" i="110"/>
  <c r="L23" i="110"/>
  <c r="J23" i="110"/>
  <c r="I23" i="110"/>
  <c r="H23" i="110"/>
  <c r="F23" i="110"/>
  <c r="AP22" i="110"/>
  <c r="AP24" i="110" s="1"/>
  <c r="AN22" i="110"/>
  <c r="AN24" i="110" s="1"/>
  <c r="AL22" i="110"/>
  <c r="AL24" i="110" s="1"/>
  <c r="AJ22" i="110"/>
  <c r="AJ24" i="110" s="1"/>
  <c r="AH22" i="110"/>
  <c r="AH24" i="110" s="1"/>
  <c r="AF22" i="110"/>
  <c r="AF24" i="110" s="1"/>
  <c r="AD22" i="110"/>
  <c r="AD24" i="110" s="1"/>
  <c r="AB22" i="110"/>
  <c r="AB24" i="110" s="1"/>
  <c r="Z22" i="110"/>
  <c r="Z24" i="110" s="1"/>
  <c r="X22" i="110"/>
  <c r="X24" i="110" s="1"/>
  <c r="V22" i="110"/>
  <c r="V24" i="110" s="1"/>
  <c r="T22" i="110"/>
  <c r="T24" i="110" s="1"/>
  <c r="P22" i="110"/>
  <c r="P24" i="110" s="1"/>
  <c r="N22" i="110"/>
  <c r="N24" i="110" s="1"/>
  <c r="L22" i="110"/>
  <c r="L24" i="110" s="1"/>
  <c r="J22" i="110"/>
  <c r="J24" i="110" s="1"/>
  <c r="H22" i="110"/>
  <c r="H24" i="110" s="1"/>
  <c r="F22" i="110"/>
  <c r="F24" i="110" s="1"/>
  <c r="E22" i="110"/>
  <c r="E24" i="110" s="1"/>
  <c r="AE21" i="110"/>
  <c r="AC21" i="110"/>
  <c r="R21" i="110"/>
  <c r="R22" i="110" s="1"/>
  <c r="R24" i="110" s="1"/>
  <c r="H21" i="110"/>
  <c r="AO22" i="110"/>
  <c r="AO24" i="110" s="1"/>
  <c r="AM22" i="110"/>
  <c r="AM24" i="110" s="1"/>
  <c r="AK22" i="110"/>
  <c r="AK24" i="110" s="1"/>
  <c r="AG22" i="110"/>
  <c r="AG24" i="110" s="1"/>
  <c r="AE22" i="110"/>
  <c r="AE24" i="110" s="1"/>
  <c r="AC22" i="110"/>
  <c r="Y22" i="110"/>
  <c r="Y24" i="110" s="1"/>
  <c r="W22" i="110"/>
  <c r="W24" i="110" s="1"/>
  <c r="U22" i="110"/>
  <c r="U24" i="110" s="1"/>
  <c r="R20" i="110"/>
  <c r="Q20" i="110"/>
  <c r="Q22" i="110" s="1"/>
  <c r="Q24" i="110" s="1"/>
  <c r="P20" i="110"/>
  <c r="O20" i="110"/>
  <c r="O22" i="110" s="1"/>
  <c r="O24" i="110" s="1"/>
  <c r="N20" i="110"/>
  <c r="M20" i="110"/>
  <c r="M22" i="110" s="1"/>
  <c r="M24" i="110" s="1"/>
  <c r="L20" i="110"/>
  <c r="K20" i="110"/>
  <c r="K22" i="110" s="1"/>
  <c r="K24" i="110" s="1"/>
  <c r="J20" i="110"/>
  <c r="I20" i="110"/>
  <c r="I22" i="110" s="1"/>
  <c r="I24" i="110" s="1"/>
  <c r="H20" i="110"/>
  <c r="G20" i="110"/>
  <c r="G22" i="110" s="1"/>
  <c r="G24" i="110" s="1"/>
  <c r="F20" i="110"/>
  <c r="AC24" i="110" l="1"/>
  <c r="T20" i="109"/>
  <c r="U20" i="109"/>
  <c r="V20" i="109"/>
  <c r="W20" i="109"/>
  <c r="W22" i="109" s="1"/>
  <c r="W24" i="109" s="1"/>
  <c r="X20" i="109"/>
  <c r="Y20" i="109"/>
  <c r="Y22" i="109" s="1"/>
  <c r="Y24" i="109" s="1"/>
  <c r="Z20" i="109"/>
  <c r="AA20" i="109"/>
  <c r="AA22" i="109" s="1"/>
  <c r="AA24" i="109" s="1"/>
  <c r="AB20" i="109"/>
  <c r="AC20" i="109"/>
  <c r="AD20" i="109"/>
  <c r="AD22" i="109" s="1"/>
  <c r="AD24" i="109" s="1"/>
  <c r="AE20" i="109"/>
  <c r="AF20" i="109"/>
  <c r="AG20" i="109"/>
  <c r="AH20" i="109"/>
  <c r="AH22" i="109" s="1"/>
  <c r="AH24" i="109" s="1"/>
  <c r="AI20" i="109"/>
  <c r="AI22" i="109" s="1"/>
  <c r="AI24" i="109" s="1"/>
  <c r="AJ20" i="109"/>
  <c r="AK20" i="109"/>
  <c r="AL20" i="109"/>
  <c r="AM20" i="109"/>
  <c r="AM22" i="109" s="1"/>
  <c r="AM24" i="109" s="1"/>
  <c r="AN20" i="109"/>
  <c r="AO20" i="109"/>
  <c r="AO22" i="109" s="1"/>
  <c r="AO24" i="109" s="1"/>
  <c r="AP20" i="109"/>
  <c r="AQ20" i="109"/>
  <c r="AQ22" i="109" s="1"/>
  <c r="AQ24" i="109" s="1"/>
  <c r="S20" i="109"/>
  <c r="S22" i="109" s="1"/>
  <c r="S24" i="109" s="1"/>
  <c r="AE23" i="109"/>
  <c r="AC23" i="109"/>
  <c r="X23" i="109"/>
  <c r="V23" i="109"/>
  <c r="T23" i="109"/>
  <c r="R23" i="109"/>
  <c r="P23" i="109"/>
  <c r="N23" i="109"/>
  <c r="L23" i="109"/>
  <c r="J23" i="109"/>
  <c r="I23" i="109"/>
  <c r="H23" i="109"/>
  <c r="F23" i="109"/>
  <c r="AP22" i="109"/>
  <c r="AP24" i="109" s="1"/>
  <c r="AL22" i="109"/>
  <c r="AL24" i="109" s="1"/>
  <c r="AK22" i="109"/>
  <c r="AK24" i="109" s="1"/>
  <c r="AG22" i="109"/>
  <c r="AG24" i="109" s="1"/>
  <c r="AE22" i="109"/>
  <c r="AC22" i="109"/>
  <c r="Z22" i="109"/>
  <c r="Z24" i="109" s="1"/>
  <c r="V22" i="109"/>
  <c r="V24" i="109" s="1"/>
  <c r="U22" i="109"/>
  <c r="U24" i="109" s="1"/>
  <c r="Q22" i="109"/>
  <c r="Q24" i="109" s="1"/>
  <c r="O22" i="109"/>
  <c r="O24" i="109" s="1"/>
  <c r="N22" i="109"/>
  <c r="N24" i="109" s="1"/>
  <c r="M22" i="109"/>
  <c r="M24" i="109" s="1"/>
  <c r="K22" i="109"/>
  <c r="K24" i="109" s="1"/>
  <c r="J22" i="109"/>
  <c r="J24" i="109" s="1"/>
  <c r="I22" i="109"/>
  <c r="I24" i="109" s="1"/>
  <c r="G22" i="109"/>
  <c r="G24" i="109" s="1"/>
  <c r="F22" i="109"/>
  <c r="F24" i="109" s="1"/>
  <c r="E22" i="109"/>
  <c r="E24" i="109" s="1"/>
  <c r="AE21" i="109"/>
  <c r="AC21" i="109"/>
  <c r="R21" i="109"/>
  <c r="R22" i="109" s="1"/>
  <c r="R24" i="109" s="1"/>
  <c r="H21" i="109"/>
  <c r="AN22" i="109"/>
  <c r="AN24" i="109" s="1"/>
  <c r="AJ22" i="109"/>
  <c r="AJ24" i="109" s="1"/>
  <c r="AF22" i="109"/>
  <c r="AF24" i="109" s="1"/>
  <c r="AB22" i="109"/>
  <c r="AB24" i="109" s="1"/>
  <c r="X22" i="109"/>
  <c r="X24" i="109" s="1"/>
  <c r="T22" i="109"/>
  <c r="T24" i="109" s="1"/>
  <c r="R20" i="109"/>
  <c r="Q20" i="109"/>
  <c r="P20" i="109"/>
  <c r="P22" i="109" s="1"/>
  <c r="P24" i="109" s="1"/>
  <c r="O20" i="109"/>
  <c r="N20" i="109"/>
  <c r="M20" i="109"/>
  <c r="L20" i="109"/>
  <c r="L22" i="109" s="1"/>
  <c r="L24" i="109" s="1"/>
  <c r="K20" i="109"/>
  <c r="J20" i="109"/>
  <c r="I20" i="109"/>
  <c r="H20" i="109"/>
  <c r="H22" i="109" s="1"/>
  <c r="H24" i="109" s="1"/>
  <c r="G20" i="109"/>
  <c r="F20" i="109"/>
  <c r="AE24" i="109" l="1"/>
  <c r="AC24" i="109"/>
  <c r="AE21" i="108" l="1"/>
  <c r="AC21" i="108"/>
  <c r="T20" i="108" l="1"/>
  <c r="U20" i="108"/>
  <c r="V20" i="108"/>
  <c r="W20" i="108"/>
  <c r="X20" i="108"/>
  <c r="Y20" i="108"/>
  <c r="Z20" i="108"/>
  <c r="AA20" i="108"/>
  <c r="AA22" i="108" s="1"/>
  <c r="AA24" i="108" s="1"/>
  <c r="AB20" i="108"/>
  <c r="AC20" i="108"/>
  <c r="AD20" i="108"/>
  <c r="AE20" i="108"/>
  <c r="AF20" i="108"/>
  <c r="AG20" i="108"/>
  <c r="AH20" i="108"/>
  <c r="AI20" i="108"/>
  <c r="AI22" i="108" s="1"/>
  <c r="AI24" i="108" s="1"/>
  <c r="AJ20" i="108"/>
  <c r="AK20" i="108"/>
  <c r="AL20" i="108"/>
  <c r="AM20" i="108"/>
  <c r="AM22" i="108" s="1"/>
  <c r="AM24" i="108" s="1"/>
  <c r="AN20" i="108"/>
  <c r="AO20" i="108"/>
  <c r="AP20" i="108"/>
  <c r="AQ20" i="108"/>
  <c r="AQ22" i="108" s="1"/>
  <c r="AQ24" i="108" s="1"/>
  <c r="S20" i="108"/>
  <c r="AE23" i="108"/>
  <c r="AC23" i="108"/>
  <c r="X23" i="108"/>
  <c r="V23" i="108"/>
  <c r="T23" i="108"/>
  <c r="R23" i="108"/>
  <c r="P23" i="108"/>
  <c r="N23" i="108"/>
  <c r="L23" i="108"/>
  <c r="J23" i="108"/>
  <c r="I23" i="108"/>
  <c r="H23" i="108"/>
  <c r="F23" i="108"/>
  <c r="AO22" i="108"/>
  <c r="AO24" i="108" s="1"/>
  <c r="AK22" i="108"/>
  <c r="AK24" i="108" s="1"/>
  <c r="AG22" i="108"/>
  <c r="AG24" i="108" s="1"/>
  <c r="AE22" i="108"/>
  <c r="AE24" i="108" s="1"/>
  <c r="AC22" i="108"/>
  <c r="Y22" i="108"/>
  <c r="Y24" i="108" s="1"/>
  <c r="W22" i="108"/>
  <c r="W24" i="108" s="1"/>
  <c r="U22" i="108"/>
  <c r="U24" i="108" s="1"/>
  <c r="S22" i="108"/>
  <c r="S24" i="108" s="1"/>
  <c r="Q22" i="108"/>
  <c r="Q24" i="108" s="1"/>
  <c r="O22" i="108"/>
  <c r="O24" i="108" s="1"/>
  <c r="M22" i="108"/>
  <c r="M24" i="108" s="1"/>
  <c r="K22" i="108"/>
  <c r="K24" i="108" s="1"/>
  <c r="I22" i="108"/>
  <c r="I24" i="108" s="1"/>
  <c r="G22" i="108"/>
  <c r="G24" i="108" s="1"/>
  <c r="E22" i="108"/>
  <c r="E24" i="108" s="1"/>
  <c r="R21" i="108"/>
  <c r="H21" i="108"/>
  <c r="AP22" i="108"/>
  <c r="AP24" i="108" s="1"/>
  <c r="AN22" i="108"/>
  <c r="AN24" i="108" s="1"/>
  <c r="AL22" i="108"/>
  <c r="AL24" i="108" s="1"/>
  <c r="AJ22" i="108"/>
  <c r="AJ24" i="108" s="1"/>
  <c r="AH22" i="108"/>
  <c r="AH24" i="108" s="1"/>
  <c r="AF22" i="108"/>
  <c r="AF24" i="108" s="1"/>
  <c r="AD22" i="108"/>
  <c r="AD24" i="108" s="1"/>
  <c r="AB22" i="108"/>
  <c r="AB24" i="108" s="1"/>
  <c r="Z22" i="108"/>
  <c r="Z24" i="108" s="1"/>
  <c r="X22" i="108"/>
  <c r="X24" i="108" s="1"/>
  <c r="V22" i="108"/>
  <c r="V24" i="108" s="1"/>
  <c r="T22" i="108"/>
  <c r="T24" i="108" s="1"/>
  <c r="R20" i="108"/>
  <c r="R22" i="108" s="1"/>
  <c r="R24" i="108" s="1"/>
  <c r="Q20" i="108"/>
  <c r="P20" i="108"/>
  <c r="P22" i="108" s="1"/>
  <c r="P24" i="108" s="1"/>
  <c r="O20" i="108"/>
  <c r="N20" i="108"/>
  <c r="N22" i="108" s="1"/>
  <c r="N24" i="108" s="1"/>
  <c r="M20" i="108"/>
  <c r="L20" i="108"/>
  <c r="L22" i="108" s="1"/>
  <c r="L24" i="108" s="1"/>
  <c r="K20" i="108"/>
  <c r="J20" i="108"/>
  <c r="J22" i="108" s="1"/>
  <c r="J24" i="108" s="1"/>
  <c r="I20" i="108"/>
  <c r="H20" i="108"/>
  <c r="H22" i="108" s="1"/>
  <c r="H24" i="108" s="1"/>
  <c r="G20" i="108"/>
  <c r="F20" i="108"/>
  <c r="F22" i="108" s="1"/>
  <c r="F24" i="108" s="1"/>
  <c r="AC24" i="108" l="1"/>
  <c r="AF23" i="107"/>
  <c r="AB23" i="107"/>
  <c r="T20" i="107" l="1"/>
  <c r="U20" i="107"/>
  <c r="V20" i="107"/>
  <c r="W20" i="107"/>
  <c r="X20" i="107"/>
  <c r="Y20" i="107"/>
  <c r="Z20" i="107"/>
  <c r="AA20" i="107"/>
  <c r="AB20" i="107"/>
  <c r="AC20" i="107"/>
  <c r="AD20" i="107"/>
  <c r="AE20" i="107"/>
  <c r="AF20" i="107"/>
  <c r="AG20" i="107"/>
  <c r="AH20" i="107"/>
  <c r="AI20" i="107"/>
  <c r="AI22" i="107" s="1"/>
  <c r="AI24" i="107" s="1"/>
  <c r="AJ20" i="107"/>
  <c r="AK20" i="107"/>
  <c r="AL20" i="107"/>
  <c r="AM20" i="107"/>
  <c r="AN20" i="107"/>
  <c r="AO20" i="107"/>
  <c r="AP20" i="107"/>
  <c r="AQ20" i="107"/>
  <c r="AQ22" i="107" s="1"/>
  <c r="AQ24" i="107" s="1"/>
  <c r="S20" i="107"/>
  <c r="S22" i="107" s="1"/>
  <c r="S24" i="107" s="1"/>
  <c r="AE23" i="107"/>
  <c r="AC23" i="107"/>
  <c r="X23" i="107"/>
  <c r="V23" i="107"/>
  <c r="T23" i="107"/>
  <c r="R23" i="107"/>
  <c r="P23" i="107"/>
  <c r="N23" i="107"/>
  <c r="L23" i="107"/>
  <c r="J23" i="107"/>
  <c r="I23" i="107"/>
  <c r="H23" i="107"/>
  <c r="F23" i="107"/>
  <c r="AP22" i="107"/>
  <c r="AP24" i="107" s="1"/>
  <c r="AO22" i="107"/>
  <c r="AO24" i="107" s="1"/>
  <c r="AL22" i="107"/>
  <c r="AL24" i="107" s="1"/>
  <c r="AK22" i="107"/>
  <c r="AK24" i="107" s="1"/>
  <c r="AH22" i="107"/>
  <c r="AH24" i="107" s="1"/>
  <c r="AG22" i="107"/>
  <c r="AG24" i="107" s="1"/>
  <c r="AD22" i="107"/>
  <c r="AD24" i="107" s="1"/>
  <c r="AC22" i="107"/>
  <c r="Z22" i="107"/>
  <c r="Z24" i="107" s="1"/>
  <c r="Y22" i="107"/>
  <c r="Y24" i="107" s="1"/>
  <c r="V22" i="107"/>
  <c r="V24" i="107" s="1"/>
  <c r="U22" i="107"/>
  <c r="U24" i="107" s="1"/>
  <c r="Q22" i="107"/>
  <c r="Q24" i="107" s="1"/>
  <c r="N22" i="107"/>
  <c r="N24" i="107" s="1"/>
  <c r="M22" i="107"/>
  <c r="M24" i="107" s="1"/>
  <c r="J22" i="107"/>
  <c r="J24" i="107" s="1"/>
  <c r="I22" i="107"/>
  <c r="I24" i="107" s="1"/>
  <c r="F22" i="107"/>
  <c r="F24" i="107" s="1"/>
  <c r="E22" i="107"/>
  <c r="E24" i="107" s="1"/>
  <c r="R21" i="107"/>
  <c r="R22" i="107" s="1"/>
  <c r="R24" i="107" s="1"/>
  <c r="H21" i="107"/>
  <c r="AN22" i="107"/>
  <c r="AN24" i="107" s="1"/>
  <c r="AM22" i="107"/>
  <c r="AM24" i="107" s="1"/>
  <c r="AJ22" i="107"/>
  <c r="AJ24" i="107" s="1"/>
  <c r="AF22" i="107"/>
  <c r="AF24" i="107" s="1"/>
  <c r="AE22" i="107"/>
  <c r="AE24" i="107" s="1"/>
  <c r="AB22" i="107"/>
  <c r="AB24" i="107" s="1"/>
  <c r="AA22" i="107"/>
  <c r="AA24" i="107" s="1"/>
  <c r="X22" i="107"/>
  <c r="X24" i="107" s="1"/>
  <c r="W22" i="107"/>
  <c r="W24" i="107" s="1"/>
  <c r="T22" i="107"/>
  <c r="T24" i="107" s="1"/>
  <c r="R20" i="107"/>
  <c r="Q20" i="107"/>
  <c r="P20" i="107"/>
  <c r="P22" i="107" s="1"/>
  <c r="P24" i="107" s="1"/>
  <c r="O20" i="107"/>
  <c r="O22" i="107" s="1"/>
  <c r="O24" i="107" s="1"/>
  <c r="N20" i="107"/>
  <c r="M20" i="107"/>
  <c r="L20" i="107"/>
  <c r="L22" i="107" s="1"/>
  <c r="L24" i="107" s="1"/>
  <c r="K20" i="107"/>
  <c r="K22" i="107" s="1"/>
  <c r="K24" i="107" s="1"/>
  <c r="J20" i="107"/>
  <c r="I20" i="107"/>
  <c r="H20" i="107"/>
  <c r="H22" i="107" s="1"/>
  <c r="H24" i="107" s="1"/>
  <c r="G20" i="107"/>
  <c r="G22" i="107" s="1"/>
  <c r="G24" i="107" s="1"/>
  <c r="F20" i="107"/>
  <c r="AC24" i="107" l="1"/>
  <c r="T20" i="106"/>
  <c r="U20" i="106"/>
  <c r="V20" i="106"/>
  <c r="V22" i="106" s="1"/>
  <c r="V24" i="106" s="1"/>
  <c r="W20" i="106"/>
  <c r="W22" i="106" s="1"/>
  <c r="W24" i="106" s="1"/>
  <c r="X20" i="106"/>
  <c r="Y20" i="106"/>
  <c r="Z20" i="106"/>
  <c r="AA20" i="106"/>
  <c r="AA22" i="106" s="1"/>
  <c r="AA24" i="106" s="1"/>
  <c r="AB20" i="106"/>
  <c r="AC20" i="106"/>
  <c r="AD20" i="106"/>
  <c r="AD22" i="106" s="1"/>
  <c r="AD24" i="106" s="1"/>
  <c r="AE20" i="106"/>
  <c r="AE22" i="106" s="1"/>
  <c r="AF20" i="106"/>
  <c r="AG20" i="106"/>
  <c r="AH20" i="106"/>
  <c r="AI20" i="106"/>
  <c r="AI22" i="106" s="1"/>
  <c r="AI24" i="106" s="1"/>
  <c r="AJ20" i="106"/>
  <c r="AK20" i="106"/>
  <c r="AL20" i="106"/>
  <c r="AL22" i="106" s="1"/>
  <c r="AL24" i="106" s="1"/>
  <c r="AM20" i="106"/>
  <c r="AM22" i="106" s="1"/>
  <c r="AM24" i="106" s="1"/>
  <c r="AN20" i="106"/>
  <c r="AO20" i="106"/>
  <c r="AP20" i="106"/>
  <c r="AQ20" i="106"/>
  <c r="AQ22" i="106" s="1"/>
  <c r="AQ24" i="106" s="1"/>
  <c r="S20" i="106"/>
  <c r="S22" i="106" s="1"/>
  <c r="S24" i="106" s="1"/>
  <c r="AE23" i="106"/>
  <c r="AC23" i="106"/>
  <c r="X23" i="106"/>
  <c r="V23" i="106"/>
  <c r="T23" i="106"/>
  <c r="R23" i="106"/>
  <c r="P23" i="106"/>
  <c r="N23" i="106"/>
  <c r="L23" i="106"/>
  <c r="J23" i="106"/>
  <c r="I23" i="106"/>
  <c r="H23" i="106"/>
  <c r="F23" i="106"/>
  <c r="AP22" i="106"/>
  <c r="AP24" i="106" s="1"/>
  <c r="AH22" i="106"/>
  <c r="AH24" i="106" s="1"/>
  <c r="Z22" i="106"/>
  <c r="Z24" i="106" s="1"/>
  <c r="O22" i="106"/>
  <c r="O24" i="106" s="1"/>
  <c r="N22" i="106"/>
  <c r="N24" i="106" s="1"/>
  <c r="K22" i="106"/>
  <c r="K24" i="106" s="1"/>
  <c r="J22" i="106"/>
  <c r="J24" i="106" s="1"/>
  <c r="G22" i="106"/>
  <c r="G24" i="106" s="1"/>
  <c r="F22" i="106"/>
  <c r="F24" i="106" s="1"/>
  <c r="E22" i="106"/>
  <c r="E24" i="106" s="1"/>
  <c r="AE21" i="106"/>
  <c r="AC21" i="106"/>
  <c r="R21" i="106"/>
  <c r="R22" i="106" s="1"/>
  <c r="R24" i="106" s="1"/>
  <c r="H21" i="106"/>
  <c r="AO22" i="106"/>
  <c r="AO24" i="106" s="1"/>
  <c r="AN22" i="106"/>
  <c r="AN24" i="106" s="1"/>
  <c r="AK22" i="106"/>
  <c r="AK24" i="106" s="1"/>
  <c r="AJ22" i="106"/>
  <c r="AJ24" i="106" s="1"/>
  <c r="AG22" i="106"/>
  <c r="AG24" i="106" s="1"/>
  <c r="AF22" i="106"/>
  <c r="AF24" i="106" s="1"/>
  <c r="AC22" i="106"/>
  <c r="AB22" i="106"/>
  <c r="AB24" i="106" s="1"/>
  <c r="Y22" i="106"/>
  <c r="Y24" i="106" s="1"/>
  <c r="X22" i="106"/>
  <c r="X24" i="106" s="1"/>
  <c r="U22" i="106"/>
  <c r="U24" i="106" s="1"/>
  <c r="T22" i="106"/>
  <c r="T24" i="106" s="1"/>
  <c r="R20" i="106"/>
  <c r="Q20" i="106"/>
  <c r="Q22" i="106" s="1"/>
  <c r="Q24" i="106" s="1"/>
  <c r="P20" i="106"/>
  <c r="P22" i="106" s="1"/>
  <c r="P24" i="106" s="1"/>
  <c r="O20" i="106"/>
  <c r="N20" i="106"/>
  <c r="M20" i="106"/>
  <c r="M22" i="106" s="1"/>
  <c r="M24" i="106" s="1"/>
  <c r="L20" i="106"/>
  <c r="L22" i="106" s="1"/>
  <c r="L24" i="106" s="1"/>
  <c r="K20" i="106"/>
  <c r="J20" i="106"/>
  <c r="I20" i="106"/>
  <c r="I22" i="106" s="1"/>
  <c r="I24" i="106" s="1"/>
  <c r="H20" i="106"/>
  <c r="H22" i="106" s="1"/>
  <c r="H24" i="106" s="1"/>
  <c r="G20" i="106"/>
  <c r="F20" i="106"/>
  <c r="AE24" i="106" l="1"/>
  <c r="AC24" i="106"/>
  <c r="T20" i="105"/>
  <c r="U20" i="105"/>
  <c r="V20" i="105"/>
  <c r="W20" i="105"/>
  <c r="X20" i="105"/>
  <c r="Y20" i="105"/>
  <c r="Z20" i="105"/>
  <c r="AA20" i="105"/>
  <c r="AA22" i="105" s="1"/>
  <c r="AA24" i="105" s="1"/>
  <c r="AB20" i="105"/>
  <c r="AC20" i="105"/>
  <c r="AD20" i="105"/>
  <c r="AE20" i="105"/>
  <c r="AE22" i="105" s="1"/>
  <c r="AF20" i="105"/>
  <c r="AG20" i="105"/>
  <c r="AH20" i="105"/>
  <c r="AI20" i="105"/>
  <c r="AI22" i="105" s="1"/>
  <c r="AI24" i="105" s="1"/>
  <c r="AJ20" i="105"/>
  <c r="AK20" i="105"/>
  <c r="AL20" i="105"/>
  <c r="AM20" i="105"/>
  <c r="AN20" i="105"/>
  <c r="AO20" i="105"/>
  <c r="AP20" i="105"/>
  <c r="AQ20" i="105"/>
  <c r="AQ22" i="105" s="1"/>
  <c r="AQ24" i="105" s="1"/>
  <c r="S20" i="105"/>
  <c r="AE23" i="105"/>
  <c r="AC23" i="105"/>
  <c r="X23" i="105"/>
  <c r="V23" i="105"/>
  <c r="T23" i="105"/>
  <c r="R23" i="105"/>
  <c r="P23" i="105"/>
  <c r="N23" i="105"/>
  <c r="L23" i="105"/>
  <c r="J23" i="105"/>
  <c r="I23" i="105"/>
  <c r="H23" i="105"/>
  <c r="F23" i="105"/>
  <c r="AN22" i="105"/>
  <c r="AN24" i="105" s="1"/>
  <c r="AJ22" i="105"/>
  <c r="AJ24" i="105" s="1"/>
  <c r="AF22" i="105"/>
  <c r="AF24" i="105" s="1"/>
  <c r="AB22" i="105"/>
  <c r="AB24" i="105" s="1"/>
  <c r="X22" i="105"/>
  <c r="X24" i="105" s="1"/>
  <c r="T22" i="105"/>
  <c r="T24" i="105" s="1"/>
  <c r="P22" i="105"/>
  <c r="P24" i="105" s="1"/>
  <c r="L22" i="105"/>
  <c r="L24" i="105" s="1"/>
  <c r="H22" i="105"/>
  <c r="H24" i="105" s="1"/>
  <c r="E22" i="105"/>
  <c r="E24" i="105" s="1"/>
  <c r="AE21" i="105"/>
  <c r="AC21" i="105"/>
  <c r="R21" i="105"/>
  <c r="H21" i="105"/>
  <c r="AP22" i="105"/>
  <c r="AP24" i="105" s="1"/>
  <c r="AO22" i="105"/>
  <c r="AO24" i="105" s="1"/>
  <c r="AM22" i="105"/>
  <c r="AM24" i="105" s="1"/>
  <c r="AL22" i="105"/>
  <c r="AL24" i="105" s="1"/>
  <c r="AK22" i="105"/>
  <c r="AK24" i="105" s="1"/>
  <c r="AH22" i="105"/>
  <c r="AH24" i="105" s="1"/>
  <c r="AG22" i="105"/>
  <c r="AG24" i="105" s="1"/>
  <c r="AD22" i="105"/>
  <c r="AD24" i="105" s="1"/>
  <c r="AC22" i="105"/>
  <c r="Z22" i="105"/>
  <c r="Z24" i="105" s="1"/>
  <c r="Y22" i="105"/>
  <c r="Y24" i="105" s="1"/>
  <c r="W22" i="105"/>
  <c r="W24" i="105" s="1"/>
  <c r="V22" i="105"/>
  <c r="V24" i="105" s="1"/>
  <c r="U22" i="105"/>
  <c r="U24" i="105" s="1"/>
  <c r="S22" i="105"/>
  <c r="S24" i="105" s="1"/>
  <c r="R20" i="105"/>
  <c r="R22" i="105" s="1"/>
  <c r="R24" i="105" s="1"/>
  <c r="Q20" i="105"/>
  <c r="Q22" i="105" s="1"/>
  <c r="Q24" i="105" s="1"/>
  <c r="P20" i="105"/>
  <c r="O20" i="105"/>
  <c r="O22" i="105" s="1"/>
  <c r="O24" i="105" s="1"/>
  <c r="N20" i="105"/>
  <c r="N22" i="105" s="1"/>
  <c r="N24" i="105" s="1"/>
  <c r="M20" i="105"/>
  <c r="M22" i="105" s="1"/>
  <c r="M24" i="105" s="1"/>
  <c r="L20" i="105"/>
  <c r="K20" i="105"/>
  <c r="K22" i="105" s="1"/>
  <c r="K24" i="105" s="1"/>
  <c r="J20" i="105"/>
  <c r="J22" i="105" s="1"/>
  <c r="J24" i="105" s="1"/>
  <c r="I20" i="105"/>
  <c r="I22" i="105" s="1"/>
  <c r="I24" i="105" s="1"/>
  <c r="H20" i="105"/>
  <c r="G20" i="105"/>
  <c r="G22" i="105" s="1"/>
  <c r="G24" i="105" s="1"/>
  <c r="F20" i="105"/>
  <c r="F22" i="105" s="1"/>
  <c r="F24" i="105" s="1"/>
  <c r="AE24" i="105" l="1"/>
  <c r="AC24" i="105"/>
  <c r="T20" i="104"/>
  <c r="U20" i="104"/>
  <c r="V20" i="104"/>
  <c r="W20" i="104"/>
  <c r="W22" i="104" s="1"/>
  <c r="W24" i="104" s="1"/>
  <c r="X20" i="104"/>
  <c r="Y20" i="104"/>
  <c r="Z20" i="104"/>
  <c r="AA20" i="104"/>
  <c r="AA22" i="104" s="1"/>
  <c r="AA24" i="104" s="1"/>
  <c r="AB20" i="104"/>
  <c r="AC20" i="104"/>
  <c r="AD20" i="104"/>
  <c r="AD22" i="104" s="1"/>
  <c r="AD24" i="104" s="1"/>
  <c r="AE20" i="104"/>
  <c r="AF20" i="104"/>
  <c r="AG20" i="104"/>
  <c r="AH20" i="104"/>
  <c r="AH22" i="104" s="1"/>
  <c r="AH24" i="104" s="1"/>
  <c r="AI20" i="104"/>
  <c r="AI22" i="104" s="1"/>
  <c r="AI24" i="104" s="1"/>
  <c r="AJ20" i="104"/>
  <c r="AK20" i="104"/>
  <c r="AL20" i="104"/>
  <c r="AM20" i="104"/>
  <c r="AM22" i="104" s="1"/>
  <c r="AM24" i="104" s="1"/>
  <c r="AN20" i="104"/>
  <c r="AO20" i="104"/>
  <c r="AP20" i="104"/>
  <c r="AQ20" i="104"/>
  <c r="AQ22" i="104" s="1"/>
  <c r="AQ24" i="104" s="1"/>
  <c r="S20" i="104"/>
  <c r="AE23" i="104"/>
  <c r="AC23" i="104"/>
  <c r="X23" i="104"/>
  <c r="V23" i="104"/>
  <c r="T23" i="104"/>
  <c r="R23" i="104"/>
  <c r="P23" i="104"/>
  <c r="N23" i="104"/>
  <c r="L23" i="104"/>
  <c r="J23" i="104"/>
  <c r="I23" i="104"/>
  <c r="H23" i="104"/>
  <c r="F23" i="104"/>
  <c r="AO22" i="104"/>
  <c r="AO24" i="104" s="1"/>
  <c r="AN22" i="104"/>
  <c r="AN24" i="104" s="1"/>
  <c r="AK22" i="104"/>
  <c r="AK24" i="104" s="1"/>
  <c r="AJ22" i="104"/>
  <c r="AJ24" i="104" s="1"/>
  <c r="AG22" i="104"/>
  <c r="AG24" i="104" s="1"/>
  <c r="AF22" i="104"/>
  <c r="AF24" i="104" s="1"/>
  <c r="AE22" i="104"/>
  <c r="AB22" i="104"/>
  <c r="AB24" i="104" s="1"/>
  <c r="Y22" i="104"/>
  <c r="Y24" i="104" s="1"/>
  <c r="X22" i="104"/>
  <c r="X24" i="104" s="1"/>
  <c r="U22" i="104"/>
  <c r="U24" i="104" s="1"/>
  <c r="T22" i="104"/>
  <c r="T24" i="104" s="1"/>
  <c r="S22" i="104"/>
  <c r="S24" i="104" s="1"/>
  <c r="Q22" i="104"/>
  <c r="Q24" i="104" s="1"/>
  <c r="P22" i="104"/>
  <c r="P24" i="104" s="1"/>
  <c r="O22" i="104"/>
  <c r="O24" i="104" s="1"/>
  <c r="M22" i="104"/>
  <c r="M24" i="104" s="1"/>
  <c r="L22" i="104"/>
  <c r="L24" i="104" s="1"/>
  <c r="K22" i="104"/>
  <c r="K24" i="104" s="1"/>
  <c r="I22" i="104"/>
  <c r="I24" i="104" s="1"/>
  <c r="H22" i="104"/>
  <c r="H24" i="104" s="1"/>
  <c r="G22" i="104"/>
  <c r="G24" i="104" s="1"/>
  <c r="E22" i="104"/>
  <c r="E24" i="104" s="1"/>
  <c r="AE21" i="104"/>
  <c r="AC21" i="104"/>
  <c r="AC22" i="104" s="1"/>
  <c r="R21" i="104"/>
  <c r="H21" i="104"/>
  <c r="AP22" i="104"/>
  <c r="AP24" i="104" s="1"/>
  <c r="AL22" i="104"/>
  <c r="AL24" i="104" s="1"/>
  <c r="Z22" i="104"/>
  <c r="Z24" i="104" s="1"/>
  <c r="V22" i="104"/>
  <c r="V24" i="104" s="1"/>
  <c r="R20" i="104"/>
  <c r="R22" i="104" s="1"/>
  <c r="R24" i="104" s="1"/>
  <c r="Q20" i="104"/>
  <c r="P20" i="104"/>
  <c r="O20" i="104"/>
  <c r="N20" i="104"/>
  <c r="N22" i="104" s="1"/>
  <c r="N24" i="104" s="1"/>
  <c r="M20" i="104"/>
  <c r="L20" i="104"/>
  <c r="K20" i="104"/>
  <c r="J20" i="104"/>
  <c r="J22" i="104" s="1"/>
  <c r="J24" i="104" s="1"/>
  <c r="I20" i="104"/>
  <c r="H20" i="104"/>
  <c r="G20" i="104"/>
  <c r="F20" i="104"/>
  <c r="F22" i="104" s="1"/>
  <c r="F24" i="104" s="1"/>
  <c r="AC24" i="104" l="1"/>
  <c r="AE24" i="104"/>
  <c r="T20" i="103"/>
  <c r="T22" i="103" s="1"/>
  <c r="T24" i="103" s="1"/>
  <c r="U20" i="103"/>
  <c r="V20" i="103"/>
  <c r="W20" i="103"/>
  <c r="X20" i="103"/>
  <c r="X22" i="103" s="1"/>
  <c r="X24" i="103" s="1"/>
  <c r="Y20" i="103"/>
  <c r="Z20" i="103"/>
  <c r="AA20" i="103"/>
  <c r="AA22" i="103" s="1"/>
  <c r="AA24" i="103" s="1"/>
  <c r="AB20" i="103"/>
  <c r="AB22" i="103" s="1"/>
  <c r="AB24" i="103" s="1"/>
  <c r="AC20" i="103"/>
  <c r="AD20" i="103"/>
  <c r="AE20" i="103"/>
  <c r="AE22" i="103" s="1"/>
  <c r="AE24" i="103" s="1"/>
  <c r="AF20" i="103"/>
  <c r="AG20" i="103"/>
  <c r="AH20" i="103"/>
  <c r="AI20" i="103"/>
  <c r="AJ20" i="103"/>
  <c r="AJ22" i="103" s="1"/>
  <c r="AJ24" i="103" s="1"/>
  <c r="AK20" i="103"/>
  <c r="AL20" i="103"/>
  <c r="AM20" i="103"/>
  <c r="AN20" i="103"/>
  <c r="AN22" i="103" s="1"/>
  <c r="AN24" i="103" s="1"/>
  <c r="AO20" i="103"/>
  <c r="AP20" i="103"/>
  <c r="AQ20" i="103"/>
  <c r="AQ22" i="103" s="1"/>
  <c r="AQ24" i="103" s="1"/>
  <c r="S20" i="103"/>
  <c r="S22" i="103" s="1"/>
  <c r="S24" i="103" s="1"/>
  <c r="AE23" i="103"/>
  <c r="AC23" i="103"/>
  <c r="X23" i="103"/>
  <c r="V23" i="103"/>
  <c r="T23" i="103"/>
  <c r="R23" i="103"/>
  <c r="P23" i="103"/>
  <c r="N23" i="103"/>
  <c r="L23" i="103"/>
  <c r="J23" i="103"/>
  <c r="I23" i="103"/>
  <c r="H23" i="103"/>
  <c r="F23" i="103"/>
  <c r="AM22" i="103"/>
  <c r="AM24" i="103" s="1"/>
  <c r="AI22" i="103"/>
  <c r="AI24" i="103" s="1"/>
  <c r="W22" i="103"/>
  <c r="W24" i="103" s="1"/>
  <c r="O22" i="103"/>
  <c r="O24" i="103" s="1"/>
  <c r="K22" i="103"/>
  <c r="K24" i="103" s="1"/>
  <c r="G22" i="103"/>
  <c r="G24" i="103" s="1"/>
  <c r="E22" i="103"/>
  <c r="E24" i="103" s="1"/>
  <c r="AE21" i="103"/>
  <c r="AC21" i="103"/>
  <c r="R21" i="103"/>
  <c r="H21" i="103"/>
  <c r="AP22" i="103"/>
  <c r="AP24" i="103" s="1"/>
  <c r="AO22" i="103"/>
  <c r="AO24" i="103" s="1"/>
  <c r="AL22" i="103"/>
  <c r="AL24" i="103" s="1"/>
  <c r="AK22" i="103"/>
  <c r="AK24" i="103" s="1"/>
  <c r="AH22" i="103"/>
  <c r="AH24" i="103" s="1"/>
  <c r="AG22" i="103"/>
  <c r="AG24" i="103" s="1"/>
  <c r="AF22" i="103"/>
  <c r="AF24" i="103" s="1"/>
  <c r="AD22" i="103"/>
  <c r="AD24" i="103" s="1"/>
  <c r="AC22" i="103"/>
  <c r="Z22" i="103"/>
  <c r="Z24" i="103" s="1"/>
  <c r="Y22" i="103"/>
  <c r="Y24" i="103" s="1"/>
  <c r="V22" i="103"/>
  <c r="V24" i="103" s="1"/>
  <c r="U22" i="103"/>
  <c r="U24" i="103" s="1"/>
  <c r="R20" i="103"/>
  <c r="R22" i="103" s="1"/>
  <c r="R24" i="103" s="1"/>
  <c r="Q20" i="103"/>
  <c r="Q22" i="103" s="1"/>
  <c r="Q24" i="103" s="1"/>
  <c r="P20" i="103"/>
  <c r="P22" i="103" s="1"/>
  <c r="P24" i="103" s="1"/>
  <c r="O20" i="103"/>
  <c r="N20" i="103"/>
  <c r="N22" i="103" s="1"/>
  <c r="N24" i="103" s="1"/>
  <c r="M20" i="103"/>
  <c r="M22" i="103" s="1"/>
  <c r="M24" i="103" s="1"/>
  <c r="L20" i="103"/>
  <c r="L22" i="103" s="1"/>
  <c r="L24" i="103" s="1"/>
  <c r="K20" i="103"/>
  <c r="J20" i="103"/>
  <c r="J22" i="103" s="1"/>
  <c r="J24" i="103" s="1"/>
  <c r="I20" i="103"/>
  <c r="I22" i="103" s="1"/>
  <c r="I24" i="103" s="1"/>
  <c r="H20" i="103"/>
  <c r="H22" i="103" s="1"/>
  <c r="H24" i="103" s="1"/>
  <c r="G20" i="103"/>
  <c r="F20" i="103"/>
  <c r="F22" i="103" s="1"/>
  <c r="F24" i="103" s="1"/>
  <c r="AC24" i="103" l="1"/>
  <c r="T20" i="102"/>
  <c r="T22" i="102" s="1"/>
  <c r="T24" i="102" s="1"/>
  <c r="U20" i="102"/>
  <c r="V20" i="102"/>
  <c r="W20" i="102"/>
  <c r="X20" i="102"/>
  <c r="X22" i="102" s="1"/>
  <c r="X24" i="102" s="1"/>
  <c r="Y20" i="102"/>
  <c r="Z20" i="102"/>
  <c r="AA20" i="102"/>
  <c r="AB20" i="102"/>
  <c r="AB22" i="102" s="1"/>
  <c r="AB24" i="102" s="1"/>
  <c r="AC20" i="102"/>
  <c r="AD20" i="102"/>
  <c r="AE20" i="102"/>
  <c r="AF20" i="102"/>
  <c r="AF22" i="102" s="1"/>
  <c r="AF24" i="102" s="1"/>
  <c r="AG20" i="102"/>
  <c r="AH20" i="102"/>
  <c r="AI20" i="102"/>
  <c r="AJ20" i="102"/>
  <c r="AJ22" i="102" s="1"/>
  <c r="AJ24" i="102" s="1"/>
  <c r="AK20" i="102"/>
  <c r="AL20" i="102"/>
  <c r="AM20" i="102"/>
  <c r="AN20" i="102"/>
  <c r="AN22" i="102" s="1"/>
  <c r="AN24" i="102" s="1"/>
  <c r="AO20" i="102"/>
  <c r="AO22" i="102" s="1"/>
  <c r="AO24" i="102" s="1"/>
  <c r="AP20" i="102"/>
  <c r="AQ20" i="102"/>
  <c r="S20" i="102"/>
  <c r="S22" i="102" s="1"/>
  <c r="S24" i="102" s="1"/>
  <c r="AE23" i="102"/>
  <c r="AC23" i="102"/>
  <c r="X23" i="102"/>
  <c r="V23" i="102"/>
  <c r="T23" i="102"/>
  <c r="R23" i="102"/>
  <c r="P23" i="102"/>
  <c r="N23" i="102"/>
  <c r="L23" i="102"/>
  <c r="J23" i="102"/>
  <c r="I23" i="102"/>
  <c r="H23" i="102"/>
  <c r="F23" i="102"/>
  <c r="E22" i="102"/>
  <c r="E24" i="102" s="1"/>
  <c r="AE21" i="102"/>
  <c r="AC21" i="102"/>
  <c r="R21" i="102"/>
  <c r="H21" i="102"/>
  <c r="AQ22" i="102"/>
  <c r="AQ24" i="102" s="1"/>
  <c r="AP22" i="102"/>
  <c r="AP24" i="102" s="1"/>
  <c r="AM22" i="102"/>
  <c r="AM24" i="102" s="1"/>
  <c r="AL22" i="102"/>
  <c r="AL24" i="102" s="1"/>
  <c r="AK22" i="102"/>
  <c r="AK24" i="102" s="1"/>
  <c r="AI22" i="102"/>
  <c r="AI24" i="102" s="1"/>
  <c r="AH22" i="102"/>
  <c r="AH24" i="102" s="1"/>
  <c r="AG22" i="102"/>
  <c r="AG24" i="102" s="1"/>
  <c r="AE22" i="102"/>
  <c r="AD22" i="102"/>
  <c r="AD24" i="102" s="1"/>
  <c r="AC22" i="102"/>
  <c r="AA22" i="102"/>
  <c r="AA24" i="102" s="1"/>
  <c r="Z22" i="102"/>
  <c r="Z24" i="102" s="1"/>
  <c r="Y22" i="102"/>
  <c r="Y24" i="102" s="1"/>
  <c r="W22" i="102"/>
  <c r="W24" i="102" s="1"/>
  <c r="V22" i="102"/>
  <c r="V24" i="102" s="1"/>
  <c r="U22" i="102"/>
  <c r="U24" i="102" s="1"/>
  <c r="R20" i="102"/>
  <c r="R22" i="102" s="1"/>
  <c r="R24" i="102" s="1"/>
  <c r="Q20" i="102"/>
  <c r="Q22" i="102" s="1"/>
  <c r="Q24" i="102" s="1"/>
  <c r="P20" i="102"/>
  <c r="P22" i="102" s="1"/>
  <c r="P24" i="102" s="1"/>
  <c r="O20" i="102"/>
  <c r="O22" i="102" s="1"/>
  <c r="O24" i="102" s="1"/>
  <c r="N20" i="102"/>
  <c r="N22" i="102" s="1"/>
  <c r="N24" i="102" s="1"/>
  <c r="M20" i="102"/>
  <c r="M22" i="102" s="1"/>
  <c r="M24" i="102" s="1"/>
  <c r="L20" i="102"/>
  <c r="L22" i="102" s="1"/>
  <c r="L24" i="102" s="1"/>
  <c r="K20" i="102"/>
  <c r="K22" i="102" s="1"/>
  <c r="K24" i="102" s="1"/>
  <c r="J20" i="102"/>
  <c r="J22" i="102" s="1"/>
  <c r="J24" i="102" s="1"/>
  <c r="I20" i="102"/>
  <c r="I22" i="102" s="1"/>
  <c r="I24" i="102" s="1"/>
  <c r="H20" i="102"/>
  <c r="H22" i="102" s="1"/>
  <c r="H24" i="102" s="1"/>
  <c r="G20" i="102"/>
  <c r="G22" i="102" s="1"/>
  <c r="G24" i="102" s="1"/>
  <c r="F20" i="102"/>
  <c r="F22" i="102" s="1"/>
  <c r="F24" i="102" s="1"/>
  <c r="AE24" i="102" l="1"/>
  <c r="AC24" i="102"/>
  <c r="AE23" i="101"/>
  <c r="T20" i="101" l="1"/>
  <c r="U20" i="101"/>
  <c r="V20" i="101"/>
  <c r="W20" i="101"/>
  <c r="W22" i="101" s="1"/>
  <c r="W24" i="101" s="1"/>
  <c r="X20" i="101"/>
  <c r="Y20" i="101"/>
  <c r="Z20" i="101"/>
  <c r="AA20" i="101"/>
  <c r="AA22" i="101" s="1"/>
  <c r="AA24" i="101" s="1"/>
  <c r="AB20" i="101"/>
  <c r="AC20" i="101"/>
  <c r="AD20" i="101"/>
  <c r="AE20" i="101"/>
  <c r="AF20" i="101"/>
  <c r="AG20" i="101"/>
  <c r="AH20" i="101"/>
  <c r="AI20" i="101"/>
  <c r="AI22" i="101" s="1"/>
  <c r="AI24" i="101" s="1"/>
  <c r="AJ20" i="101"/>
  <c r="AK20" i="101"/>
  <c r="AL20" i="101"/>
  <c r="AM20" i="101"/>
  <c r="AN20" i="101"/>
  <c r="AO20" i="101"/>
  <c r="AP20" i="101"/>
  <c r="AQ20" i="101"/>
  <c r="AQ22" i="101" s="1"/>
  <c r="AQ24" i="101" s="1"/>
  <c r="S20" i="101"/>
  <c r="AC23" i="101"/>
  <c r="X23" i="101"/>
  <c r="V23" i="101"/>
  <c r="T23" i="101"/>
  <c r="R23" i="101"/>
  <c r="P23" i="101"/>
  <c r="N23" i="101"/>
  <c r="L23" i="101"/>
  <c r="J23" i="101"/>
  <c r="I23" i="101"/>
  <c r="H23" i="101"/>
  <c r="F23" i="101"/>
  <c r="AO22" i="101"/>
  <c r="AO24" i="101" s="1"/>
  <c r="AM22" i="101"/>
  <c r="AM24" i="101" s="1"/>
  <c r="AK22" i="101"/>
  <c r="AK24" i="101" s="1"/>
  <c r="AG22" i="101"/>
  <c r="AG24" i="101" s="1"/>
  <c r="AE22" i="101"/>
  <c r="AE24" i="101" s="1"/>
  <c r="Y22" i="101"/>
  <c r="Y24" i="101" s="1"/>
  <c r="U22" i="101"/>
  <c r="U24" i="101" s="1"/>
  <c r="S22" i="101"/>
  <c r="S24" i="101" s="1"/>
  <c r="Q22" i="101"/>
  <c r="Q24" i="101" s="1"/>
  <c r="O22" i="101"/>
  <c r="O24" i="101" s="1"/>
  <c r="M22" i="101"/>
  <c r="M24" i="101" s="1"/>
  <c r="K22" i="101"/>
  <c r="K24" i="101" s="1"/>
  <c r="I22" i="101"/>
  <c r="I24" i="101" s="1"/>
  <c r="G22" i="101"/>
  <c r="G24" i="101" s="1"/>
  <c r="E22" i="101"/>
  <c r="E24" i="101" s="1"/>
  <c r="AE21" i="101"/>
  <c r="AC21" i="101"/>
  <c r="AC22" i="101" s="1"/>
  <c r="R21" i="101"/>
  <c r="H21" i="101"/>
  <c r="AP22" i="101"/>
  <c r="AP24" i="101" s="1"/>
  <c r="AN22" i="101"/>
  <c r="AN24" i="101" s="1"/>
  <c r="AL22" i="101"/>
  <c r="AL24" i="101" s="1"/>
  <c r="AJ22" i="101"/>
  <c r="AJ24" i="101" s="1"/>
  <c r="AH22" i="101"/>
  <c r="AH24" i="101" s="1"/>
  <c r="AF22" i="101"/>
  <c r="AF24" i="101" s="1"/>
  <c r="AD22" i="101"/>
  <c r="AD24" i="101" s="1"/>
  <c r="AB22" i="101"/>
  <c r="AB24" i="101" s="1"/>
  <c r="Z22" i="101"/>
  <c r="Z24" i="101" s="1"/>
  <c r="X22" i="101"/>
  <c r="X24" i="101" s="1"/>
  <c r="V22" i="101"/>
  <c r="V24" i="101" s="1"/>
  <c r="T22" i="101"/>
  <c r="T24" i="101" s="1"/>
  <c r="R20" i="101"/>
  <c r="R22" i="101" s="1"/>
  <c r="R24" i="101" s="1"/>
  <c r="Q20" i="101"/>
  <c r="P20" i="101"/>
  <c r="P22" i="101" s="1"/>
  <c r="P24" i="101" s="1"/>
  <c r="O20" i="101"/>
  <c r="N20" i="101"/>
  <c r="N22" i="101" s="1"/>
  <c r="N24" i="101" s="1"/>
  <c r="M20" i="101"/>
  <c r="L20" i="101"/>
  <c r="L22" i="101" s="1"/>
  <c r="L24" i="101" s="1"/>
  <c r="K20" i="101"/>
  <c r="J20" i="101"/>
  <c r="J22" i="101" s="1"/>
  <c r="J24" i="101" s="1"/>
  <c r="I20" i="101"/>
  <c r="H20" i="101"/>
  <c r="H22" i="101" s="1"/>
  <c r="H24" i="101" s="1"/>
  <c r="G20" i="101"/>
  <c r="F20" i="101"/>
  <c r="F22" i="101" s="1"/>
  <c r="F24" i="101" s="1"/>
  <c r="AC24" i="101" l="1"/>
  <c r="AE23" i="100"/>
  <c r="T20" i="100" l="1"/>
  <c r="T22" i="100" s="1"/>
  <c r="T24" i="100" s="1"/>
  <c r="U20" i="100"/>
  <c r="U22" i="100" s="1"/>
  <c r="U24" i="100" s="1"/>
  <c r="V20" i="100"/>
  <c r="W20" i="100"/>
  <c r="W22" i="100" s="1"/>
  <c r="W24" i="100" s="1"/>
  <c r="X20" i="100"/>
  <c r="Y20" i="100"/>
  <c r="Y22" i="100" s="1"/>
  <c r="Y24" i="100" s="1"/>
  <c r="Z20" i="100"/>
  <c r="AA20" i="100"/>
  <c r="AB20" i="100"/>
  <c r="AB22" i="100" s="1"/>
  <c r="AB24" i="100" s="1"/>
  <c r="AC20" i="100"/>
  <c r="AD20" i="100"/>
  <c r="AE20" i="100"/>
  <c r="AE22" i="100" s="1"/>
  <c r="AE24" i="100" s="1"/>
  <c r="AF20" i="100"/>
  <c r="AG20" i="100"/>
  <c r="AG22" i="100" s="1"/>
  <c r="AG24" i="100" s="1"/>
  <c r="AH20" i="100"/>
  <c r="AI20" i="100"/>
  <c r="AJ20" i="100"/>
  <c r="AJ22" i="100" s="1"/>
  <c r="AJ24" i="100" s="1"/>
  <c r="AK20" i="100"/>
  <c r="AK22" i="100" s="1"/>
  <c r="AK24" i="100" s="1"/>
  <c r="AL20" i="100"/>
  <c r="AM20" i="100"/>
  <c r="AM22" i="100" s="1"/>
  <c r="AM24" i="100" s="1"/>
  <c r="AN20" i="100"/>
  <c r="AO20" i="100"/>
  <c r="AO22" i="100" s="1"/>
  <c r="AO24" i="100" s="1"/>
  <c r="AP20" i="100"/>
  <c r="AQ20" i="100"/>
  <c r="S20" i="100"/>
  <c r="AC23" i="100"/>
  <c r="X23" i="100"/>
  <c r="V23" i="100"/>
  <c r="T23" i="100"/>
  <c r="R23" i="100"/>
  <c r="P23" i="100"/>
  <c r="N23" i="100"/>
  <c r="L23" i="100"/>
  <c r="J23" i="100"/>
  <c r="I23" i="100"/>
  <c r="H23" i="100"/>
  <c r="F23" i="100"/>
  <c r="AP22" i="100"/>
  <c r="AP24" i="100" s="1"/>
  <c r="AL22" i="100"/>
  <c r="AL24" i="100" s="1"/>
  <c r="AH22" i="100"/>
  <c r="AH24" i="100" s="1"/>
  <c r="AD22" i="100"/>
  <c r="AD24" i="100" s="1"/>
  <c r="Z22" i="100"/>
  <c r="Z24" i="100" s="1"/>
  <c r="V22" i="100"/>
  <c r="V24" i="100" s="1"/>
  <c r="Q22" i="100"/>
  <c r="Q24" i="100" s="1"/>
  <c r="N22" i="100"/>
  <c r="N24" i="100" s="1"/>
  <c r="M22" i="100"/>
  <c r="M24" i="100" s="1"/>
  <c r="J22" i="100"/>
  <c r="J24" i="100" s="1"/>
  <c r="I22" i="100"/>
  <c r="I24" i="100" s="1"/>
  <c r="F22" i="100"/>
  <c r="F24" i="100" s="1"/>
  <c r="E22" i="100"/>
  <c r="E24" i="100" s="1"/>
  <c r="AE21" i="100"/>
  <c r="AC21" i="100"/>
  <c r="R21" i="100"/>
  <c r="R22" i="100" s="1"/>
  <c r="R24" i="100" s="1"/>
  <c r="H21" i="100"/>
  <c r="AQ22" i="100"/>
  <c r="AQ24" i="100" s="1"/>
  <c r="AN22" i="100"/>
  <c r="AN24" i="100" s="1"/>
  <c r="AI22" i="100"/>
  <c r="AI24" i="100" s="1"/>
  <c r="AF22" i="100"/>
  <c r="AF24" i="100" s="1"/>
  <c r="AA22" i="100"/>
  <c r="AA24" i="100" s="1"/>
  <c r="X22" i="100"/>
  <c r="X24" i="100" s="1"/>
  <c r="S22" i="100"/>
  <c r="S24" i="100" s="1"/>
  <c r="R20" i="100"/>
  <c r="Q20" i="100"/>
  <c r="P20" i="100"/>
  <c r="P22" i="100" s="1"/>
  <c r="P24" i="100" s="1"/>
  <c r="O20" i="100"/>
  <c r="O22" i="100" s="1"/>
  <c r="O24" i="100" s="1"/>
  <c r="N20" i="100"/>
  <c r="M20" i="100"/>
  <c r="L20" i="100"/>
  <c r="L22" i="100" s="1"/>
  <c r="L24" i="100" s="1"/>
  <c r="K20" i="100"/>
  <c r="K22" i="100" s="1"/>
  <c r="K24" i="100" s="1"/>
  <c r="J20" i="100"/>
  <c r="I20" i="100"/>
  <c r="H20" i="100"/>
  <c r="H22" i="100" s="1"/>
  <c r="H24" i="100" s="1"/>
  <c r="G20" i="100"/>
  <c r="G22" i="100" s="1"/>
  <c r="G24" i="100" s="1"/>
  <c r="F20" i="100"/>
  <c r="AC22" i="100" l="1"/>
  <c r="AC24" i="100"/>
  <c r="AF23" i="99"/>
  <c r="AB23" i="99"/>
  <c r="T20" i="99" l="1"/>
  <c r="T22" i="99" s="1"/>
  <c r="T24" i="99" s="1"/>
  <c r="U20" i="99"/>
  <c r="V20" i="99"/>
  <c r="W20" i="99"/>
  <c r="X20" i="99"/>
  <c r="X22" i="99" s="1"/>
  <c r="X24" i="99" s="1"/>
  <c r="Y20" i="99"/>
  <c r="Y22" i="99" s="1"/>
  <c r="Y24" i="99" s="1"/>
  <c r="Z20" i="99"/>
  <c r="AA20" i="99"/>
  <c r="AB20" i="99"/>
  <c r="AC20" i="99"/>
  <c r="AD20" i="99"/>
  <c r="AE20" i="99"/>
  <c r="AE22" i="99" s="1"/>
  <c r="AF20" i="99"/>
  <c r="AF22" i="99" s="1"/>
  <c r="AF24" i="99" s="1"/>
  <c r="AG20" i="99"/>
  <c r="AH20" i="99"/>
  <c r="AI20" i="99"/>
  <c r="AJ20" i="99"/>
  <c r="AK20" i="99"/>
  <c r="AK22" i="99" s="1"/>
  <c r="AK24" i="99" s="1"/>
  <c r="AL20" i="99"/>
  <c r="AL22" i="99" s="1"/>
  <c r="AL24" i="99" s="1"/>
  <c r="AM20" i="99"/>
  <c r="AN20" i="99"/>
  <c r="AO20" i="99"/>
  <c r="AP20" i="99"/>
  <c r="AQ20" i="99"/>
  <c r="AQ22" i="99" s="1"/>
  <c r="AQ24" i="99" s="1"/>
  <c r="S20" i="99"/>
  <c r="S22" i="99" s="1"/>
  <c r="S24" i="99" s="1"/>
  <c r="E24" i="99"/>
  <c r="AC23" i="99"/>
  <c r="X23" i="99"/>
  <c r="V23" i="99"/>
  <c r="T23" i="99"/>
  <c r="R23" i="99"/>
  <c r="P23" i="99"/>
  <c r="N23" i="99"/>
  <c r="L23" i="99"/>
  <c r="J23" i="99"/>
  <c r="I23" i="99"/>
  <c r="H23" i="99"/>
  <c r="F23" i="99"/>
  <c r="AP22" i="99"/>
  <c r="AP24" i="99" s="1"/>
  <c r="AJ22" i="99"/>
  <c r="AJ24" i="99" s="1"/>
  <c r="AD22" i="99"/>
  <c r="AD24" i="99" s="1"/>
  <c r="R22" i="99"/>
  <c r="R24" i="99" s="1"/>
  <c r="L22" i="99"/>
  <c r="L24" i="99" s="1"/>
  <c r="F22" i="99"/>
  <c r="F24" i="99" s="1"/>
  <c r="E22" i="99"/>
  <c r="AE21" i="99"/>
  <c r="AC21" i="99"/>
  <c r="R21" i="99"/>
  <c r="H21" i="99"/>
  <c r="AO22" i="99"/>
  <c r="AO24" i="99" s="1"/>
  <c r="AN22" i="99"/>
  <c r="AN24" i="99" s="1"/>
  <c r="AM22" i="99"/>
  <c r="AM24" i="99" s="1"/>
  <c r="AI22" i="99"/>
  <c r="AI24" i="99" s="1"/>
  <c r="AH22" i="99"/>
  <c r="AH24" i="99" s="1"/>
  <c r="AG22" i="99"/>
  <c r="AG24" i="99" s="1"/>
  <c r="AC22" i="99"/>
  <c r="AB22" i="99"/>
  <c r="AB24" i="99" s="1"/>
  <c r="AA22" i="99"/>
  <c r="AA24" i="99" s="1"/>
  <c r="Z22" i="99"/>
  <c r="Z24" i="99" s="1"/>
  <c r="W22" i="99"/>
  <c r="W24" i="99" s="1"/>
  <c r="V22" i="99"/>
  <c r="V24" i="99" s="1"/>
  <c r="U22" i="99"/>
  <c r="U24" i="99" s="1"/>
  <c r="R20" i="99"/>
  <c r="Q20" i="99"/>
  <c r="Q22" i="99" s="1"/>
  <c r="Q24" i="99" s="1"/>
  <c r="P20" i="99"/>
  <c r="P22" i="99" s="1"/>
  <c r="P24" i="99" s="1"/>
  <c r="O20" i="99"/>
  <c r="O22" i="99" s="1"/>
  <c r="O24" i="99" s="1"/>
  <c r="N20" i="99"/>
  <c r="N22" i="99" s="1"/>
  <c r="N24" i="99" s="1"/>
  <c r="M20" i="99"/>
  <c r="M22" i="99" s="1"/>
  <c r="M24" i="99" s="1"/>
  <c r="L20" i="99"/>
  <c r="K20" i="99"/>
  <c r="K22" i="99" s="1"/>
  <c r="K24" i="99" s="1"/>
  <c r="J20" i="99"/>
  <c r="J22" i="99" s="1"/>
  <c r="J24" i="99" s="1"/>
  <c r="I20" i="99"/>
  <c r="I22" i="99" s="1"/>
  <c r="I24" i="99" s="1"/>
  <c r="H20" i="99"/>
  <c r="H22" i="99" s="1"/>
  <c r="H24" i="99" s="1"/>
  <c r="G20" i="99"/>
  <c r="G22" i="99" s="1"/>
  <c r="G24" i="99" s="1"/>
  <c r="F20" i="99"/>
  <c r="AC24" i="99" l="1"/>
  <c r="AE24" i="99"/>
  <c r="AF23" i="98"/>
  <c r="AC23" i="98"/>
  <c r="AD23" i="98"/>
  <c r="AE23" i="98" s="1"/>
  <c r="AB23" i="98"/>
  <c r="T20" i="98"/>
  <c r="U20" i="98"/>
  <c r="U22" i="98" s="1"/>
  <c r="U24" i="98" s="1"/>
  <c r="V20" i="98"/>
  <c r="V22" i="98" s="1"/>
  <c r="V24" i="98" s="1"/>
  <c r="W20" i="98"/>
  <c r="X20" i="98"/>
  <c r="X22" i="98" s="1"/>
  <c r="X24" i="98" s="1"/>
  <c r="Y20" i="98"/>
  <c r="Y22" i="98" s="1"/>
  <c r="Y24" i="98" s="1"/>
  <c r="Z20" i="98"/>
  <c r="AA20" i="98"/>
  <c r="AB20" i="98"/>
  <c r="AC20" i="98"/>
  <c r="AC22" i="98" s="1"/>
  <c r="AD20" i="98"/>
  <c r="AD22" i="98" s="1"/>
  <c r="AE20" i="98"/>
  <c r="AF20" i="98"/>
  <c r="AG20" i="98"/>
  <c r="AH20" i="98"/>
  <c r="AH22" i="98" s="1"/>
  <c r="AH24" i="98" s="1"/>
  <c r="AI20" i="98"/>
  <c r="AJ20" i="98"/>
  <c r="AJ22" i="98" s="1"/>
  <c r="AJ24" i="98" s="1"/>
  <c r="AK20" i="98"/>
  <c r="AK22" i="98" s="1"/>
  <c r="AK24" i="98" s="1"/>
  <c r="AL20" i="98"/>
  <c r="AM20" i="98"/>
  <c r="AM22" i="98" s="1"/>
  <c r="AM24" i="98" s="1"/>
  <c r="AN20" i="98"/>
  <c r="AN22" i="98" s="1"/>
  <c r="AN24" i="98" s="1"/>
  <c r="AO20" i="98"/>
  <c r="AO22" i="98" s="1"/>
  <c r="AO24" i="98" s="1"/>
  <c r="AP20" i="98"/>
  <c r="AP22" i="98" s="1"/>
  <c r="AP24" i="98" s="1"/>
  <c r="AQ20" i="98"/>
  <c r="AQ22" i="98" s="1"/>
  <c r="AQ24" i="98" s="1"/>
  <c r="S20" i="98"/>
  <c r="S22" i="98" s="1"/>
  <c r="S24" i="98" s="1"/>
  <c r="X23" i="98"/>
  <c r="V23" i="98"/>
  <c r="T23" i="98"/>
  <c r="R23" i="98"/>
  <c r="P23" i="98"/>
  <c r="N23" i="98"/>
  <c r="L23" i="98"/>
  <c r="J23" i="98"/>
  <c r="I23" i="98"/>
  <c r="H23" i="98"/>
  <c r="F23" i="98"/>
  <c r="AB22" i="98"/>
  <c r="P22" i="98"/>
  <c r="P24" i="98" s="1"/>
  <c r="E22" i="98"/>
  <c r="E24" i="98" s="1"/>
  <c r="AE21" i="98"/>
  <c r="AE22" i="98" s="1"/>
  <c r="AC21" i="98"/>
  <c r="R21" i="98"/>
  <c r="H21" i="98"/>
  <c r="AL22" i="98"/>
  <c r="AL24" i="98" s="1"/>
  <c r="AI22" i="98"/>
  <c r="AI24" i="98" s="1"/>
  <c r="AG22" i="98"/>
  <c r="AG24" i="98" s="1"/>
  <c r="AF22" i="98"/>
  <c r="AA22" i="98"/>
  <c r="AA24" i="98" s="1"/>
  <c r="Z22" i="98"/>
  <c r="Z24" i="98" s="1"/>
  <c r="W22" i="98"/>
  <c r="W24" i="98" s="1"/>
  <c r="T22" i="98"/>
  <c r="R20" i="98"/>
  <c r="R22" i="98" s="1"/>
  <c r="Q20" i="98"/>
  <c r="Q22" i="98" s="1"/>
  <c r="Q24" i="98" s="1"/>
  <c r="P20" i="98"/>
  <c r="O20" i="98"/>
  <c r="O22" i="98" s="1"/>
  <c r="O24" i="98" s="1"/>
  <c r="N20" i="98"/>
  <c r="N22" i="98" s="1"/>
  <c r="N24" i="98" s="1"/>
  <c r="M20" i="98"/>
  <c r="M22" i="98" s="1"/>
  <c r="M24" i="98" s="1"/>
  <c r="L20" i="98"/>
  <c r="L22" i="98" s="1"/>
  <c r="L24" i="98" s="1"/>
  <c r="K20" i="98"/>
  <c r="K22" i="98" s="1"/>
  <c r="K24" i="98" s="1"/>
  <c r="J20" i="98"/>
  <c r="J22" i="98" s="1"/>
  <c r="J24" i="98" s="1"/>
  <c r="I20" i="98"/>
  <c r="I22" i="98" s="1"/>
  <c r="I24" i="98" s="1"/>
  <c r="H20" i="98"/>
  <c r="G20" i="98"/>
  <c r="G22" i="98" s="1"/>
  <c r="G24" i="98" s="1"/>
  <c r="F20" i="98"/>
  <c r="F22" i="98" s="1"/>
  <c r="F24" i="98" s="1"/>
  <c r="T24" i="98" l="1"/>
  <c r="R24" i="98"/>
  <c r="H22" i="98"/>
  <c r="H24" i="98" s="1"/>
  <c r="AF24" i="98"/>
  <c r="AD24" i="98"/>
  <c r="AE24" i="98"/>
  <c r="AB24" i="98"/>
  <c r="AC24" i="98"/>
  <c r="T20" i="97"/>
  <c r="U20" i="97"/>
  <c r="V20" i="97"/>
  <c r="V22" i="97" s="1"/>
  <c r="V24" i="97" s="1"/>
  <c r="W20" i="97"/>
  <c r="X20" i="97"/>
  <c r="Y20" i="97"/>
  <c r="Z20" i="97"/>
  <c r="Z22" i="97" s="1"/>
  <c r="Z24" i="97" s="1"/>
  <c r="AA20" i="97"/>
  <c r="AB20" i="97"/>
  <c r="AC20" i="97"/>
  <c r="AD20" i="97"/>
  <c r="AD22" i="97" s="1"/>
  <c r="AD24" i="97" s="1"/>
  <c r="AE20" i="97"/>
  <c r="AF20" i="97"/>
  <c r="AG20" i="97"/>
  <c r="AH20" i="97"/>
  <c r="AH22" i="97" s="1"/>
  <c r="AH24" i="97" s="1"/>
  <c r="AI20" i="97"/>
  <c r="AJ20" i="97"/>
  <c r="AK20" i="97"/>
  <c r="AL20" i="97"/>
  <c r="AL22" i="97" s="1"/>
  <c r="AL24" i="97" s="1"/>
  <c r="AM20" i="97"/>
  <c r="AN20" i="97"/>
  <c r="AO20" i="97"/>
  <c r="AP20" i="97"/>
  <c r="AP22" i="97" s="1"/>
  <c r="AP24" i="97" s="1"/>
  <c r="AQ20" i="97"/>
  <c r="S20" i="97"/>
  <c r="S22" i="97" s="1"/>
  <c r="S24" i="97" s="1"/>
  <c r="AE23" i="97"/>
  <c r="AC23" i="97"/>
  <c r="X23" i="97"/>
  <c r="V23" i="97"/>
  <c r="T23" i="97"/>
  <c r="R23" i="97"/>
  <c r="P23" i="97"/>
  <c r="N23" i="97"/>
  <c r="L23" i="97"/>
  <c r="J23" i="97"/>
  <c r="I23" i="97"/>
  <c r="H23" i="97"/>
  <c r="F23" i="97"/>
  <c r="E22" i="97"/>
  <c r="E24" i="97" s="1"/>
  <c r="AE21" i="97"/>
  <c r="AC21" i="97"/>
  <c r="R21" i="97"/>
  <c r="H21" i="97"/>
  <c r="AQ22" i="97"/>
  <c r="AQ24" i="97" s="1"/>
  <c r="AO22" i="97"/>
  <c r="AO24" i="97" s="1"/>
  <c r="AN22" i="97"/>
  <c r="AN24" i="97" s="1"/>
  <c r="AM22" i="97"/>
  <c r="AM24" i="97" s="1"/>
  <c r="AK22" i="97"/>
  <c r="AK24" i="97" s="1"/>
  <c r="AJ22" i="97"/>
  <c r="AJ24" i="97" s="1"/>
  <c r="AI22" i="97"/>
  <c r="AI24" i="97" s="1"/>
  <c r="AG22" i="97"/>
  <c r="AG24" i="97" s="1"/>
  <c r="AF22" i="97"/>
  <c r="AF24" i="97" s="1"/>
  <c r="AE22" i="97"/>
  <c r="AC22" i="97"/>
  <c r="AB22" i="97"/>
  <c r="AB24" i="97" s="1"/>
  <c r="AA22" i="97"/>
  <c r="AA24" i="97" s="1"/>
  <c r="Y22" i="97"/>
  <c r="Y24" i="97" s="1"/>
  <c r="X22" i="97"/>
  <c r="X24" i="97" s="1"/>
  <c r="W22" i="97"/>
  <c r="W24" i="97" s="1"/>
  <c r="U22" i="97"/>
  <c r="U24" i="97" s="1"/>
  <c r="T22" i="97"/>
  <c r="T24" i="97" s="1"/>
  <c r="R20" i="97"/>
  <c r="R22" i="97" s="1"/>
  <c r="R24" i="97" s="1"/>
  <c r="Q20" i="97"/>
  <c r="Q22" i="97" s="1"/>
  <c r="Q24" i="97" s="1"/>
  <c r="P20" i="97"/>
  <c r="P22" i="97" s="1"/>
  <c r="P24" i="97" s="1"/>
  <c r="O20" i="97"/>
  <c r="O22" i="97" s="1"/>
  <c r="O24" i="97" s="1"/>
  <c r="N20" i="97"/>
  <c r="N22" i="97" s="1"/>
  <c r="N24" i="97" s="1"/>
  <c r="M20" i="97"/>
  <c r="M22" i="97" s="1"/>
  <c r="M24" i="97" s="1"/>
  <c r="L20" i="97"/>
  <c r="L22" i="97" s="1"/>
  <c r="L24" i="97" s="1"/>
  <c r="K20" i="97"/>
  <c r="K22" i="97" s="1"/>
  <c r="K24" i="97" s="1"/>
  <c r="J20" i="97"/>
  <c r="J22" i="97" s="1"/>
  <c r="J24" i="97" s="1"/>
  <c r="I20" i="97"/>
  <c r="I22" i="97" s="1"/>
  <c r="I24" i="97" s="1"/>
  <c r="H20" i="97"/>
  <c r="H22" i="97" s="1"/>
  <c r="H24" i="97" s="1"/>
  <c r="G20" i="97"/>
  <c r="G22" i="97" s="1"/>
  <c r="G24" i="97" s="1"/>
  <c r="F20" i="97"/>
  <c r="F22" i="97" s="1"/>
  <c r="F24" i="97" s="1"/>
  <c r="AC24" i="97" l="1"/>
  <c r="AE24" i="97"/>
  <c r="T20" i="96"/>
  <c r="U20" i="96"/>
  <c r="V20" i="96"/>
  <c r="W20" i="96"/>
  <c r="W22" i="96" s="1"/>
  <c r="W24" i="96" s="1"/>
  <c r="X20" i="96"/>
  <c r="Y20" i="96"/>
  <c r="Z20" i="96"/>
  <c r="AA20" i="96"/>
  <c r="AA22" i="96" s="1"/>
  <c r="AA24" i="96" s="1"/>
  <c r="AB20" i="96"/>
  <c r="AC20" i="96"/>
  <c r="AD20" i="96"/>
  <c r="AD22" i="96" s="1"/>
  <c r="AD24" i="96" s="1"/>
  <c r="AE20" i="96"/>
  <c r="AF20" i="96"/>
  <c r="AG20" i="96"/>
  <c r="AH20" i="96"/>
  <c r="AH22" i="96" s="1"/>
  <c r="AH24" i="96" s="1"/>
  <c r="AI20" i="96"/>
  <c r="AI22" i="96" s="1"/>
  <c r="AI24" i="96" s="1"/>
  <c r="AJ20" i="96"/>
  <c r="AK20" i="96"/>
  <c r="AL20" i="96"/>
  <c r="AM20" i="96"/>
  <c r="AM22" i="96" s="1"/>
  <c r="AM24" i="96" s="1"/>
  <c r="AN20" i="96"/>
  <c r="AO20" i="96"/>
  <c r="AP20" i="96"/>
  <c r="AQ20" i="96"/>
  <c r="AQ22" i="96" s="1"/>
  <c r="AQ24" i="96" s="1"/>
  <c r="S20" i="96"/>
  <c r="S22" i="96" s="1"/>
  <c r="S24" i="96" s="1"/>
  <c r="AE23" i="96"/>
  <c r="AC23" i="96"/>
  <c r="X23" i="96"/>
  <c r="V23" i="96"/>
  <c r="T23" i="96"/>
  <c r="R23" i="96"/>
  <c r="P23" i="96"/>
  <c r="N23" i="96"/>
  <c r="L23" i="96"/>
  <c r="J23" i="96"/>
  <c r="I23" i="96"/>
  <c r="H23" i="96"/>
  <c r="F23" i="96"/>
  <c r="AP22" i="96"/>
  <c r="AP24" i="96" s="1"/>
  <c r="AO22" i="96"/>
  <c r="AO24" i="96" s="1"/>
  <c r="AL22" i="96"/>
  <c r="AL24" i="96" s="1"/>
  <c r="AK22" i="96"/>
  <c r="AK24" i="96" s="1"/>
  <c r="AG22" i="96"/>
  <c r="AG24" i="96" s="1"/>
  <c r="AE22" i="96"/>
  <c r="AC22" i="96"/>
  <c r="Z22" i="96"/>
  <c r="Z24" i="96" s="1"/>
  <c r="Y22" i="96"/>
  <c r="Y24" i="96" s="1"/>
  <c r="V22" i="96"/>
  <c r="V24" i="96" s="1"/>
  <c r="U22" i="96"/>
  <c r="U24" i="96" s="1"/>
  <c r="Q22" i="96"/>
  <c r="Q24" i="96" s="1"/>
  <c r="O22" i="96"/>
  <c r="O24" i="96" s="1"/>
  <c r="N22" i="96"/>
  <c r="N24" i="96" s="1"/>
  <c r="M22" i="96"/>
  <c r="M24" i="96" s="1"/>
  <c r="K22" i="96"/>
  <c r="K24" i="96" s="1"/>
  <c r="J22" i="96"/>
  <c r="J24" i="96" s="1"/>
  <c r="I22" i="96"/>
  <c r="I24" i="96" s="1"/>
  <c r="G22" i="96"/>
  <c r="G24" i="96" s="1"/>
  <c r="F22" i="96"/>
  <c r="F24" i="96" s="1"/>
  <c r="E22" i="96"/>
  <c r="E24" i="96" s="1"/>
  <c r="AE21" i="96"/>
  <c r="AC21" i="96"/>
  <c r="R21" i="96"/>
  <c r="R22" i="96" s="1"/>
  <c r="R24" i="96" s="1"/>
  <c r="H21" i="96"/>
  <c r="AN22" i="96"/>
  <c r="AN24" i="96" s="1"/>
  <c r="AJ22" i="96"/>
  <c r="AJ24" i="96" s="1"/>
  <c r="AF22" i="96"/>
  <c r="AF24" i="96" s="1"/>
  <c r="AB22" i="96"/>
  <c r="AB24" i="96" s="1"/>
  <c r="X22" i="96"/>
  <c r="X24" i="96" s="1"/>
  <c r="T22" i="96"/>
  <c r="T24" i="96" s="1"/>
  <c r="R20" i="96"/>
  <c r="Q20" i="96"/>
  <c r="P20" i="96"/>
  <c r="P22" i="96" s="1"/>
  <c r="P24" i="96" s="1"/>
  <c r="O20" i="96"/>
  <c r="N20" i="96"/>
  <c r="M20" i="96"/>
  <c r="L20" i="96"/>
  <c r="L22" i="96" s="1"/>
  <c r="L24" i="96" s="1"/>
  <c r="K20" i="96"/>
  <c r="J20" i="96"/>
  <c r="I20" i="96"/>
  <c r="H20" i="96"/>
  <c r="H22" i="96" s="1"/>
  <c r="H24" i="96" s="1"/>
  <c r="G20" i="96"/>
  <c r="F20" i="96"/>
  <c r="AC24" i="96" l="1"/>
  <c r="AE24" i="96"/>
  <c r="T20" i="95"/>
  <c r="U20" i="95"/>
  <c r="V20" i="95"/>
  <c r="W20" i="95"/>
  <c r="W22" i="95" s="1"/>
  <c r="W24" i="95" s="1"/>
  <c r="X20" i="95"/>
  <c r="Y20" i="95"/>
  <c r="Z20" i="95"/>
  <c r="Z22" i="95" s="1"/>
  <c r="Z24" i="95" s="1"/>
  <c r="AA20" i="95"/>
  <c r="AA22" i="95" s="1"/>
  <c r="AA24" i="95" s="1"/>
  <c r="AB20" i="95"/>
  <c r="AC20" i="95"/>
  <c r="AD20" i="95"/>
  <c r="AE20" i="95"/>
  <c r="AE22" i="95" s="1"/>
  <c r="AF20" i="95"/>
  <c r="AG20" i="95"/>
  <c r="AH20" i="95"/>
  <c r="AH22" i="95" s="1"/>
  <c r="AH24" i="95" s="1"/>
  <c r="AI20" i="95"/>
  <c r="AI22" i="95" s="1"/>
  <c r="AI24" i="95" s="1"/>
  <c r="AJ20" i="95"/>
  <c r="AK20" i="95"/>
  <c r="AL20" i="95"/>
  <c r="AM20" i="95"/>
  <c r="AM22" i="95" s="1"/>
  <c r="AM24" i="95" s="1"/>
  <c r="AN20" i="95"/>
  <c r="AO20" i="95"/>
  <c r="AP20" i="95"/>
  <c r="AQ20" i="95"/>
  <c r="AQ22" i="95" s="1"/>
  <c r="AQ24" i="95" s="1"/>
  <c r="S20" i="95"/>
  <c r="S22" i="95" s="1"/>
  <c r="S24" i="95" s="1"/>
  <c r="AE23" i="95"/>
  <c r="AC23" i="95"/>
  <c r="X23" i="95"/>
  <c r="V23" i="95"/>
  <c r="T23" i="95"/>
  <c r="R23" i="95"/>
  <c r="P23" i="95"/>
  <c r="N23" i="95"/>
  <c r="L23" i="95"/>
  <c r="J23" i="95"/>
  <c r="I23" i="95"/>
  <c r="H23" i="95"/>
  <c r="F23" i="95"/>
  <c r="AP22" i="95"/>
  <c r="AP24" i="95" s="1"/>
  <c r="AN22" i="95"/>
  <c r="AN24" i="95" s="1"/>
  <c r="AL22" i="95"/>
  <c r="AL24" i="95" s="1"/>
  <c r="AJ22" i="95"/>
  <c r="AJ24" i="95" s="1"/>
  <c r="AD22" i="95"/>
  <c r="AD24" i="95" s="1"/>
  <c r="V22" i="95"/>
  <c r="V24" i="95" s="1"/>
  <c r="O22" i="95"/>
  <c r="O24" i="95" s="1"/>
  <c r="N22" i="95"/>
  <c r="N24" i="95" s="1"/>
  <c r="K22" i="95"/>
  <c r="K24" i="95" s="1"/>
  <c r="J22" i="95"/>
  <c r="J24" i="95" s="1"/>
  <c r="G22" i="95"/>
  <c r="G24" i="95" s="1"/>
  <c r="F22" i="95"/>
  <c r="F24" i="95" s="1"/>
  <c r="E22" i="95"/>
  <c r="E24" i="95" s="1"/>
  <c r="AE21" i="95"/>
  <c r="AC21" i="95"/>
  <c r="R21" i="95"/>
  <c r="R22" i="95" s="1"/>
  <c r="R24" i="95" s="1"/>
  <c r="H21" i="95"/>
  <c r="AO22" i="95"/>
  <c r="AO24" i="95" s="1"/>
  <c r="AK22" i="95"/>
  <c r="AK24" i="95" s="1"/>
  <c r="AG22" i="95"/>
  <c r="AG24" i="95" s="1"/>
  <c r="AF22" i="95"/>
  <c r="AF24" i="95" s="1"/>
  <c r="AC22" i="95"/>
  <c r="AC24" i="95" s="1"/>
  <c r="AB22" i="95"/>
  <c r="AB24" i="95" s="1"/>
  <c r="Y22" i="95"/>
  <c r="Y24" i="95" s="1"/>
  <c r="X22" i="95"/>
  <c r="X24" i="95" s="1"/>
  <c r="U22" i="95"/>
  <c r="U24" i="95" s="1"/>
  <c r="T22" i="95"/>
  <c r="T24" i="95" s="1"/>
  <c r="R20" i="95"/>
  <c r="Q20" i="95"/>
  <c r="Q22" i="95" s="1"/>
  <c r="Q24" i="95" s="1"/>
  <c r="P20" i="95"/>
  <c r="P22" i="95" s="1"/>
  <c r="P24" i="95" s="1"/>
  <c r="O20" i="95"/>
  <c r="N20" i="95"/>
  <c r="M20" i="95"/>
  <c r="M22" i="95" s="1"/>
  <c r="M24" i="95" s="1"/>
  <c r="L20" i="95"/>
  <c r="L22" i="95" s="1"/>
  <c r="L24" i="95" s="1"/>
  <c r="K20" i="95"/>
  <c r="J20" i="95"/>
  <c r="I20" i="95"/>
  <c r="I22" i="95" s="1"/>
  <c r="I24" i="95" s="1"/>
  <c r="H20" i="95"/>
  <c r="H22" i="95" s="1"/>
  <c r="H24" i="95" s="1"/>
  <c r="G20" i="95"/>
  <c r="F20" i="95"/>
  <c r="AE24" i="95" l="1"/>
  <c r="T20" i="94"/>
  <c r="T22" i="94" s="1"/>
  <c r="T24" i="94" s="1"/>
  <c r="U20" i="94"/>
  <c r="V20" i="94"/>
  <c r="W20" i="94"/>
  <c r="X20" i="94"/>
  <c r="X22" i="94" s="1"/>
  <c r="X24" i="94" s="1"/>
  <c r="Y20" i="94"/>
  <c r="Z20" i="94"/>
  <c r="AA20" i="94"/>
  <c r="AB20" i="94"/>
  <c r="AB22" i="94" s="1"/>
  <c r="AB24" i="94" s="1"/>
  <c r="AC20" i="94"/>
  <c r="AD20" i="94"/>
  <c r="AE20" i="94"/>
  <c r="AF20" i="94"/>
  <c r="AF22" i="94" s="1"/>
  <c r="AF24" i="94" s="1"/>
  <c r="AG20" i="94"/>
  <c r="AH20" i="94"/>
  <c r="AJ20" i="94"/>
  <c r="AJ22" i="94" s="1"/>
  <c r="AJ24" i="94" s="1"/>
  <c r="AK20" i="94"/>
  <c r="AL20" i="94"/>
  <c r="AM20" i="94"/>
  <c r="AN20" i="94"/>
  <c r="AN22" i="94" s="1"/>
  <c r="AN24" i="94" s="1"/>
  <c r="AO20" i="94"/>
  <c r="AP20" i="94"/>
  <c r="AQ20" i="94"/>
  <c r="S20" i="94"/>
  <c r="S22" i="94" s="1"/>
  <c r="S24" i="94" s="1"/>
  <c r="AE23" i="94"/>
  <c r="AC23" i="94"/>
  <c r="X23" i="94"/>
  <c r="V23" i="94"/>
  <c r="T23" i="94"/>
  <c r="R23" i="94"/>
  <c r="P23" i="94"/>
  <c r="N23" i="94"/>
  <c r="L23" i="94"/>
  <c r="J23" i="94"/>
  <c r="I23" i="94"/>
  <c r="H23" i="94"/>
  <c r="F23" i="94"/>
  <c r="E22" i="94"/>
  <c r="E24" i="94" s="1"/>
  <c r="AE21" i="94"/>
  <c r="AC21" i="94"/>
  <c r="R21" i="94"/>
  <c r="H21" i="94"/>
  <c r="AQ22" i="94"/>
  <c r="AQ24" i="94" s="1"/>
  <c r="AP22" i="94"/>
  <c r="AP24" i="94" s="1"/>
  <c r="AO22" i="94"/>
  <c r="AO24" i="94" s="1"/>
  <c r="AM22" i="94"/>
  <c r="AM24" i="94" s="1"/>
  <c r="AL22" i="94"/>
  <c r="AL24" i="94" s="1"/>
  <c r="AK22" i="94"/>
  <c r="AK24" i="94" s="1"/>
  <c r="AI22" i="94"/>
  <c r="AI24" i="94" s="1"/>
  <c r="AH22" i="94"/>
  <c r="AH24" i="94" s="1"/>
  <c r="AG22" i="94"/>
  <c r="AG24" i="94" s="1"/>
  <c r="AE22" i="94"/>
  <c r="AD22" i="94"/>
  <c r="AD24" i="94" s="1"/>
  <c r="AC22" i="94"/>
  <c r="AA22" i="94"/>
  <c r="AA24" i="94" s="1"/>
  <c r="Z22" i="94"/>
  <c r="Z24" i="94" s="1"/>
  <c r="Y22" i="94"/>
  <c r="Y24" i="94" s="1"/>
  <c r="W22" i="94"/>
  <c r="W24" i="94" s="1"/>
  <c r="V22" i="94"/>
  <c r="V24" i="94" s="1"/>
  <c r="U22" i="94"/>
  <c r="U24" i="94" s="1"/>
  <c r="R20" i="94"/>
  <c r="R22" i="94" s="1"/>
  <c r="R24" i="94" s="1"/>
  <c r="Q20" i="94"/>
  <c r="Q22" i="94" s="1"/>
  <c r="Q24" i="94" s="1"/>
  <c r="P20" i="94"/>
  <c r="P22" i="94" s="1"/>
  <c r="P24" i="94" s="1"/>
  <c r="O20" i="94"/>
  <c r="O22" i="94" s="1"/>
  <c r="O24" i="94" s="1"/>
  <c r="N20" i="94"/>
  <c r="N22" i="94" s="1"/>
  <c r="N24" i="94" s="1"/>
  <c r="M20" i="94"/>
  <c r="M22" i="94" s="1"/>
  <c r="M24" i="94" s="1"/>
  <c r="L20" i="94"/>
  <c r="L22" i="94" s="1"/>
  <c r="L24" i="94" s="1"/>
  <c r="K20" i="94"/>
  <c r="K22" i="94" s="1"/>
  <c r="K24" i="94" s="1"/>
  <c r="J20" i="94"/>
  <c r="J22" i="94" s="1"/>
  <c r="J24" i="94" s="1"/>
  <c r="I20" i="94"/>
  <c r="I22" i="94" s="1"/>
  <c r="I24" i="94" s="1"/>
  <c r="H20" i="94"/>
  <c r="H22" i="94" s="1"/>
  <c r="H24" i="94" s="1"/>
  <c r="G20" i="94"/>
  <c r="G22" i="94" s="1"/>
  <c r="G24" i="94" s="1"/>
  <c r="F20" i="94"/>
  <c r="F22" i="94" s="1"/>
  <c r="F24" i="94" s="1"/>
  <c r="AE24" i="94" l="1"/>
  <c r="AC24" i="94"/>
  <c r="T20" i="93" l="1"/>
  <c r="U20" i="93"/>
  <c r="V20" i="93"/>
  <c r="W20" i="93"/>
  <c r="X20" i="93"/>
  <c r="Y20" i="93"/>
  <c r="Z20" i="93"/>
  <c r="AA20" i="93"/>
  <c r="AB20" i="93"/>
  <c r="AC20" i="93"/>
  <c r="AD20" i="93"/>
  <c r="AE20" i="93"/>
  <c r="AF20" i="93"/>
  <c r="AG20" i="93"/>
  <c r="AH20" i="93"/>
  <c r="AI20" i="93"/>
  <c r="AJ20" i="93"/>
  <c r="AK20" i="93"/>
  <c r="AL20" i="93"/>
  <c r="AM20" i="93"/>
  <c r="AN20" i="93"/>
  <c r="AO20" i="93"/>
  <c r="AP20" i="93"/>
  <c r="AQ20" i="93"/>
  <c r="AQ22" i="93" s="1"/>
  <c r="AQ24" i="93" s="1"/>
  <c r="S20" i="93"/>
  <c r="AE23" i="93"/>
  <c r="AC23" i="93"/>
  <c r="X23" i="93"/>
  <c r="V23" i="93"/>
  <c r="T23" i="93"/>
  <c r="R23" i="93"/>
  <c r="P23" i="93"/>
  <c r="N23" i="93"/>
  <c r="L23" i="93"/>
  <c r="J23" i="93"/>
  <c r="I23" i="93"/>
  <c r="H23" i="93"/>
  <c r="F23" i="93"/>
  <c r="E22" i="93"/>
  <c r="E24" i="93" s="1"/>
  <c r="AE21" i="93"/>
  <c r="AC21" i="93"/>
  <c r="R21" i="93"/>
  <c r="H21" i="93"/>
  <c r="AP22" i="93"/>
  <c r="AP24" i="93" s="1"/>
  <c r="AO22" i="93"/>
  <c r="AO24" i="93" s="1"/>
  <c r="AN22" i="93"/>
  <c r="AN24" i="93" s="1"/>
  <c r="AM22" i="93"/>
  <c r="AM24" i="93" s="1"/>
  <c r="AL22" i="93"/>
  <c r="AL24" i="93" s="1"/>
  <c r="AK22" i="93"/>
  <c r="AK24" i="93" s="1"/>
  <c r="AJ22" i="93"/>
  <c r="AJ24" i="93" s="1"/>
  <c r="AI22" i="93"/>
  <c r="AI24" i="93" s="1"/>
  <c r="AH22" i="93"/>
  <c r="AH24" i="93" s="1"/>
  <c r="AG22" i="93"/>
  <c r="AG24" i="93" s="1"/>
  <c r="AF22" i="93"/>
  <c r="AF24" i="93" s="1"/>
  <c r="AE22" i="93"/>
  <c r="AD22" i="93"/>
  <c r="AD24" i="93" s="1"/>
  <c r="AC22" i="93"/>
  <c r="AB22" i="93"/>
  <c r="AB24" i="93" s="1"/>
  <c r="AA22" i="93"/>
  <c r="AA24" i="93" s="1"/>
  <c r="Z22" i="93"/>
  <c r="Z24" i="93" s="1"/>
  <c r="Y22" i="93"/>
  <c r="Y24" i="93" s="1"/>
  <c r="X22" i="93"/>
  <c r="X24" i="93" s="1"/>
  <c r="W22" i="93"/>
  <c r="W24" i="93" s="1"/>
  <c r="V22" i="93"/>
  <c r="V24" i="93" s="1"/>
  <c r="U22" i="93"/>
  <c r="U24" i="93" s="1"/>
  <c r="T22" i="93"/>
  <c r="T24" i="93" s="1"/>
  <c r="S22" i="93"/>
  <c r="S24" i="93" s="1"/>
  <c r="R20" i="93"/>
  <c r="R22" i="93" s="1"/>
  <c r="R24" i="93" s="1"/>
  <c r="Q20" i="93"/>
  <c r="Q22" i="93" s="1"/>
  <c r="Q24" i="93" s="1"/>
  <c r="P20" i="93"/>
  <c r="P22" i="93" s="1"/>
  <c r="P24" i="93" s="1"/>
  <c r="O20" i="93"/>
  <c r="O22" i="93" s="1"/>
  <c r="O24" i="93" s="1"/>
  <c r="N20" i="93"/>
  <c r="N22" i="93" s="1"/>
  <c r="N24" i="93" s="1"/>
  <c r="M20" i="93"/>
  <c r="M22" i="93" s="1"/>
  <c r="M24" i="93" s="1"/>
  <c r="L20" i="93"/>
  <c r="L22" i="93" s="1"/>
  <c r="L24" i="93" s="1"/>
  <c r="K20" i="93"/>
  <c r="K22" i="93" s="1"/>
  <c r="K24" i="93" s="1"/>
  <c r="J20" i="93"/>
  <c r="J22" i="93" s="1"/>
  <c r="J24" i="93" s="1"/>
  <c r="I20" i="93"/>
  <c r="I22" i="93" s="1"/>
  <c r="I24" i="93" s="1"/>
  <c r="H20" i="93"/>
  <c r="H22" i="93" s="1"/>
  <c r="H24" i="93" s="1"/>
  <c r="G20" i="93"/>
  <c r="G22" i="93" s="1"/>
  <c r="G24" i="93" s="1"/>
  <c r="F20" i="93"/>
  <c r="F22" i="93" s="1"/>
  <c r="F24" i="93" s="1"/>
  <c r="AC24" i="93" l="1"/>
  <c r="AE24" i="93"/>
  <c r="AF21" i="92"/>
  <c r="T20" i="92" l="1"/>
  <c r="U20" i="92"/>
  <c r="V20" i="92"/>
  <c r="W20" i="92"/>
  <c r="W22" i="92" s="1"/>
  <c r="W24" i="92" s="1"/>
  <c r="X20" i="92"/>
  <c r="Y20" i="92"/>
  <c r="Z20" i="92"/>
  <c r="Z22" i="92" s="1"/>
  <c r="Z24" i="92" s="1"/>
  <c r="AA20" i="92"/>
  <c r="AA22" i="92" s="1"/>
  <c r="AA24" i="92" s="1"/>
  <c r="AB20" i="92"/>
  <c r="AC20" i="92"/>
  <c r="AD20" i="92"/>
  <c r="AD22" i="92" s="1"/>
  <c r="AD24" i="92" s="1"/>
  <c r="AE20" i="92"/>
  <c r="AF20" i="92"/>
  <c r="AG20" i="92"/>
  <c r="AH20" i="92"/>
  <c r="AI20" i="92"/>
  <c r="AI22" i="92" s="1"/>
  <c r="AI24" i="92" s="1"/>
  <c r="AJ20" i="92"/>
  <c r="AK20" i="92"/>
  <c r="AL20" i="92"/>
  <c r="AM20" i="92"/>
  <c r="AM22" i="92" s="1"/>
  <c r="AM24" i="92" s="1"/>
  <c r="AN20" i="92"/>
  <c r="AO20" i="92"/>
  <c r="AP20" i="92"/>
  <c r="AP22" i="92" s="1"/>
  <c r="AP24" i="92" s="1"/>
  <c r="AQ20" i="92"/>
  <c r="AQ22" i="92" s="1"/>
  <c r="AQ24" i="92" s="1"/>
  <c r="S20" i="92"/>
  <c r="S22" i="92" s="1"/>
  <c r="S24" i="92" s="1"/>
  <c r="AE23" i="92"/>
  <c r="AC23" i="92"/>
  <c r="X23" i="92"/>
  <c r="V23" i="92"/>
  <c r="T23" i="92"/>
  <c r="R23" i="92"/>
  <c r="P23" i="92"/>
  <c r="N23" i="92"/>
  <c r="L23" i="92"/>
  <c r="J23" i="92"/>
  <c r="I23" i="92"/>
  <c r="H23" i="92"/>
  <c r="F23" i="92"/>
  <c r="AO22" i="92"/>
  <c r="AO24" i="92" s="1"/>
  <c r="AN22" i="92"/>
  <c r="AN24" i="92" s="1"/>
  <c r="AK22" i="92"/>
  <c r="AK24" i="92" s="1"/>
  <c r="AJ22" i="92"/>
  <c r="AJ24" i="92" s="1"/>
  <c r="AG22" i="92"/>
  <c r="AG24" i="92" s="1"/>
  <c r="AF22" i="92"/>
  <c r="AF24" i="92" s="1"/>
  <c r="AB22" i="92"/>
  <c r="AB24" i="92" s="1"/>
  <c r="Y22" i="92"/>
  <c r="Y24" i="92" s="1"/>
  <c r="X22" i="92"/>
  <c r="X24" i="92" s="1"/>
  <c r="U22" i="92"/>
  <c r="U24" i="92" s="1"/>
  <c r="T22" i="92"/>
  <c r="T24" i="92" s="1"/>
  <c r="Q22" i="92"/>
  <c r="Q24" i="92" s="1"/>
  <c r="P22" i="92"/>
  <c r="P24" i="92" s="1"/>
  <c r="O22" i="92"/>
  <c r="O24" i="92" s="1"/>
  <c r="M22" i="92"/>
  <c r="M24" i="92" s="1"/>
  <c r="L22" i="92"/>
  <c r="L24" i="92" s="1"/>
  <c r="K22" i="92"/>
  <c r="K24" i="92" s="1"/>
  <c r="I22" i="92"/>
  <c r="I24" i="92" s="1"/>
  <c r="H22" i="92"/>
  <c r="H24" i="92" s="1"/>
  <c r="G22" i="92"/>
  <c r="G24" i="92" s="1"/>
  <c r="E22" i="92"/>
  <c r="E24" i="92" s="1"/>
  <c r="AE21" i="92"/>
  <c r="AE22" i="92" s="1"/>
  <c r="AC21" i="92"/>
  <c r="AC22" i="92" s="1"/>
  <c r="R21" i="92"/>
  <c r="H21" i="92"/>
  <c r="AL22" i="92"/>
  <c r="AL24" i="92" s="1"/>
  <c r="AH22" i="92"/>
  <c r="AH24" i="92" s="1"/>
  <c r="V22" i="92"/>
  <c r="V24" i="92" s="1"/>
  <c r="R20" i="92"/>
  <c r="R22" i="92" s="1"/>
  <c r="R24" i="92" s="1"/>
  <c r="Q20" i="92"/>
  <c r="P20" i="92"/>
  <c r="O20" i="92"/>
  <c r="N20" i="92"/>
  <c r="N22" i="92" s="1"/>
  <c r="N24" i="92" s="1"/>
  <c r="M20" i="92"/>
  <c r="L20" i="92"/>
  <c r="K20" i="92"/>
  <c r="J20" i="92"/>
  <c r="J22" i="92" s="1"/>
  <c r="J24" i="92" s="1"/>
  <c r="I20" i="92"/>
  <c r="H20" i="92"/>
  <c r="G20" i="92"/>
  <c r="F20" i="92"/>
  <c r="F22" i="92" s="1"/>
  <c r="F24" i="92" s="1"/>
  <c r="AE24" i="92" l="1"/>
  <c r="AC24" i="92"/>
  <c r="T20" i="91"/>
  <c r="U20" i="91"/>
  <c r="V20" i="91"/>
  <c r="W20" i="91"/>
  <c r="W22" i="91" s="1"/>
  <c r="W24" i="91" s="1"/>
  <c r="X20" i="91"/>
  <c r="Y20" i="91"/>
  <c r="Z20" i="91"/>
  <c r="Z22" i="91" s="1"/>
  <c r="Z24" i="91" s="1"/>
  <c r="AA20" i="91"/>
  <c r="AA22" i="91" s="1"/>
  <c r="AA24" i="91" s="1"/>
  <c r="AB20" i="91"/>
  <c r="AB22" i="91" s="1"/>
  <c r="AB24" i="91" s="1"/>
  <c r="AC20" i="91"/>
  <c r="AD20" i="91"/>
  <c r="AD22" i="91" s="1"/>
  <c r="AD24" i="91" s="1"/>
  <c r="AE20" i="91"/>
  <c r="AE22" i="91" s="1"/>
  <c r="AE24" i="91" s="1"/>
  <c r="AF20" i="91"/>
  <c r="AF22" i="91" s="1"/>
  <c r="AF24" i="91" s="1"/>
  <c r="AG20" i="91"/>
  <c r="AH20" i="91"/>
  <c r="AI20" i="91"/>
  <c r="AI22" i="91" s="1"/>
  <c r="AI24" i="91" s="1"/>
  <c r="AJ20" i="91"/>
  <c r="AJ22" i="91" s="1"/>
  <c r="AJ24" i="91" s="1"/>
  <c r="AK20" i="91"/>
  <c r="AL20" i="91"/>
  <c r="AL22" i="91" s="1"/>
  <c r="AL24" i="91" s="1"/>
  <c r="AM20" i="91"/>
  <c r="AM22" i="91" s="1"/>
  <c r="AM24" i="91" s="1"/>
  <c r="AN20" i="91"/>
  <c r="AO20" i="91"/>
  <c r="AP20" i="91"/>
  <c r="AQ20" i="91"/>
  <c r="AQ22" i="91" s="1"/>
  <c r="AQ24" i="91" s="1"/>
  <c r="S20" i="91"/>
  <c r="AE23" i="91"/>
  <c r="AC23" i="91"/>
  <c r="X23" i="91"/>
  <c r="V23" i="91"/>
  <c r="T23" i="91"/>
  <c r="R23" i="91"/>
  <c r="P23" i="91"/>
  <c r="N23" i="91"/>
  <c r="L23" i="91"/>
  <c r="J23" i="91"/>
  <c r="I23" i="91"/>
  <c r="H23" i="91"/>
  <c r="F23" i="91"/>
  <c r="AP22" i="91"/>
  <c r="AP24" i="91" s="1"/>
  <c r="AN22" i="91"/>
  <c r="AN24" i="91" s="1"/>
  <c r="AH22" i="91"/>
  <c r="AH24" i="91" s="1"/>
  <c r="V22" i="91"/>
  <c r="V24" i="91" s="1"/>
  <c r="E22" i="91"/>
  <c r="E24" i="91" s="1"/>
  <c r="AE21" i="91"/>
  <c r="AC21" i="91"/>
  <c r="R21" i="91"/>
  <c r="H21" i="91"/>
  <c r="AO22" i="91"/>
  <c r="AO24" i="91" s="1"/>
  <c r="AK22" i="91"/>
  <c r="AK24" i="91" s="1"/>
  <c r="AG22" i="91"/>
  <c r="AG24" i="91" s="1"/>
  <c r="AC22" i="91"/>
  <c r="Y22" i="91"/>
  <c r="Y24" i="91" s="1"/>
  <c r="X22" i="91"/>
  <c r="U22" i="91"/>
  <c r="U24" i="91" s="1"/>
  <c r="T22" i="91"/>
  <c r="T24" i="91" s="1"/>
  <c r="S22" i="91"/>
  <c r="S24" i="91" s="1"/>
  <c r="R20" i="91"/>
  <c r="Q20" i="91"/>
  <c r="Q22" i="91" s="1"/>
  <c r="Q24" i="91" s="1"/>
  <c r="P20" i="91"/>
  <c r="P22" i="91" s="1"/>
  <c r="P24" i="91" s="1"/>
  <c r="O20" i="91"/>
  <c r="O22" i="91" s="1"/>
  <c r="O24" i="91" s="1"/>
  <c r="N20" i="91"/>
  <c r="N22" i="91" s="1"/>
  <c r="N24" i="91" s="1"/>
  <c r="M20" i="91"/>
  <c r="M22" i="91" s="1"/>
  <c r="M24" i="91" s="1"/>
  <c r="L20" i="91"/>
  <c r="L22" i="91" s="1"/>
  <c r="L24" i="91" s="1"/>
  <c r="K20" i="91"/>
  <c r="K22" i="91" s="1"/>
  <c r="K24" i="91" s="1"/>
  <c r="J20" i="91"/>
  <c r="J22" i="91" s="1"/>
  <c r="J24" i="91" s="1"/>
  <c r="I20" i="91"/>
  <c r="I22" i="91" s="1"/>
  <c r="I24" i="91" s="1"/>
  <c r="H20" i="91"/>
  <c r="H22" i="91" s="1"/>
  <c r="H24" i="91" s="1"/>
  <c r="G20" i="91"/>
  <c r="G22" i="91" s="1"/>
  <c r="G24" i="91" s="1"/>
  <c r="F20" i="91"/>
  <c r="F22" i="91" s="1"/>
  <c r="F24" i="91" s="1"/>
  <c r="R22" i="91" l="1"/>
  <c r="R24" i="91" s="1"/>
  <c r="X24" i="91"/>
  <c r="AC24" i="91"/>
  <c r="AE23" i="90"/>
  <c r="AE20" i="90"/>
  <c r="AE21" i="90"/>
  <c r="AD22" i="90"/>
  <c r="AD24" i="90" s="1"/>
  <c r="AC23" i="90"/>
  <c r="AC21" i="90"/>
  <c r="AC20" i="90"/>
  <c r="AC22" i="90" s="1"/>
  <c r="AB22" i="90"/>
  <c r="AB24" i="90" s="1"/>
  <c r="AE22" i="90" l="1"/>
  <c r="AE24" i="90" s="1"/>
  <c r="AC24" i="90"/>
  <c r="T21" i="89"/>
  <c r="X21" i="89"/>
  <c r="X23" i="90" l="1"/>
  <c r="V23" i="90"/>
  <c r="T23" i="90"/>
  <c r="R23" i="90"/>
  <c r="P23" i="90"/>
  <c r="N23" i="90"/>
  <c r="L23" i="90"/>
  <c r="J23" i="90"/>
  <c r="I23" i="90"/>
  <c r="H23" i="90"/>
  <c r="F23" i="90"/>
  <c r="R22" i="90"/>
  <c r="R24" i="90" s="1"/>
  <c r="E22" i="90"/>
  <c r="E24" i="90" s="1"/>
  <c r="R21" i="90"/>
  <c r="H21" i="90"/>
  <c r="R20" i="90"/>
  <c r="Q20" i="90"/>
  <c r="Q22" i="90" s="1"/>
  <c r="Q24" i="90" s="1"/>
  <c r="P20" i="90"/>
  <c r="P22" i="90" s="1"/>
  <c r="P24" i="90" s="1"/>
  <c r="O20" i="90"/>
  <c r="O22" i="90" s="1"/>
  <c r="O24" i="90" s="1"/>
  <c r="N20" i="90"/>
  <c r="N22" i="90" s="1"/>
  <c r="N24" i="90" s="1"/>
  <c r="M20" i="90"/>
  <c r="M22" i="90" s="1"/>
  <c r="M24" i="90" s="1"/>
  <c r="L20" i="90"/>
  <c r="L22" i="90" s="1"/>
  <c r="L24" i="90" s="1"/>
  <c r="K20" i="90"/>
  <c r="K22" i="90" s="1"/>
  <c r="K24" i="90" s="1"/>
  <c r="J20" i="90"/>
  <c r="J22" i="90" s="1"/>
  <c r="J24" i="90" s="1"/>
  <c r="I20" i="90"/>
  <c r="I22" i="90" s="1"/>
  <c r="I24" i="90" s="1"/>
  <c r="H20" i="90"/>
  <c r="H22" i="90" s="1"/>
  <c r="H24" i="90" s="1"/>
  <c r="G20" i="90"/>
  <c r="G22" i="90" s="1"/>
  <c r="G24" i="90" s="1"/>
  <c r="F20" i="90"/>
  <c r="F22" i="90" s="1"/>
  <c r="F24" i="90" s="1"/>
  <c r="AB21" i="89" l="1"/>
  <c r="T20" i="89" l="1"/>
  <c r="T22" i="89" s="1"/>
  <c r="U20" i="89"/>
  <c r="U22" i="89" s="1"/>
  <c r="U24" i="89" s="1"/>
  <c r="U20" i="90" s="1"/>
  <c r="U22" i="90" s="1"/>
  <c r="U24" i="90" s="1"/>
  <c r="V20" i="89"/>
  <c r="V22" i="89" s="1"/>
  <c r="W20" i="89"/>
  <c r="W22" i="89" s="1"/>
  <c r="W24" i="89" s="1"/>
  <c r="W20" i="90" s="1"/>
  <c r="W22" i="90" s="1"/>
  <c r="W24" i="90" s="1"/>
  <c r="X20" i="89"/>
  <c r="X22" i="89" s="1"/>
  <c r="Y20" i="89"/>
  <c r="Y22" i="89" s="1"/>
  <c r="Y24" i="89" s="1"/>
  <c r="Y20" i="90" s="1"/>
  <c r="Y22" i="90" s="1"/>
  <c r="Y24" i="90" s="1"/>
  <c r="Z20" i="89"/>
  <c r="Z22" i="89" s="1"/>
  <c r="Z24" i="89" s="1"/>
  <c r="Z20" i="90" s="1"/>
  <c r="Z22" i="90" s="1"/>
  <c r="Z24" i="90" s="1"/>
  <c r="AA20" i="89"/>
  <c r="AA22" i="89" s="1"/>
  <c r="AA24" i="89" s="1"/>
  <c r="AA20" i="90" s="1"/>
  <c r="AA22" i="90" s="1"/>
  <c r="AA24" i="90" s="1"/>
  <c r="AB20" i="89"/>
  <c r="AB22" i="89" s="1"/>
  <c r="AB24" i="89" s="1"/>
  <c r="AF20" i="90" s="1"/>
  <c r="AF22" i="90" s="1"/>
  <c r="AF24" i="90" s="1"/>
  <c r="AC20" i="89"/>
  <c r="AC22" i="89" s="1"/>
  <c r="AC24" i="89" s="1"/>
  <c r="AG20" i="90" s="1"/>
  <c r="AG22" i="90" s="1"/>
  <c r="AG24" i="90" s="1"/>
  <c r="AD20" i="89"/>
  <c r="AD22" i="89" s="1"/>
  <c r="AD24" i="89" s="1"/>
  <c r="AH20" i="90" s="1"/>
  <c r="AH22" i="90" s="1"/>
  <c r="AH24" i="90" s="1"/>
  <c r="AE20" i="89"/>
  <c r="AE22" i="89" s="1"/>
  <c r="AE24" i="89" s="1"/>
  <c r="AI20" i="90" s="1"/>
  <c r="AI22" i="90" s="1"/>
  <c r="AI24" i="90" s="1"/>
  <c r="AF20" i="89"/>
  <c r="AF22" i="89" s="1"/>
  <c r="AF24" i="89" s="1"/>
  <c r="AJ20" i="90" s="1"/>
  <c r="AJ22" i="90" s="1"/>
  <c r="AJ24" i="90" s="1"/>
  <c r="AG20" i="89"/>
  <c r="AG22" i="89" s="1"/>
  <c r="AG24" i="89" s="1"/>
  <c r="AK20" i="90" s="1"/>
  <c r="AK22" i="90" s="1"/>
  <c r="AK24" i="90" s="1"/>
  <c r="AH20" i="89"/>
  <c r="AH22" i="89" s="1"/>
  <c r="AH24" i="89" s="1"/>
  <c r="AL20" i="90" s="1"/>
  <c r="AL22" i="90" s="1"/>
  <c r="AL24" i="90" s="1"/>
  <c r="AI20" i="89"/>
  <c r="AI22" i="89" s="1"/>
  <c r="AI24" i="89" s="1"/>
  <c r="AM20" i="90" s="1"/>
  <c r="AM22" i="90" s="1"/>
  <c r="AM24" i="90" s="1"/>
  <c r="AJ20" i="89"/>
  <c r="AK20" i="89"/>
  <c r="AK22" i="89" s="1"/>
  <c r="AK24" i="89" s="1"/>
  <c r="AO20" i="90" s="1"/>
  <c r="AO22" i="90" s="1"/>
  <c r="AO24" i="90" s="1"/>
  <c r="AL20" i="89"/>
  <c r="AL22" i="89" s="1"/>
  <c r="AL24" i="89" s="1"/>
  <c r="AP20" i="90" s="1"/>
  <c r="AP22" i="90" s="1"/>
  <c r="AP24" i="90" s="1"/>
  <c r="AM20" i="89"/>
  <c r="AM22" i="89" s="1"/>
  <c r="AM24" i="89" s="1"/>
  <c r="AQ20" i="90" s="1"/>
  <c r="AQ22" i="90" s="1"/>
  <c r="AQ24" i="90" s="1"/>
  <c r="S20" i="89"/>
  <c r="S22" i="89" s="1"/>
  <c r="S24" i="89" s="1"/>
  <c r="S20" i="90" s="1"/>
  <c r="S22" i="90" s="1"/>
  <c r="S24" i="90" s="1"/>
  <c r="X23" i="89"/>
  <c r="V23" i="89"/>
  <c r="T23" i="89"/>
  <c r="R23" i="89"/>
  <c r="P23" i="89"/>
  <c r="N23" i="89"/>
  <c r="L23" i="89"/>
  <c r="J23" i="89"/>
  <c r="I23" i="89"/>
  <c r="H23" i="89"/>
  <c r="F23" i="89"/>
  <c r="AJ22" i="89"/>
  <c r="AJ24" i="89" s="1"/>
  <c r="AN20" i="90" s="1"/>
  <c r="AN22" i="90" s="1"/>
  <c r="AN24" i="90" s="1"/>
  <c r="E22" i="89"/>
  <c r="E24" i="89" s="1"/>
  <c r="R21" i="89"/>
  <c r="H21" i="89"/>
  <c r="R20" i="89"/>
  <c r="Q20" i="89"/>
  <c r="Q22" i="89" s="1"/>
  <c r="Q24" i="89" s="1"/>
  <c r="P20" i="89"/>
  <c r="P22" i="89" s="1"/>
  <c r="O20" i="89"/>
  <c r="O22" i="89" s="1"/>
  <c r="O24" i="89" s="1"/>
  <c r="N20" i="89"/>
  <c r="N22" i="89" s="1"/>
  <c r="M20" i="89"/>
  <c r="M22" i="89" s="1"/>
  <c r="M24" i="89" s="1"/>
  <c r="L20" i="89"/>
  <c r="L22" i="89" s="1"/>
  <c r="K20" i="89"/>
  <c r="K22" i="89" s="1"/>
  <c r="K24" i="89" s="1"/>
  <c r="J20" i="89"/>
  <c r="J22" i="89" s="1"/>
  <c r="J24" i="89" s="1"/>
  <c r="I20" i="89"/>
  <c r="I22" i="89" s="1"/>
  <c r="H20" i="89"/>
  <c r="G20" i="89"/>
  <c r="G22" i="89" s="1"/>
  <c r="G24" i="89" s="1"/>
  <c r="F20" i="89"/>
  <c r="F22" i="89" s="1"/>
  <c r="F24" i="89" s="1"/>
  <c r="R22" i="89" l="1"/>
  <c r="P24" i="89"/>
  <c r="I24" i="89"/>
  <c r="N24" i="89"/>
  <c r="R24" i="89"/>
  <c r="H22" i="89"/>
  <c r="H24" i="89" s="1"/>
  <c r="L24" i="89"/>
  <c r="V24" i="89"/>
  <c r="V20" i="90" s="1"/>
  <c r="V22" i="90" s="1"/>
  <c r="V24" i="90" s="1"/>
  <c r="X24" i="89"/>
  <c r="X20" i="90" s="1"/>
  <c r="X22" i="90" s="1"/>
  <c r="X24" i="90" s="1"/>
  <c r="T24" i="89"/>
  <c r="T20" i="90" s="1"/>
  <c r="T22" i="90" s="1"/>
  <c r="T24" i="90" s="1"/>
  <c r="AB23" i="88"/>
  <c r="S23" i="88"/>
  <c r="T20" i="88" l="1"/>
  <c r="T22" i="88" s="1"/>
  <c r="U20" i="88"/>
  <c r="V20" i="88"/>
  <c r="W20" i="88"/>
  <c r="X20" i="88"/>
  <c r="X22" i="88" s="1"/>
  <c r="Y20" i="88"/>
  <c r="Z20" i="88"/>
  <c r="AA20" i="88"/>
  <c r="AA22" i="88" s="1"/>
  <c r="AA24" i="88" s="1"/>
  <c r="AB20" i="88"/>
  <c r="AB22" i="88" s="1"/>
  <c r="AB24" i="88" s="1"/>
  <c r="AC20" i="88"/>
  <c r="AD20" i="88"/>
  <c r="AE20" i="88"/>
  <c r="AF20" i="88"/>
  <c r="AF22" i="88" s="1"/>
  <c r="AF24" i="88" s="1"/>
  <c r="AG20" i="88"/>
  <c r="AH20" i="88"/>
  <c r="AI20" i="88"/>
  <c r="AI22" i="88" s="1"/>
  <c r="AI24" i="88" s="1"/>
  <c r="AJ20" i="88"/>
  <c r="AJ22" i="88" s="1"/>
  <c r="AJ24" i="88" s="1"/>
  <c r="AK20" i="88"/>
  <c r="AL20" i="88"/>
  <c r="AM20" i="88"/>
  <c r="S20" i="88"/>
  <c r="X23" i="88"/>
  <c r="V23" i="88"/>
  <c r="T23" i="88"/>
  <c r="R23" i="88"/>
  <c r="P23" i="88"/>
  <c r="N23" i="88"/>
  <c r="L23" i="88"/>
  <c r="J23" i="88"/>
  <c r="I23" i="88"/>
  <c r="H23" i="88"/>
  <c r="F23" i="88"/>
  <c r="AL22" i="88"/>
  <c r="AL24" i="88" s="1"/>
  <c r="AH22" i="88"/>
  <c r="AH24" i="88" s="1"/>
  <c r="AD22" i="88"/>
  <c r="AD24" i="88" s="1"/>
  <c r="Z22" i="88"/>
  <c r="Z24" i="88" s="1"/>
  <c r="V22" i="88"/>
  <c r="V24" i="88" s="1"/>
  <c r="P22" i="88"/>
  <c r="P24" i="88" s="1"/>
  <c r="N22" i="88"/>
  <c r="N24" i="88" s="1"/>
  <c r="L22" i="88"/>
  <c r="L24" i="88" s="1"/>
  <c r="J22" i="88"/>
  <c r="J24" i="88" s="1"/>
  <c r="H22" i="88"/>
  <c r="H24" i="88" s="1"/>
  <c r="F22" i="88"/>
  <c r="F24" i="88" s="1"/>
  <c r="E22" i="88"/>
  <c r="E24" i="88" s="1"/>
  <c r="R21" i="88"/>
  <c r="R22" i="88" s="1"/>
  <c r="R24" i="88" s="1"/>
  <c r="H21" i="88"/>
  <c r="AM22" i="88"/>
  <c r="AM24" i="88" s="1"/>
  <c r="AK22" i="88"/>
  <c r="AK24" i="88" s="1"/>
  <c r="AG22" i="88"/>
  <c r="AG24" i="88" s="1"/>
  <c r="AE22" i="88"/>
  <c r="AE24" i="88" s="1"/>
  <c r="AC22" i="88"/>
  <c r="AC24" i="88" s="1"/>
  <c r="Y22" i="88"/>
  <c r="Y24" i="88" s="1"/>
  <c r="W22" i="88"/>
  <c r="W24" i="88" s="1"/>
  <c r="U22" i="88"/>
  <c r="U24" i="88" s="1"/>
  <c r="S22" i="88"/>
  <c r="S24" i="88" s="1"/>
  <c r="R20" i="88"/>
  <c r="Q20" i="88"/>
  <c r="Q22" i="88" s="1"/>
  <c r="Q24" i="88" s="1"/>
  <c r="P20" i="88"/>
  <c r="O20" i="88"/>
  <c r="O22" i="88" s="1"/>
  <c r="O24" i="88" s="1"/>
  <c r="N20" i="88"/>
  <c r="M20" i="88"/>
  <c r="M22" i="88" s="1"/>
  <c r="M24" i="88" s="1"/>
  <c r="L20" i="88"/>
  <c r="K20" i="88"/>
  <c r="K22" i="88" s="1"/>
  <c r="K24" i="88" s="1"/>
  <c r="J20" i="88"/>
  <c r="I20" i="88"/>
  <c r="I22" i="88" s="1"/>
  <c r="I24" i="88" s="1"/>
  <c r="H20" i="88"/>
  <c r="G20" i="88"/>
  <c r="G22" i="88" s="1"/>
  <c r="G24" i="88" s="1"/>
  <c r="F20" i="88"/>
  <c r="T24" i="88" l="1"/>
  <c r="X24" i="88"/>
  <c r="T20" i="87"/>
  <c r="T22" i="87" s="1"/>
  <c r="U20" i="87"/>
  <c r="V20" i="87"/>
  <c r="W20" i="87"/>
  <c r="X20" i="87"/>
  <c r="X22" i="87" s="1"/>
  <c r="Y20" i="87"/>
  <c r="Z20" i="87"/>
  <c r="AA20" i="87"/>
  <c r="AA22" i="87" s="1"/>
  <c r="AA24" i="87" s="1"/>
  <c r="AB20" i="87"/>
  <c r="AB22" i="87" s="1"/>
  <c r="AB24" i="87" s="1"/>
  <c r="AC20" i="87"/>
  <c r="AD20" i="87"/>
  <c r="AE20" i="87"/>
  <c r="AF20" i="87"/>
  <c r="AF22" i="87" s="1"/>
  <c r="AF24" i="87" s="1"/>
  <c r="AG20" i="87"/>
  <c r="AH20" i="87"/>
  <c r="AI20" i="87"/>
  <c r="AI22" i="87" s="1"/>
  <c r="AI24" i="87" s="1"/>
  <c r="AJ20" i="87"/>
  <c r="AK20" i="87"/>
  <c r="AL20" i="87"/>
  <c r="AM20" i="87"/>
  <c r="AM22" i="87" s="1"/>
  <c r="AM24" i="87" s="1"/>
  <c r="S20" i="87"/>
  <c r="S22" i="87" s="1"/>
  <c r="S24" i="87" s="1"/>
  <c r="X23" i="87"/>
  <c r="V23" i="87"/>
  <c r="T23" i="87"/>
  <c r="R23" i="87"/>
  <c r="P23" i="87"/>
  <c r="N23" i="87"/>
  <c r="L23" i="87"/>
  <c r="J23" i="87"/>
  <c r="I23" i="87"/>
  <c r="H23" i="87"/>
  <c r="F23" i="87"/>
  <c r="AK22" i="87"/>
  <c r="AK24" i="87" s="1"/>
  <c r="AG22" i="87"/>
  <c r="AG24" i="87" s="1"/>
  <c r="AC22" i="87"/>
  <c r="AC24" i="87" s="1"/>
  <c r="Y22" i="87"/>
  <c r="Y24" i="87" s="1"/>
  <c r="U22" i="87"/>
  <c r="U24" i="87" s="1"/>
  <c r="Q22" i="87"/>
  <c r="Q24" i="87" s="1"/>
  <c r="P22" i="87"/>
  <c r="P24" i="87" s="1"/>
  <c r="M22" i="87"/>
  <c r="M24" i="87" s="1"/>
  <c r="L22" i="87"/>
  <c r="L24" i="87" s="1"/>
  <c r="I22" i="87"/>
  <c r="I24" i="87" s="1"/>
  <c r="H22" i="87"/>
  <c r="H24" i="87" s="1"/>
  <c r="E22" i="87"/>
  <c r="E24" i="87" s="1"/>
  <c r="R21" i="87"/>
  <c r="H21" i="87"/>
  <c r="AL22" i="87"/>
  <c r="AL24" i="87" s="1"/>
  <c r="AJ22" i="87"/>
  <c r="AJ24" i="87" s="1"/>
  <c r="AH22" i="87"/>
  <c r="AH24" i="87" s="1"/>
  <c r="AE22" i="87"/>
  <c r="AE24" i="87" s="1"/>
  <c r="AD22" i="87"/>
  <c r="AD24" i="87" s="1"/>
  <c r="Z22" i="87"/>
  <c r="Z24" i="87" s="1"/>
  <c r="W22" i="87"/>
  <c r="W24" i="87" s="1"/>
  <c r="V22" i="87"/>
  <c r="V24" i="87" s="1"/>
  <c r="R20" i="87"/>
  <c r="R22" i="87" s="1"/>
  <c r="R24" i="87" s="1"/>
  <c r="Q20" i="87"/>
  <c r="P20" i="87"/>
  <c r="O20" i="87"/>
  <c r="O22" i="87" s="1"/>
  <c r="O24" i="87" s="1"/>
  <c r="N20" i="87"/>
  <c r="N22" i="87" s="1"/>
  <c r="N24" i="87" s="1"/>
  <c r="M20" i="87"/>
  <c r="L20" i="87"/>
  <c r="K20" i="87"/>
  <c r="K22" i="87" s="1"/>
  <c r="K24" i="87" s="1"/>
  <c r="J20" i="87"/>
  <c r="J22" i="87" s="1"/>
  <c r="J24" i="87" s="1"/>
  <c r="I20" i="87"/>
  <c r="H20" i="87"/>
  <c r="G20" i="87"/>
  <c r="G22" i="87" s="1"/>
  <c r="G24" i="87" s="1"/>
  <c r="F20" i="87"/>
  <c r="F22" i="87" s="1"/>
  <c r="F24" i="87" s="1"/>
  <c r="X24" i="87" l="1"/>
  <c r="T24" i="87"/>
  <c r="AB21" i="86"/>
  <c r="T20" i="86" l="1"/>
  <c r="U20" i="86"/>
  <c r="V20" i="86"/>
  <c r="V22" i="86" s="1"/>
  <c r="V24" i="86" s="1"/>
  <c r="W20" i="86"/>
  <c r="W22" i="86" s="1"/>
  <c r="W24" i="86" s="1"/>
  <c r="X20" i="86"/>
  <c r="Y20" i="86"/>
  <c r="Z20" i="86"/>
  <c r="AA20" i="86"/>
  <c r="AA22" i="86" s="1"/>
  <c r="AA24" i="86" s="1"/>
  <c r="AB20" i="86"/>
  <c r="AC20" i="86"/>
  <c r="AD20" i="86"/>
  <c r="AD22" i="86" s="1"/>
  <c r="AD24" i="86" s="1"/>
  <c r="AE20" i="86"/>
  <c r="AE22" i="86" s="1"/>
  <c r="AE24" i="86" s="1"/>
  <c r="AF20" i="86"/>
  <c r="AG20" i="86"/>
  <c r="AG22" i="86" s="1"/>
  <c r="AG24" i="86" s="1"/>
  <c r="AH20" i="86"/>
  <c r="AH22" i="86" s="1"/>
  <c r="AH24" i="86" s="1"/>
  <c r="AI20" i="86"/>
  <c r="AJ20" i="86"/>
  <c r="AK20" i="86"/>
  <c r="AL20" i="86"/>
  <c r="AL22" i="86" s="1"/>
  <c r="AL24" i="86" s="1"/>
  <c r="AM20" i="86"/>
  <c r="AM22" i="86" s="1"/>
  <c r="AM24" i="86" s="1"/>
  <c r="S20" i="86"/>
  <c r="X23" i="86"/>
  <c r="V23" i="86"/>
  <c r="T23" i="86"/>
  <c r="R23" i="86"/>
  <c r="P23" i="86"/>
  <c r="N23" i="86"/>
  <c r="L23" i="86"/>
  <c r="J23" i="86"/>
  <c r="I23" i="86"/>
  <c r="H23" i="86"/>
  <c r="F23" i="86"/>
  <c r="Z22" i="86"/>
  <c r="Z24" i="86" s="1"/>
  <c r="R22" i="86"/>
  <c r="R24" i="86" s="1"/>
  <c r="N22" i="86"/>
  <c r="N24" i="86" s="1"/>
  <c r="J22" i="86"/>
  <c r="J24" i="86" s="1"/>
  <c r="F22" i="86"/>
  <c r="F24" i="86" s="1"/>
  <c r="E22" i="86"/>
  <c r="E24" i="86" s="1"/>
  <c r="R21" i="86"/>
  <c r="H21" i="86"/>
  <c r="AK22" i="86"/>
  <c r="AK24" i="86" s="1"/>
  <c r="AJ22" i="86"/>
  <c r="AJ24" i="86" s="1"/>
  <c r="AI22" i="86"/>
  <c r="AI24" i="86" s="1"/>
  <c r="AF22" i="86"/>
  <c r="AF24" i="86" s="1"/>
  <c r="AC22" i="86"/>
  <c r="AC24" i="86" s="1"/>
  <c r="AB22" i="86"/>
  <c r="AB24" i="86" s="1"/>
  <c r="Y22" i="86"/>
  <c r="Y24" i="86" s="1"/>
  <c r="X22" i="86"/>
  <c r="U22" i="86"/>
  <c r="U24" i="86" s="1"/>
  <c r="T22" i="86"/>
  <c r="S22" i="86"/>
  <c r="S24" i="86" s="1"/>
  <c r="R20" i="86"/>
  <c r="Q20" i="86"/>
  <c r="Q22" i="86" s="1"/>
  <c r="Q24" i="86" s="1"/>
  <c r="P20" i="86"/>
  <c r="P22" i="86" s="1"/>
  <c r="P24" i="86" s="1"/>
  <c r="O20" i="86"/>
  <c r="O22" i="86" s="1"/>
  <c r="O24" i="86" s="1"/>
  <c r="N20" i="86"/>
  <c r="M20" i="86"/>
  <c r="M22" i="86" s="1"/>
  <c r="M24" i="86" s="1"/>
  <c r="L20" i="86"/>
  <c r="L22" i="86" s="1"/>
  <c r="L24" i="86" s="1"/>
  <c r="K20" i="86"/>
  <c r="K22" i="86" s="1"/>
  <c r="K24" i="86" s="1"/>
  <c r="J20" i="86"/>
  <c r="I20" i="86"/>
  <c r="I22" i="86" s="1"/>
  <c r="I24" i="86" s="1"/>
  <c r="H20" i="86"/>
  <c r="H22" i="86" s="1"/>
  <c r="H24" i="86" s="1"/>
  <c r="G20" i="86"/>
  <c r="G22" i="86" s="1"/>
  <c r="G24" i="86" s="1"/>
  <c r="F20" i="86"/>
  <c r="X24" i="86" l="1"/>
  <c r="T24" i="86"/>
  <c r="T20" i="85"/>
  <c r="U20" i="85"/>
  <c r="V20" i="85"/>
  <c r="W20" i="85"/>
  <c r="W22" i="85" s="1"/>
  <c r="W24" i="85" s="1"/>
  <c r="X20" i="85"/>
  <c r="Y20" i="85"/>
  <c r="Z20" i="85"/>
  <c r="AA20" i="85"/>
  <c r="AA22" i="85" s="1"/>
  <c r="AA24" i="85" s="1"/>
  <c r="AB20" i="85"/>
  <c r="AC20" i="85"/>
  <c r="AD20" i="85"/>
  <c r="AE20" i="85"/>
  <c r="AE22" i="85" s="1"/>
  <c r="AE24" i="85" s="1"/>
  <c r="AF20" i="85"/>
  <c r="AG20" i="85"/>
  <c r="AH20" i="85"/>
  <c r="AI20" i="85"/>
  <c r="AJ20" i="85"/>
  <c r="AK20" i="85"/>
  <c r="AL20" i="85"/>
  <c r="AM20" i="85"/>
  <c r="AM22" i="85" s="1"/>
  <c r="AM24" i="85" s="1"/>
  <c r="S20" i="85"/>
  <c r="X23" i="85"/>
  <c r="V23" i="85"/>
  <c r="T23" i="85"/>
  <c r="R23" i="85"/>
  <c r="P23" i="85"/>
  <c r="N23" i="85"/>
  <c r="L23" i="85"/>
  <c r="J23" i="85"/>
  <c r="I23" i="85"/>
  <c r="H23" i="85"/>
  <c r="F23" i="85"/>
  <c r="AL22" i="85"/>
  <c r="AL24" i="85" s="1"/>
  <c r="AH22" i="85"/>
  <c r="AH24" i="85" s="1"/>
  <c r="AD22" i="85"/>
  <c r="AD24" i="85" s="1"/>
  <c r="Z22" i="85"/>
  <c r="Z24" i="85" s="1"/>
  <c r="V22" i="85"/>
  <c r="V24" i="85" s="1"/>
  <c r="R22" i="85"/>
  <c r="R24" i="85" s="1"/>
  <c r="N22" i="85"/>
  <c r="N24" i="85" s="1"/>
  <c r="J22" i="85"/>
  <c r="J24" i="85" s="1"/>
  <c r="F22" i="85"/>
  <c r="F24" i="85" s="1"/>
  <c r="E22" i="85"/>
  <c r="E24" i="85" s="1"/>
  <c r="R21" i="85"/>
  <c r="H21" i="85"/>
  <c r="AK22" i="85"/>
  <c r="AK24" i="85" s="1"/>
  <c r="AJ22" i="85"/>
  <c r="AJ24" i="85" s="1"/>
  <c r="AI22" i="85"/>
  <c r="AI24" i="85" s="1"/>
  <c r="AG22" i="85"/>
  <c r="AG24" i="85" s="1"/>
  <c r="AF22" i="85"/>
  <c r="AF24" i="85" s="1"/>
  <c r="AC22" i="85"/>
  <c r="AC24" i="85" s="1"/>
  <c r="AB22" i="85"/>
  <c r="AB24" i="85" s="1"/>
  <c r="Y22" i="85"/>
  <c r="Y24" i="85" s="1"/>
  <c r="X22" i="85"/>
  <c r="U22" i="85"/>
  <c r="U24" i="85" s="1"/>
  <c r="T22" i="85"/>
  <c r="S22" i="85"/>
  <c r="S24" i="85" s="1"/>
  <c r="R20" i="85"/>
  <c r="Q20" i="85"/>
  <c r="Q22" i="85" s="1"/>
  <c r="Q24" i="85" s="1"/>
  <c r="P20" i="85"/>
  <c r="P22" i="85" s="1"/>
  <c r="P24" i="85" s="1"/>
  <c r="O20" i="85"/>
  <c r="O22" i="85" s="1"/>
  <c r="O24" i="85" s="1"/>
  <c r="N20" i="85"/>
  <c r="M20" i="85"/>
  <c r="M22" i="85" s="1"/>
  <c r="M24" i="85" s="1"/>
  <c r="L20" i="85"/>
  <c r="L22" i="85" s="1"/>
  <c r="L24" i="85" s="1"/>
  <c r="K20" i="85"/>
  <c r="K22" i="85" s="1"/>
  <c r="K24" i="85" s="1"/>
  <c r="J20" i="85"/>
  <c r="I20" i="85"/>
  <c r="I22" i="85" s="1"/>
  <c r="I24" i="85" s="1"/>
  <c r="H20" i="85"/>
  <c r="H22" i="85" s="1"/>
  <c r="H24" i="85" s="1"/>
  <c r="G20" i="85"/>
  <c r="G22" i="85" s="1"/>
  <c r="G24" i="85" s="1"/>
  <c r="F20" i="85"/>
  <c r="X24" i="85" l="1"/>
  <c r="T24" i="85"/>
  <c r="T20" i="84"/>
  <c r="U20" i="84"/>
  <c r="V20" i="84"/>
  <c r="W20" i="84"/>
  <c r="X20" i="84"/>
  <c r="Y20" i="84"/>
  <c r="Z20" i="84"/>
  <c r="AA20" i="84"/>
  <c r="AA22" i="84" s="1"/>
  <c r="AA24" i="84" s="1"/>
  <c r="AB20" i="84"/>
  <c r="AC20" i="84"/>
  <c r="AD20" i="84"/>
  <c r="AE20" i="84"/>
  <c r="AE22" i="84" s="1"/>
  <c r="AE24" i="84" s="1"/>
  <c r="AF20" i="84"/>
  <c r="AG20" i="84"/>
  <c r="AH20" i="84"/>
  <c r="AI20" i="84"/>
  <c r="AI22" i="84" s="1"/>
  <c r="AI24" i="84" s="1"/>
  <c r="AJ20" i="84"/>
  <c r="AK20" i="84"/>
  <c r="AL20" i="84"/>
  <c r="AM20" i="84"/>
  <c r="S20" i="84"/>
  <c r="S22" i="84" s="1"/>
  <c r="S24" i="84" s="1"/>
  <c r="X23" i="84"/>
  <c r="V23" i="84"/>
  <c r="T23" i="84"/>
  <c r="R23" i="84"/>
  <c r="P23" i="84"/>
  <c r="N23" i="84"/>
  <c r="L23" i="84"/>
  <c r="J23" i="84"/>
  <c r="I23" i="84"/>
  <c r="H23" i="84"/>
  <c r="F23" i="84"/>
  <c r="AK22" i="84"/>
  <c r="AK24" i="84" s="1"/>
  <c r="AG22" i="84"/>
  <c r="AG24" i="84" s="1"/>
  <c r="AC22" i="84"/>
  <c r="AC24" i="84" s="1"/>
  <c r="Y22" i="84"/>
  <c r="Y24" i="84" s="1"/>
  <c r="U22" i="84"/>
  <c r="U24" i="84" s="1"/>
  <c r="Q22" i="84"/>
  <c r="Q24" i="84" s="1"/>
  <c r="M22" i="84"/>
  <c r="M24" i="84" s="1"/>
  <c r="I22" i="84"/>
  <c r="I24" i="84" s="1"/>
  <c r="E22" i="84"/>
  <c r="E24" i="84" s="1"/>
  <c r="R21" i="84"/>
  <c r="H21" i="84"/>
  <c r="AM22" i="84"/>
  <c r="AM24" i="84" s="1"/>
  <c r="AL22" i="84"/>
  <c r="AL24" i="84" s="1"/>
  <c r="AJ22" i="84"/>
  <c r="AJ24" i="84" s="1"/>
  <c r="AH22" i="84"/>
  <c r="AH24" i="84" s="1"/>
  <c r="AF22" i="84"/>
  <c r="AF24" i="84" s="1"/>
  <c r="AD22" i="84"/>
  <c r="AD24" i="84" s="1"/>
  <c r="AB22" i="84"/>
  <c r="AB24" i="84" s="1"/>
  <c r="Z22" i="84"/>
  <c r="Z24" i="84" s="1"/>
  <c r="X22" i="84"/>
  <c r="W22" i="84"/>
  <c r="W24" i="84" s="1"/>
  <c r="V22" i="84"/>
  <c r="V24" i="84" s="1"/>
  <c r="T22" i="84"/>
  <c r="R20" i="84"/>
  <c r="R22" i="84" s="1"/>
  <c r="R24" i="84" s="1"/>
  <c r="Q20" i="84"/>
  <c r="P20" i="84"/>
  <c r="P22" i="84" s="1"/>
  <c r="P24" i="84" s="1"/>
  <c r="O20" i="84"/>
  <c r="O22" i="84" s="1"/>
  <c r="O24" i="84" s="1"/>
  <c r="N20" i="84"/>
  <c r="N22" i="84" s="1"/>
  <c r="N24" i="84" s="1"/>
  <c r="M20" i="84"/>
  <c r="L20" i="84"/>
  <c r="L22" i="84" s="1"/>
  <c r="L24" i="84" s="1"/>
  <c r="K20" i="84"/>
  <c r="K22" i="84" s="1"/>
  <c r="K24" i="84" s="1"/>
  <c r="J20" i="84"/>
  <c r="J22" i="84" s="1"/>
  <c r="J24" i="84" s="1"/>
  <c r="I20" i="84"/>
  <c r="H20" i="84"/>
  <c r="H22" i="84" s="1"/>
  <c r="H24" i="84" s="1"/>
  <c r="G20" i="84"/>
  <c r="G22" i="84" s="1"/>
  <c r="G24" i="84" s="1"/>
  <c r="F20" i="84"/>
  <c r="F22" i="84" s="1"/>
  <c r="F24" i="84" s="1"/>
  <c r="T24" i="84" l="1"/>
  <c r="X24" i="84"/>
  <c r="AJ23" i="83"/>
  <c r="AB23" i="83"/>
  <c r="AK23" i="83"/>
  <c r="T20" i="83" l="1"/>
  <c r="U20" i="83"/>
  <c r="V20" i="83"/>
  <c r="W20" i="83"/>
  <c r="X20" i="83"/>
  <c r="Y20" i="83"/>
  <c r="Z20" i="83"/>
  <c r="AA20" i="83"/>
  <c r="AA22" i="83" s="1"/>
  <c r="AA24" i="83" s="1"/>
  <c r="AB20" i="83"/>
  <c r="AC20" i="83"/>
  <c r="AD20" i="83"/>
  <c r="AE20" i="83"/>
  <c r="AE22" i="83" s="1"/>
  <c r="AE24" i="83" s="1"/>
  <c r="AF20" i="83"/>
  <c r="AG20" i="83"/>
  <c r="AH20" i="83"/>
  <c r="AI20" i="83"/>
  <c r="AI22" i="83" s="1"/>
  <c r="AI24" i="83" s="1"/>
  <c r="AJ20" i="83"/>
  <c r="AK20" i="83"/>
  <c r="AL20" i="83"/>
  <c r="AM20" i="83"/>
  <c r="AM22" i="83" s="1"/>
  <c r="AM24" i="83" s="1"/>
  <c r="S20" i="83"/>
  <c r="S22" i="83" s="1"/>
  <c r="S24" i="83" s="1"/>
  <c r="X23" i="83"/>
  <c r="V23" i="83"/>
  <c r="T23" i="83"/>
  <c r="R23" i="83"/>
  <c r="P23" i="83"/>
  <c r="N23" i="83"/>
  <c r="L23" i="83"/>
  <c r="J23" i="83"/>
  <c r="I23" i="83"/>
  <c r="H23" i="83"/>
  <c r="F23" i="83"/>
  <c r="AK22" i="83"/>
  <c r="AK24" i="83" s="1"/>
  <c r="AG22" i="83"/>
  <c r="AG24" i="83" s="1"/>
  <c r="AC22" i="83"/>
  <c r="AC24" i="83" s="1"/>
  <c r="Y22" i="83"/>
  <c r="Y24" i="83" s="1"/>
  <c r="U22" i="83"/>
  <c r="U24" i="83" s="1"/>
  <c r="Q22" i="83"/>
  <c r="Q24" i="83" s="1"/>
  <c r="M22" i="83"/>
  <c r="M24" i="83" s="1"/>
  <c r="I22" i="83"/>
  <c r="I24" i="83" s="1"/>
  <c r="E22" i="83"/>
  <c r="E24" i="83" s="1"/>
  <c r="R21" i="83"/>
  <c r="H21" i="83"/>
  <c r="AL22" i="83"/>
  <c r="AL24" i="83" s="1"/>
  <c r="AJ22" i="83"/>
  <c r="AJ24" i="83" s="1"/>
  <c r="AH22" i="83"/>
  <c r="AH24" i="83" s="1"/>
  <c r="AF22" i="83"/>
  <c r="AF24" i="83" s="1"/>
  <c r="AD22" i="83"/>
  <c r="AD24" i="83" s="1"/>
  <c r="AB22" i="83"/>
  <c r="AB24" i="83" s="1"/>
  <c r="Z22" i="83"/>
  <c r="Z24" i="83" s="1"/>
  <c r="X22" i="83"/>
  <c r="W22" i="83"/>
  <c r="W24" i="83" s="1"/>
  <c r="V22" i="83"/>
  <c r="V24" i="83" s="1"/>
  <c r="T22" i="83"/>
  <c r="T24" i="83" s="1"/>
  <c r="R20" i="83"/>
  <c r="R22" i="83" s="1"/>
  <c r="R24" i="83" s="1"/>
  <c r="Q20" i="83"/>
  <c r="P20" i="83"/>
  <c r="P22" i="83" s="1"/>
  <c r="P24" i="83" s="1"/>
  <c r="O20" i="83"/>
  <c r="O22" i="83" s="1"/>
  <c r="O24" i="83" s="1"/>
  <c r="N20" i="83"/>
  <c r="N22" i="83" s="1"/>
  <c r="N24" i="83" s="1"/>
  <c r="M20" i="83"/>
  <c r="L20" i="83"/>
  <c r="L22" i="83" s="1"/>
  <c r="L24" i="83" s="1"/>
  <c r="K20" i="83"/>
  <c r="K22" i="83" s="1"/>
  <c r="K24" i="83" s="1"/>
  <c r="J20" i="83"/>
  <c r="J22" i="83" s="1"/>
  <c r="J24" i="83" s="1"/>
  <c r="I20" i="83"/>
  <c r="H20" i="83"/>
  <c r="H22" i="83" s="1"/>
  <c r="H24" i="83" s="1"/>
  <c r="G20" i="83"/>
  <c r="G22" i="83" s="1"/>
  <c r="G24" i="83" s="1"/>
  <c r="F20" i="83"/>
  <c r="F22" i="83" s="1"/>
  <c r="F24" i="83" s="1"/>
  <c r="X24" i="83" l="1"/>
  <c r="W23" i="82"/>
  <c r="AB23" i="82"/>
  <c r="S23" i="82"/>
  <c r="T20" i="82" l="1"/>
  <c r="T22" i="82" s="1"/>
  <c r="U20" i="82"/>
  <c r="U22" i="82" s="1"/>
  <c r="U24" i="82" s="1"/>
  <c r="V20" i="82"/>
  <c r="W20" i="82"/>
  <c r="W22" i="82" s="1"/>
  <c r="W24" i="82" s="1"/>
  <c r="X20" i="82"/>
  <c r="Y20" i="82"/>
  <c r="Y22" i="82" s="1"/>
  <c r="Y24" i="82" s="1"/>
  <c r="Z20" i="82"/>
  <c r="Z22" i="82" s="1"/>
  <c r="Z24" i="82" s="1"/>
  <c r="AA20" i="82"/>
  <c r="AA22" i="82" s="1"/>
  <c r="AA24" i="82" s="1"/>
  <c r="AB20" i="82"/>
  <c r="AB22" i="82" s="1"/>
  <c r="AB24" i="82" s="1"/>
  <c r="AC20" i="82"/>
  <c r="AD20" i="82"/>
  <c r="AE20" i="82"/>
  <c r="AE22" i="82" s="1"/>
  <c r="AE24" i="82" s="1"/>
  <c r="AF20" i="82"/>
  <c r="AF22" i="82" s="1"/>
  <c r="AF24" i="82" s="1"/>
  <c r="AG20" i="82"/>
  <c r="AG22" i="82" s="1"/>
  <c r="AG24" i="82" s="1"/>
  <c r="AH20" i="82"/>
  <c r="AH22" i="82" s="1"/>
  <c r="AH24" i="82" s="1"/>
  <c r="AI20" i="82"/>
  <c r="AI22" i="82" s="1"/>
  <c r="AI24" i="82" s="1"/>
  <c r="AJ20" i="82"/>
  <c r="AJ22" i="82" s="1"/>
  <c r="AJ24" i="82" s="1"/>
  <c r="AK20" i="82"/>
  <c r="AK22" i="82" s="1"/>
  <c r="AK24" i="82" s="1"/>
  <c r="AL20" i="82"/>
  <c r="AL22" i="82" s="1"/>
  <c r="AL24" i="82" s="1"/>
  <c r="AM20" i="82"/>
  <c r="AM22" i="82" s="1"/>
  <c r="AM24" i="82" s="1"/>
  <c r="S20" i="82"/>
  <c r="S22" i="82" s="1"/>
  <c r="S24" i="82" s="1"/>
  <c r="E24" i="82"/>
  <c r="X23" i="82"/>
  <c r="V23" i="82"/>
  <c r="T23" i="82"/>
  <c r="R23" i="82"/>
  <c r="P23" i="82"/>
  <c r="N23" i="82"/>
  <c r="L23" i="82"/>
  <c r="J23" i="82"/>
  <c r="I23" i="82"/>
  <c r="H23" i="82"/>
  <c r="F23" i="82"/>
  <c r="K22" i="82"/>
  <c r="K24" i="82" s="1"/>
  <c r="E22" i="82"/>
  <c r="R21" i="82"/>
  <c r="H21" i="82"/>
  <c r="AD22" i="82"/>
  <c r="AD24" i="82" s="1"/>
  <c r="AC22" i="82"/>
  <c r="AC24" i="82" s="1"/>
  <c r="R20" i="82"/>
  <c r="R22" i="82" s="1"/>
  <c r="R24" i="82" s="1"/>
  <c r="Q20" i="82"/>
  <c r="Q22" i="82" s="1"/>
  <c r="Q24" i="82" s="1"/>
  <c r="P20" i="82"/>
  <c r="P22" i="82" s="1"/>
  <c r="P24" i="82" s="1"/>
  <c r="O20" i="82"/>
  <c r="O22" i="82" s="1"/>
  <c r="O24" i="82" s="1"/>
  <c r="N20" i="82"/>
  <c r="N22" i="82" s="1"/>
  <c r="N24" i="82" s="1"/>
  <c r="M20" i="82"/>
  <c r="M22" i="82" s="1"/>
  <c r="M24" i="82" s="1"/>
  <c r="L20" i="82"/>
  <c r="L22" i="82" s="1"/>
  <c r="L24" i="82" s="1"/>
  <c r="K20" i="82"/>
  <c r="J20" i="82"/>
  <c r="J22" i="82" s="1"/>
  <c r="I20" i="82"/>
  <c r="I22" i="82" s="1"/>
  <c r="H20" i="82"/>
  <c r="H22" i="82" s="1"/>
  <c r="H24" i="82" s="1"/>
  <c r="G20" i="82"/>
  <c r="G22" i="82" s="1"/>
  <c r="G24" i="82" s="1"/>
  <c r="F20" i="82"/>
  <c r="F22" i="82" s="1"/>
  <c r="F24" i="82" s="1"/>
  <c r="I24" i="82" l="1"/>
  <c r="X22" i="82"/>
  <c r="J24" i="82"/>
  <c r="V22" i="82"/>
  <c r="V24" i="82" s="1"/>
  <c r="X24" i="82"/>
  <c r="T24" i="82"/>
  <c r="AA23" i="81"/>
  <c r="AA20" i="81"/>
  <c r="AA21" i="81"/>
  <c r="S20" i="81" l="1"/>
  <c r="T20" i="81"/>
  <c r="U20" i="81"/>
  <c r="U22" i="81" s="1"/>
  <c r="V20" i="81"/>
  <c r="V22" i="81" s="1"/>
  <c r="V24" i="81" s="1"/>
  <c r="W20" i="81"/>
  <c r="X20" i="81"/>
  <c r="Y20" i="81"/>
  <c r="Z20" i="81"/>
  <c r="Z22" i="81" s="1"/>
  <c r="Z24" i="81" s="1"/>
  <c r="AB20" i="81"/>
  <c r="AB22" i="81" s="1"/>
  <c r="AB24" i="81" s="1"/>
  <c r="AC20" i="81"/>
  <c r="AC22" i="81" s="1"/>
  <c r="AC24" i="81" s="1"/>
  <c r="AD20" i="81"/>
  <c r="AD22" i="81" s="1"/>
  <c r="AD24" i="81" s="1"/>
  <c r="AE20" i="81"/>
  <c r="AF20" i="81"/>
  <c r="AG20" i="81"/>
  <c r="AH20" i="81"/>
  <c r="AH22" i="81" s="1"/>
  <c r="AH24" i="81" s="1"/>
  <c r="AI20" i="81"/>
  <c r="AJ20" i="81"/>
  <c r="AJ22" i="81" s="1"/>
  <c r="AJ24" i="81" s="1"/>
  <c r="AK20" i="81"/>
  <c r="AK22" i="81" s="1"/>
  <c r="AK24" i="81" s="1"/>
  <c r="AL20" i="81"/>
  <c r="AL22" i="81" s="1"/>
  <c r="AL24" i="81" s="1"/>
  <c r="R20" i="81"/>
  <c r="R22" i="81" s="1"/>
  <c r="R24" i="81" s="1"/>
  <c r="W23" i="81"/>
  <c r="U23" i="81"/>
  <c r="S23" i="81"/>
  <c r="Q23" i="81"/>
  <c r="O23" i="81"/>
  <c r="M23" i="81"/>
  <c r="K23" i="81"/>
  <c r="I23" i="81"/>
  <c r="H23" i="81"/>
  <c r="G23" i="81"/>
  <c r="E23" i="81"/>
  <c r="AI22" i="81"/>
  <c r="AI24" i="81" s="1"/>
  <c r="AF22" i="81"/>
  <c r="AF24" i="81" s="1"/>
  <c r="AE22" i="81"/>
  <c r="AE24" i="81" s="1"/>
  <c r="X22" i="81"/>
  <c r="X24" i="81" s="1"/>
  <c r="T22" i="81"/>
  <c r="T24" i="81" s="1"/>
  <c r="P22" i="81"/>
  <c r="P24" i="81" s="1"/>
  <c r="O22" i="81"/>
  <c r="O24" i="81" s="1"/>
  <c r="L22" i="81"/>
  <c r="L24" i="81" s="1"/>
  <c r="K22" i="81"/>
  <c r="K24" i="81" s="1"/>
  <c r="H22" i="81"/>
  <c r="H24" i="81" s="1"/>
  <c r="G22" i="81"/>
  <c r="G24" i="81" s="1"/>
  <c r="D22" i="81"/>
  <c r="D24" i="81" s="1"/>
  <c r="AA22" i="81"/>
  <c r="AA24" i="81" s="1"/>
  <c r="W21" i="81"/>
  <c r="W22" i="81" s="1"/>
  <c r="U21" i="81"/>
  <c r="S21" i="81"/>
  <c r="S22" i="81" s="1"/>
  <c r="S24" i="81" s="1"/>
  <c r="Q21" i="81"/>
  <c r="G21" i="81"/>
  <c r="AG22" i="81"/>
  <c r="AG24" i="81" s="1"/>
  <c r="Y22" i="81"/>
  <c r="Y24" i="81" s="1"/>
  <c r="Q20" i="81"/>
  <c r="Q22" i="81" s="1"/>
  <c r="Q24" i="81" s="1"/>
  <c r="P20" i="81"/>
  <c r="O20" i="81"/>
  <c r="N20" i="81"/>
  <c r="N22" i="81" s="1"/>
  <c r="N24" i="81" s="1"/>
  <c r="M20" i="81"/>
  <c r="M22" i="81" s="1"/>
  <c r="M24" i="81" s="1"/>
  <c r="L20" i="81"/>
  <c r="K20" i="81"/>
  <c r="J20" i="81"/>
  <c r="J22" i="81" s="1"/>
  <c r="J24" i="81" s="1"/>
  <c r="I20" i="81"/>
  <c r="I22" i="81" s="1"/>
  <c r="I24" i="81" s="1"/>
  <c r="H20" i="81"/>
  <c r="G20" i="81"/>
  <c r="F20" i="81"/>
  <c r="F22" i="81" s="1"/>
  <c r="F24" i="81" s="1"/>
  <c r="E20" i="81"/>
  <c r="E22" i="81" s="1"/>
  <c r="E24" i="81" s="1"/>
  <c r="U24" i="81" l="1"/>
  <c r="W24" i="81"/>
  <c r="AA21" i="80"/>
  <c r="V21" i="80"/>
  <c r="AF20" i="80"/>
  <c r="AF22" i="80" s="1"/>
  <c r="AF24" i="80" s="1"/>
  <c r="S20" i="80" l="1"/>
  <c r="T20" i="80"/>
  <c r="U20" i="80"/>
  <c r="V20" i="80"/>
  <c r="W20" i="80"/>
  <c r="X20" i="80"/>
  <c r="Y20" i="80"/>
  <c r="Z20" i="80"/>
  <c r="Z22" i="80" s="1"/>
  <c r="Z24" i="80" s="1"/>
  <c r="AA20" i="80"/>
  <c r="AA22" i="80" s="1"/>
  <c r="AA24" i="80" s="1"/>
  <c r="AB20" i="80"/>
  <c r="AC20" i="80"/>
  <c r="AC22" i="80" s="1"/>
  <c r="AC24" i="80" s="1"/>
  <c r="AD20" i="80"/>
  <c r="AD22" i="80" s="1"/>
  <c r="AD24" i="80" s="1"/>
  <c r="AE20" i="80"/>
  <c r="AE22" i="80" s="1"/>
  <c r="AE24" i="80" s="1"/>
  <c r="AG20" i="80"/>
  <c r="AH20" i="80"/>
  <c r="AH22" i="80" s="1"/>
  <c r="AH24" i="80" s="1"/>
  <c r="AI20" i="80"/>
  <c r="AI22" i="80" s="1"/>
  <c r="AI24" i="80" s="1"/>
  <c r="AJ20" i="80"/>
  <c r="AJ22" i="80" s="1"/>
  <c r="AJ24" i="80" s="1"/>
  <c r="AK20" i="80"/>
  <c r="AL20" i="80"/>
  <c r="AL22" i="80" s="1"/>
  <c r="AL24" i="80" s="1"/>
  <c r="R20" i="80"/>
  <c r="R22" i="80" s="1"/>
  <c r="R24" i="80" s="1"/>
  <c r="W23" i="80"/>
  <c r="U23" i="80"/>
  <c r="S23" i="80"/>
  <c r="Q23" i="80"/>
  <c r="O23" i="80"/>
  <c r="M23" i="80"/>
  <c r="K23" i="80"/>
  <c r="I23" i="80"/>
  <c r="H23" i="80"/>
  <c r="G23" i="80"/>
  <c r="E23" i="80"/>
  <c r="AK22" i="80"/>
  <c r="AK24" i="80" s="1"/>
  <c r="AG22" i="80"/>
  <c r="AG24" i="80" s="1"/>
  <c r="AB22" i="80"/>
  <c r="AB24" i="80" s="1"/>
  <c r="X22" i="80"/>
  <c r="X24" i="80" s="1"/>
  <c r="V22" i="80"/>
  <c r="V24" i="80" s="1"/>
  <c r="T22" i="80"/>
  <c r="T24" i="80" s="1"/>
  <c r="D22" i="80"/>
  <c r="D24" i="80" s="1"/>
  <c r="W21" i="80"/>
  <c r="U21" i="80"/>
  <c r="S21" i="80"/>
  <c r="Q21" i="80"/>
  <c r="G21" i="80"/>
  <c r="Y22" i="80"/>
  <c r="Y24" i="80" s="1"/>
  <c r="Q20" i="80"/>
  <c r="Q22" i="80" s="1"/>
  <c r="Q24" i="80" s="1"/>
  <c r="P20" i="80"/>
  <c r="P22" i="80" s="1"/>
  <c r="P24" i="80" s="1"/>
  <c r="O20" i="80"/>
  <c r="O22" i="80" s="1"/>
  <c r="O24" i="80" s="1"/>
  <c r="N20" i="80"/>
  <c r="N22" i="80" s="1"/>
  <c r="N24" i="80" s="1"/>
  <c r="M20" i="80"/>
  <c r="M22" i="80" s="1"/>
  <c r="M24" i="80" s="1"/>
  <c r="L20" i="80"/>
  <c r="L22" i="80" s="1"/>
  <c r="L24" i="80" s="1"/>
  <c r="K20" i="80"/>
  <c r="K22" i="80" s="1"/>
  <c r="K24" i="80" s="1"/>
  <c r="J20" i="80"/>
  <c r="J22" i="80" s="1"/>
  <c r="J24" i="80" s="1"/>
  <c r="I20" i="80"/>
  <c r="I22" i="80" s="1"/>
  <c r="I24" i="80" s="1"/>
  <c r="H20" i="80"/>
  <c r="H22" i="80" s="1"/>
  <c r="H24" i="80" s="1"/>
  <c r="G20" i="80"/>
  <c r="G22" i="80" s="1"/>
  <c r="G24" i="80" s="1"/>
  <c r="F20" i="80"/>
  <c r="F22" i="80" s="1"/>
  <c r="F24" i="80" s="1"/>
  <c r="E20" i="80"/>
  <c r="E22" i="80" s="1"/>
  <c r="E24" i="80" s="1"/>
  <c r="U22" i="80" l="1"/>
  <c r="U24" i="80" s="1"/>
  <c r="W22" i="80"/>
  <c r="W24" i="80" s="1"/>
  <c r="S22" i="80"/>
  <c r="S24" i="80" s="1"/>
  <c r="AF23" i="79"/>
  <c r="AI23" i="79"/>
  <c r="AH23" i="79"/>
  <c r="AC23" i="79"/>
  <c r="AD23" i="79"/>
  <c r="S20" i="79" l="1"/>
  <c r="T20" i="79"/>
  <c r="U20" i="79"/>
  <c r="V20" i="79"/>
  <c r="V22" i="79" s="1"/>
  <c r="V24" i="79" s="1"/>
  <c r="W20" i="79"/>
  <c r="X20" i="79"/>
  <c r="Y20" i="79"/>
  <c r="Y22" i="79" s="1"/>
  <c r="Y24" i="79" s="1"/>
  <c r="Z20" i="79"/>
  <c r="Z22" i="79" s="1"/>
  <c r="Z24" i="79" s="1"/>
  <c r="AA20" i="79"/>
  <c r="AB20" i="79"/>
  <c r="AC20" i="79"/>
  <c r="AC22" i="79" s="1"/>
  <c r="AC24" i="79" s="1"/>
  <c r="AD20" i="79"/>
  <c r="AD22" i="79" s="1"/>
  <c r="AD24" i="79" s="1"/>
  <c r="AE20" i="79"/>
  <c r="AF20" i="79"/>
  <c r="AG20" i="79"/>
  <c r="AH20" i="79"/>
  <c r="AI20" i="79"/>
  <c r="AJ20" i="79"/>
  <c r="AJ22" i="79" s="1"/>
  <c r="AJ24" i="79" s="1"/>
  <c r="AK20" i="79"/>
  <c r="R20" i="79"/>
  <c r="R22" i="79" s="1"/>
  <c r="R24" i="79" s="1"/>
  <c r="W23" i="79"/>
  <c r="U23" i="79"/>
  <c r="S23" i="79"/>
  <c r="Q23" i="79"/>
  <c r="O23" i="79"/>
  <c r="M23" i="79"/>
  <c r="K23" i="79"/>
  <c r="I23" i="79"/>
  <c r="H23" i="79"/>
  <c r="G23" i="79"/>
  <c r="E23" i="79"/>
  <c r="AK22" i="79"/>
  <c r="AK24" i="79" s="1"/>
  <c r="AI22" i="79"/>
  <c r="AI24" i="79" s="1"/>
  <c r="AG22" i="79"/>
  <c r="AG24" i="79" s="1"/>
  <c r="AF22" i="79"/>
  <c r="AF24" i="79" s="1"/>
  <c r="AE22" i="79"/>
  <c r="AE24" i="79" s="1"/>
  <c r="AB22" i="79"/>
  <c r="AB24" i="79" s="1"/>
  <c r="AA22" i="79"/>
  <c r="AA24" i="79" s="1"/>
  <c r="X22" i="79"/>
  <c r="X24" i="79" s="1"/>
  <c r="U22" i="79"/>
  <c r="T22" i="79"/>
  <c r="T24" i="79" s="1"/>
  <c r="S22" i="79"/>
  <c r="P22" i="79"/>
  <c r="P24" i="79" s="1"/>
  <c r="O22" i="79"/>
  <c r="O24" i="79" s="1"/>
  <c r="M22" i="79"/>
  <c r="M24" i="79" s="1"/>
  <c r="L22" i="79"/>
  <c r="L24" i="79" s="1"/>
  <c r="K22" i="79"/>
  <c r="K24" i="79" s="1"/>
  <c r="I22" i="79"/>
  <c r="I24" i="79" s="1"/>
  <c r="H22" i="79"/>
  <c r="H24" i="79" s="1"/>
  <c r="E22" i="79"/>
  <c r="E24" i="79" s="1"/>
  <c r="D22" i="79"/>
  <c r="D24" i="79" s="1"/>
  <c r="W21" i="79"/>
  <c r="W22" i="79" s="1"/>
  <c r="W24" i="79" s="1"/>
  <c r="U21" i="79"/>
  <c r="S21" i="79"/>
  <c r="Q21" i="79"/>
  <c r="Q22" i="79" s="1"/>
  <c r="Q24" i="79" s="1"/>
  <c r="G21" i="79"/>
  <c r="G22" i="79" s="1"/>
  <c r="G24" i="79" s="1"/>
  <c r="AH22" i="79"/>
  <c r="AH24" i="79" s="1"/>
  <c r="Q20" i="79"/>
  <c r="P20" i="79"/>
  <c r="O20" i="79"/>
  <c r="N20" i="79"/>
  <c r="N22" i="79" s="1"/>
  <c r="N24" i="79" s="1"/>
  <c r="M20" i="79"/>
  <c r="L20" i="79"/>
  <c r="K20" i="79"/>
  <c r="J20" i="79"/>
  <c r="J22" i="79" s="1"/>
  <c r="J24" i="79" s="1"/>
  <c r="I20" i="79"/>
  <c r="H20" i="79"/>
  <c r="G20" i="79"/>
  <c r="F20" i="79"/>
  <c r="F22" i="79" s="1"/>
  <c r="F24" i="79" s="1"/>
  <c r="E20" i="79"/>
  <c r="S24" i="79" l="1"/>
  <c r="U24" i="79"/>
  <c r="S20" i="78"/>
  <c r="T20" i="78"/>
  <c r="U20" i="78"/>
  <c r="V20" i="78"/>
  <c r="V22" i="78" s="1"/>
  <c r="V24" i="78" s="1"/>
  <c r="W20" i="78"/>
  <c r="X20" i="78"/>
  <c r="Y20" i="78"/>
  <c r="Z20" i="78"/>
  <c r="Z22" i="78" s="1"/>
  <c r="Z24" i="78" s="1"/>
  <c r="AA20" i="78"/>
  <c r="AB20" i="78"/>
  <c r="AC20" i="78"/>
  <c r="AD20" i="78"/>
  <c r="AD22" i="78" s="1"/>
  <c r="AD24" i="78" s="1"/>
  <c r="AE20" i="78"/>
  <c r="AF20" i="78"/>
  <c r="AG20" i="78"/>
  <c r="AH20" i="78"/>
  <c r="AH22" i="78" s="1"/>
  <c r="AH24" i="78" s="1"/>
  <c r="AI20" i="78"/>
  <c r="AJ20" i="78"/>
  <c r="AK20" i="78"/>
  <c r="R20" i="78"/>
  <c r="W23" i="78"/>
  <c r="U23" i="78"/>
  <c r="S23" i="78"/>
  <c r="Q23" i="78"/>
  <c r="O23" i="78"/>
  <c r="M23" i="78"/>
  <c r="K23" i="78"/>
  <c r="I23" i="78"/>
  <c r="H23" i="78"/>
  <c r="G23" i="78"/>
  <c r="E23" i="78"/>
  <c r="D22" i="78"/>
  <c r="D24" i="78" s="1"/>
  <c r="W21" i="78"/>
  <c r="U21" i="78"/>
  <c r="S21" i="78"/>
  <c r="Q21" i="78"/>
  <c r="G21" i="78"/>
  <c r="AK22" i="78"/>
  <c r="AK24" i="78" s="1"/>
  <c r="AJ22" i="78"/>
  <c r="AJ24" i="78" s="1"/>
  <c r="AI22" i="78"/>
  <c r="AI24" i="78" s="1"/>
  <c r="AG22" i="78"/>
  <c r="AG24" i="78" s="1"/>
  <c r="AF22" i="78"/>
  <c r="AF24" i="78" s="1"/>
  <c r="AE22" i="78"/>
  <c r="AE24" i="78" s="1"/>
  <c r="AC22" i="78"/>
  <c r="AC24" i="78" s="1"/>
  <c r="AB22" i="78"/>
  <c r="AB24" i="78" s="1"/>
  <c r="AA22" i="78"/>
  <c r="AA24" i="78" s="1"/>
  <c r="Y22" i="78"/>
  <c r="Y24" i="78" s="1"/>
  <c r="X22" i="78"/>
  <c r="X24" i="78" s="1"/>
  <c r="W22" i="78"/>
  <c r="W24" i="78" s="1"/>
  <c r="U22" i="78"/>
  <c r="T22" i="78"/>
  <c r="T24" i="78" s="1"/>
  <c r="S22" i="78"/>
  <c r="S24" i="78" s="1"/>
  <c r="R22" i="78"/>
  <c r="R24" i="78" s="1"/>
  <c r="Q20" i="78"/>
  <c r="Q22" i="78" s="1"/>
  <c r="Q24" i="78" s="1"/>
  <c r="P20" i="78"/>
  <c r="P22" i="78" s="1"/>
  <c r="P24" i="78" s="1"/>
  <c r="O20" i="78"/>
  <c r="O22" i="78" s="1"/>
  <c r="O24" i="78" s="1"/>
  <c r="N20" i="78"/>
  <c r="N22" i="78" s="1"/>
  <c r="N24" i="78" s="1"/>
  <c r="M20" i="78"/>
  <c r="M22" i="78" s="1"/>
  <c r="M24" i="78" s="1"/>
  <c r="L20" i="78"/>
  <c r="L22" i="78" s="1"/>
  <c r="L24" i="78" s="1"/>
  <c r="K20" i="78"/>
  <c r="K22" i="78" s="1"/>
  <c r="K24" i="78" s="1"/>
  <c r="J20" i="78"/>
  <c r="J22" i="78" s="1"/>
  <c r="J24" i="78" s="1"/>
  <c r="I20" i="78"/>
  <c r="I22" i="78" s="1"/>
  <c r="I24" i="78" s="1"/>
  <c r="H20" i="78"/>
  <c r="H22" i="78" s="1"/>
  <c r="H24" i="78" s="1"/>
  <c r="G20" i="78"/>
  <c r="G22" i="78" s="1"/>
  <c r="G24" i="78" s="1"/>
  <c r="F20" i="78"/>
  <c r="F22" i="78" s="1"/>
  <c r="F24" i="78" s="1"/>
  <c r="E20" i="78"/>
  <c r="E22" i="78" s="1"/>
  <c r="E24" i="78" s="1"/>
  <c r="U24" i="78" l="1"/>
  <c r="S20" i="77"/>
  <c r="T20" i="77"/>
  <c r="U20" i="77"/>
  <c r="V20" i="77"/>
  <c r="V22" i="77" s="1"/>
  <c r="V24" i="77" s="1"/>
  <c r="W20" i="77"/>
  <c r="X20" i="77"/>
  <c r="Y20" i="77"/>
  <c r="Z20" i="77"/>
  <c r="Z22" i="77" s="1"/>
  <c r="Z24" i="77" s="1"/>
  <c r="AA20" i="77"/>
  <c r="AB20" i="77"/>
  <c r="AC20" i="77"/>
  <c r="AD20" i="77"/>
  <c r="AD22" i="77" s="1"/>
  <c r="AD24" i="77" s="1"/>
  <c r="AE20" i="77"/>
  <c r="AF20" i="77"/>
  <c r="AG20" i="77"/>
  <c r="AH20" i="77"/>
  <c r="AH22" i="77" s="1"/>
  <c r="AH24" i="77" s="1"/>
  <c r="AI20" i="77"/>
  <c r="AJ20" i="77"/>
  <c r="AK20" i="77"/>
  <c r="R20" i="77"/>
  <c r="R22" i="77" s="1"/>
  <c r="R24" i="77" s="1"/>
  <c r="D24" i="77"/>
  <c r="W23" i="77"/>
  <c r="U23" i="77"/>
  <c r="S23" i="77"/>
  <c r="Q23" i="77"/>
  <c r="O23" i="77"/>
  <c r="M23" i="77"/>
  <c r="K23" i="77"/>
  <c r="I23" i="77"/>
  <c r="H23" i="77"/>
  <c r="G23" i="77"/>
  <c r="E23" i="77"/>
  <c r="D22" i="77"/>
  <c r="W21" i="77"/>
  <c r="U21" i="77"/>
  <c r="S21" i="77"/>
  <c r="Q21" i="77"/>
  <c r="G21" i="77"/>
  <c r="AK22" i="77"/>
  <c r="AK24" i="77" s="1"/>
  <c r="AJ22" i="77"/>
  <c r="AJ24" i="77" s="1"/>
  <c r="AI22" i="77"/>
  <c r="AI24" i="77" s="1"/>
  <c r="AG22" i="77"/>
  <c r="AG24" i="77" s="1"/>
  <c r="AF22" i="77"/>
  <c r="AF24" i="77" s="1"/>
  <c r="AE22" i="77"/>
  <c r="AE24" i="77" s="1"/>
  <c r="AC22" i="77"/>
  <c r="AC24" i="77" s="1"/>
  <c r="AB22" i="77"/>
  <c r="AB24" i="77" s="1"/>
  <c r="AA22" i="77"/>
  <c r="AA24" i="77" s="1"/>
  <c r="Y22" i="77"/>
  <c r="Y24" i="77" s="1"/>
  <c r="X22" i="77"/>
  <c r="X24" i="77" s="1"/>
  <c r="W22" i="77"/>
  <c r="W24" i="77" s="1"/>
  <c r="U22" i="77"/>
  <c r="T22" i="77"/>
  <c r="T24" i="77" s="1"/>
  <c r="S22" i="77"/>
  <c r="Q20" i="77"/>
  <c r="Q22" i="77" s="1"/>
  <c r="Q24" i="77" s="1"/>
  <c r="P20" i="77"/>
  <c r="P22" i="77" s="1"/>
  <c r="P24" i="77" s="1"/>
  <c r="O20" i="77"/>
  <c r="O22" i="77" s="1"/>
  <c r="O24" i="77" s="1"/>
  <c r="N20" i="77"/>
  <c r="N22" i="77" s="1"/>
  <c r="N24" i="77" s="1"/>
  <c r="M20" i="77"/>
  <c r="M22" i="77" s="1"/>
  <c r="M24" i="77" s="1"/>
  <c r="L20" i="77"/>
  <c r="L22" i="77" s="1"/>
  <c r="L24" i="77" s="1"/>
  <c r="K20" i="77"/>
  <c r="K22" i="77" s="1"/>
  <c r="K24" i="77" s="1"/>
  <c r="J20" i="77"/>
  <c r="J22" i="77" s="1"/>
  <c r="J24" i="77" s="1"/>
  <c r="I20" i="77"/>
  <c r="I22" i="77" s="1"/>
  <c r="I24" i="77" s="1"/>
  <c r="H20" i="77"/>
  <c r="H22" i="77" s="1"/>
  <c r="H24" i="77" s="1"/>
  <c r="G20" i="77"/>
  <c r="G22" i="77" s="1"/>
  <c r="G24" i="77" s="1"/>
  <c r="F20" i="77"/>
  <c r="F22" i="77" s="1"/>
  <c r="F24" i="77" s="1"/>
  <c r="E20" i="77"/>
  <c r="E22" i="77" s="1"/>
  <c r="E24" i="77" s="1"/>
  <c r="U24" i="77" l="1"/>
  <c r="S24" i="77"/>
  <c r="R21" i="76"/>
  <c r="Q20" i="76" l="1"/>
  <c r="R20" i="76"/>
  <c r="S20" i="76"/>
  <c r="T20" i="76"/>
  <c r="T22" i="76" s="1"/>
  <c r="T24" i="76" s="1"/>
  <c r="U20" i="76"/>
  <c r="V20" i="76"/>
  <c r="W20" i="76"/>
  <c r="X20" i="76"/>
  <c r="X22" i="76" s="1"/>
  <c r="X24" i="76" s="1"/>
  <c r="Y20" i="76"/>
  <c r="Z20" i="76"/>
  <c r="AA20" i="76"/>
  <c r="AB20" i="76"/>
  <c r="AC20" i="76"/>
  <c r="AD20" i="76"/>
  <c r="AE20" i="76"/>
  <c r="AF20" i="76"/>
  <c r="AF22" i="76" s="1"/>
  <c r="AF24" i="76" s="1"/>
  <c r="AG20" i="76"/>
  <c r="AH20" i="76"/>
  <c r="AI20" i="76"/>
  <c r="AJ20" i="76"/>
  <c r="AJ22" i="76" s="1"/>
  <c r="AJ24" i="76" s="1"/>
  <c r="AK20" i="76"/>
  <c r="P20" i="76"/>
  <c r="P22" i="76" s="1"/>
  <c r="P24" i="76" s="1"/>
  <c r="W23" i="76"/>
  <c r="U23" i="76"/>
  <c r="S23" i="76"/>
  <c r="Q23" i="76"/>
  <c r="O23" i="76"/>
  <c r="M23" i="76"/>
  <c r="K23" i="76"/>
  <c r="I23" i="76"/>
  <c r="H23" i="76"/>
  <c r="G23" i="76"/>
  <c r="E23" i="76"/>
  <c r="AB22" i="76"/>
  <c r="AB24" i="76" s="1"/>
  <c r="L22" i="76"/>
  <c r="L24" i="76" s="1"/>
  <c r="H22" i="76"/>
  <c r="H24" i="76" s="1"/>
  <c r="D22" i="76"/>
  <c r="D24" i="76" s="1"/>
  <c r="W21" i="76"/>
  <c r="U21" i="76"/>
  <c r="S21" i="76"/>
  <c r="Q21" i="76"/>
  <c r="G21" i="76"/>
  <c r="AK22" i="76"/>
  <c r="AK24" i="76" s="1"/>
  <c r="AI22" i="76"/>
  <c r="AI24" i="76" s="1"/>
  <c r="AH22" i="76"/>
  <c r="AH24" i="76" s="1"/>
  <c r="AG22" i="76"/>
  <c r="AG24" i="76" s="1"/>
  <c r="AE22" i="76"/>
  <c r="AE24" i="76" s="1"/>
  <c r="AD22" i="76"/>
  <c r="AD24" i="76" s="1"/>
  <c r="AC22" i="76"/>
  <c r="AC24" i="76" s="1"/>
  <c r="AA22" i="76"/>
  <c r="AA24" i="76" s="1"/>
  <c r="Z22" i="76"/>
  <c r="Z24" i="76" s="1"/>
  <c r="Y22" i="76"/>
  <c r="Y24" i="76" s="1"/>
  <c r="W22" i="76"/>
  <c r="W24" i="76" s="1"/>
  <c r="V22" i="76"/>
  <c r="V24" i="76" s="1"/>
  <c r="U22" i="76"/>
  <c r="S22" i="76"/>
  <c r="R22" i="76"/>
  <c r="R24" i="76" s="1"/>
  <c r="Q22" i="76"/>
  <c r="Q24" i="76" s="1"/>
  <c r="O20" i="76"/>
  <c r="O22" i="76" s="1"/>
  <c r="O24" i="76" s="1"/>
  <c r="N20" i="76"/>
  <c r="N22" i="76" s="1"/>
  <c r="N24" i="76" s="1"/>
  <c r="M20" i="76"/>
  <c r="M22" i="76" s="1"/>
  <c r="M24" i="76" s="1"/>
  <c r="L20" i="76"/>
  <c r="K20" i="76"/>
  <c r="K22" i="76" s="1"/>
  <c r="K24" i="76" s="1"/>
  <c r="J20" i="76"/>
  <c r="J22" i="76" s="1"/>
  <c r="J24" i="76" s="1"/>
  <c r="I20" i="76"/>
  <c r="I22" i="76" s="1"/>
  <c r="I24" i="76" s="1"/>
  <c r="H20" i="76"/>
  <c r="G20" i="76"/>
  <c r="G22" i="76" s="1"/>
  <c r="G24" i="76" s="1"/>
  <c r="F20" i="76"/>
  <c r="F22" i="76" s="1"/>
  <c r="F24" i="76" s="1"/>
  <c r="E20" i="76"/>
  <c r="E22" i="76" s="1"/>
  <c r="E24" i="76" s="1"/>
  <c r="U24" i="76" l="1"/>
  <c r="S24" i="76"/>
  <c r="Q20" i="75"/>
  <c r="R20" i="75"/>
  <c r="S20" i="75"/>
  <c r="T20" i="75"/>
  <c r="U20" i="75"/>
  <c r="V20" i="75"/>
  <c r="W20" i="75"/>
  <c r="X20" i="75"/>
  <c r="Y20" i="75"/>
  <c r="Z20" i="75"/>
  <c r="AA20" i="75"/>
  <c r="AB20" i="75"/>
  <c r="AC20" i="75"/>
  <c r="AD20" i="75"/>
  <c r="AE20" i="75"/>
  <c r="AF20" i="75"/>
  <c r="AG20" i="75"/>
  <c r="AH20" i="75"/>
  <c r="AI20" i="75"/>
  <c r="AJ20" i="75"/>
  <c r="AK20" i="75"/>
  <c r="P20" i="75"/>
  <c r="AF23" i="75" l="1"/>
  <c r="S22" i="75" l="1"/>
  <c r="W22" i="75"/>
  <c r="W24" i="75" s="1"/>
  <c r="AA22" i="75"/>
  <c r="AA24" i="75" s="1"/>
  <c r="AE22" i="75"/>
  <c r="AE24" i="75" s="1"/>
  <c r="AI22" i="75"/>
  <c r="AI24" i="75" s="1"/>
  <c r="AJ22" i="75"/>
  <c r="AJ24" i="75" s="1"/>
  <c r="W23" i="75"/>
  <c r="U23" i="75"/>
  <c r="S23" i="75"/>
  <c r="Q23" i="75"/>
  <c r="O23" i="75"/>
  <c r="M23" i="75"/>
  <c r="K23" i="75"/>
  <c r="I23" i="75"/>
  <c r="H23" i="75"/>
  <c r="G23" i="75"/>
  <c r="E23" i="75"/>
  <c r="D22" i="75"/>
  <c r="D24" i="75" s="1"/>
  <c r="W21" i="75"/>
  <c r="U21" i="75"/>
  <c r="S21" i="75"/>
  <c r="Q21" i="75"/>
  <c r="G21" i="75"/>
  <c r="AK22" i="75"/>
  <c r="AK24" i="75" s="1"/>
  <c r="AH22" i="75"/>
  <c r="AH24" i="75" s="1"/>
  <c r="AG22" i="75"/>
  <c r="AG24" i="75" s="1"/>
  <c r="AF22" i="75"/>
  <c r="AF24" i="75" s="1"/>
  <c r="AD22" i="75"/>
  <c r="AD24" i="75" s="1"/>
  <c r="AC22" i="75"/>
  <c r="AC24" i="75" s="1"/>
  <c r="AB22" i="75"/>
  <c r="AB24" i="75" s="1"/>
  <c r="Z22" i="75"/>
  <c r="Z24" i="75" s="1"/>
  <c r="Y22" i="75"/>
  <c r="Y24" i="75" s="1"/>
  <c r="X22" i="75"/>
  <c r="X24" i="75" s="1"/>
  <c r="V22" i="75"/>
  <c r="V24" i="75" s="1"/>
  <c r="U22" i="75"/>
  <c r="U24" i="75" s="1"/>
  <c r="T22" i="75"/>
  <c r="T24" i="75" s="1"/>
  <c r="R22" i="75"/>
  <c r="R24" i="75" s="1"/>
  <c r="Q22" i="75"/>
  <c r="Q24" i="75" s="1"/>
  <c r="P22" i="75"/>
  <c r="P24" i="75" s="1"/>
  <c r="O20" i="75"/>
  <c r="O22" i="75" s="1"/>
  <c r="O24" i="75" s="1"/>
  <c r="N20" i="75"/>
  <c r="N22" i="75" s="1"/>
  <c r="N24" i="75" s="1"/>
  <c r="M20" i="75"/>
  <c r="M22" i="75" s="1"/>
  <c r="M24" i="75" s="1"/>
  <c r="L20" i="75"/>
  <c r="L22" i="75" s="1"/>
  <c r="L24" i="75" s="1"/>
  <c r="K20" i="75"/>
  <c r="K22" i="75" s="1"/>
  <c r="K24" i="75" s="1"/>
  <c r="J20" i="75"/>
  <c r="J22" i="75" s="1"/>
  <c r="J24" i="75" s="1"/>
  <c r="I20" i="75"/>
  <c r="I22" i="75" s="1"/>
  <c r="I24" i="75" s="1"/>
  <c r="H20" i="75"/>
  <c r="H22" i="75" s="1"/>
  <c r="H24" i="75" s="1"/>
  <c r="G20" i="75"/>
  <c r="G22" i="75" s="1"/>
  <c r="G24" i="75" s="1"/>
  <c r="F20" i="75"/>
  <c r="F22" i="75" s="1"/>
  <c r="F24" i="75" s="1"/>
  <c r="E20" i="75"/>
  <c r="E22" i="75" s="1"/>
  <c r="E24" i="75" s="1"/>
  <c r="S24" i="75" l="1"/>
  <c r="Q20" i="74"/>
  <c r="R20" i="74"/>
  <c r="S20" i="74"/>
  <c r="T20" i="74"/>
  <c r="T22" i="74" s="1"/>
  <c r="T24" i="74" s="1"/>
  <c r="U20" i="74"/>
  <c r="V20" i="74"/>
  <c r="W20" i="74"/>
  <c r="X20" i="74"/>
  <c r="X22" i="74" s="1"/>
  <c r="X24" i="74" s="1"/>
  <c r="Y20" i="74"/>
  <c r="Z20" i="74"/>
  <c r="AA20" i="74"/>
  <c r="AB20" i="74"/>
  <c r="AB22" i="74" s="1"/>
  <c r="AB24" i="74" s="1"/>
  <c r="AC20" i="74"/>
  <c r="AD20" i="74"/>
  <c r="AE20" i="74"/>
  <c r="AE22" i="74" s="1"/>
  <c r="AE24" i="74" s="1"/>
  <c r="AF20" i="74"/>
  <c r="AF22" i="74" s="1"/>
  <c r="AF24" i="74" s="1"/>
  <c r="AG20" i="74"/>
  <c r="AH20" i="74"/>
  <c r="AI20" i="74"/>
  <c r="AJ20" i="74"/>
  <c r="AJ22" i="74" s="1"/>
  <c r="AJ24" i="74" s="1"/>
  <c r="AK20" i="74"/>
  <c r="P20" i="74"/>
  <c r="P22" i="74" s="1"/>
  <c r="P24" i="74" s="1"/>
  <c r="D24" i="74"/>
  <c r="W23" i="74"/>
  <c r="U23" i="74"/>
  <c r="S23" i="74"/>
  <c r="Q23" i="74"/>
  <c r="O23" i="74"/>
  <c r="M23" i="74"/>
  <c r="K23" i="74"/>
  <c r="I23" i="74"/>
  <c r="H23" i="74"/>
  <c r="G23" i="74"/>
  <c r="E23" i="74"/>
  <c r="AK22" i="74"/>
  <c r="AK24" i="74" s="1"/>
  <c r="AI22" i="74"/>
  <c r="AI24" i="74" s="1"/>
  <c r="AG22" i="74"/>
  <c r="AG24" i="74" s="1"/>
  <c r="AC22" i="74"/>
  <c r="AC24" i="74" s="1"/>
  <c r="AA22" i="74"/>
  <c r="AA24" i="74" s="1"/>
  <c r="Y22" i="74"/>
  <c r="Y24" i="74" s="1"/>
  <c r="U22" i="74"/>
  <c r="U24" i="74" s="1"/>
  <c r="Q22" i="74"/>
  <c r="Q24" i="74" s="1"/>
  <c r="O22" i="74"/>
  <c r="O24" i="74" s="1"/>
  <c r="M22" i="74"/>
  <c r="M24" i="74" s="1"/>
  <c r="K22" i="74"/>
  <c r="K24" i="74" s="1"/>
  <c r="I22" i="74"/>
  <c r="I24" i="74" s="1"/>
  <c r="E22" i="74"/>
  <c r="E24" i="74" s="1"/>
  <c r="D22" i="74"/>
  <c r="W21" i="74"/>
  <c r="U21" i="74"/>
  <c r="S21" i="74"/>
  <c r="S22" i="74" s="1"/>
  <c r="Q21" i="74"/>
  <c r="G21" i="74"/>
  <c r="G22" i="74" s="1"/>
  <c r="G24" i="74" s="1"/>
  <c r="AH22" i="74"/>
  <c r="AH24" i="74" s="1"/>
  <c r="AD22" i="74"/>
  <c r="AD24" i="74" s="1"/>
  <c r="Z22" i="74"/>
  <c r="Z24" i="74" s="1"/>
  <c r="V22" i="74"/>
  <c r="V24" i="74" s="1"/>
  <c r="R22" i="74"/>
  <c r="R24" i="74" s="1"/>
  <c r="O20" i="74"/>
  <c r="N20" i="74"/>
  <c r="N22" i="74" s="1"/>
  <c r="N24" i="74" s="1"/>
  <c r="M20" i="74"/>
  <c r="L20" i="74"/>
  <c r="L22" i="74" s="1"/>
  <c r="L24" i="74" s="1"/>
  <c r="K20" i="74"/>
  <c r="J20" i="74"/>
  <c r="J22" i="74" s="1"/>
  <c r="J24" i="74" s="1"/>
  <c r="I20" i="74"/>
  <c r="H20" i="74"/>
  <c r="H22" i="74" s="1"/>
  <c r="H24" i="74" s="1"/>
  <c r="G20" i="74"/>
  <c r="F20" i="74"/>
  <c r="F22" i="74" s="1"/>
  <c r="F24" i="74" s="1"/>
  <c r="E20" i="74"/>
  <c r="W22" i="74" l="1"/>
  <c r="W24" i="74" s="1"/>
  <c r="S24" i="74"/>
  <c r="AH24" i="73"/>
  <c r="Q20" i="73" l="1"/>
  <c r="R20" i="73"/>
  <c r="S20" i="73"/>
  <c r="T20" i="73"/>
  <c r="T22" i="73" s="1"/>
  <c r="T24" i="73" s="1"/>
  <c r="U20" i="73"/>
  <c r="V20" i="73"/>
  <c r="W20" i="73"/>
  <c r="X20" i="73"/>
  <c r="X22" i="73" s="1"/>
  <c r="X24" i="73" s="1"/>
  <c r="Y20" i="73"/>
  <c r="Z20" i="73"/>
  <c r="AA20" i="73"/>
  <c r="AB20" i="73"/>
  <c r="AB22" i="73" s="1"/>
  <c r="AB24" i="73" s="1"/>
  <c r="AC20" i="73"/>
  <c r="AD20" i="73"/>
  <c r="AE20" i="73"/>
  <c r="AF20" i="73"/>
  <c r="AF22" i="73" s="1"/>
  <c r="AF24" i="73" s="1"/>
  <c r="AG20" i="73"/>
  <c r="AH20" i="73"/>
  <c r="AI20" i="73"/>
  <c r="AJ20" i="73"/>
  <c r="AJ22" i="73" s="1"/>
  <c r="AJ24" i="73" s="1"/>
  <c r="AK20" i="73"/>
  <c r="P20" i="73"/>
  <c r="W23" i="73"/>
  <c r="U23" i="73"/>
  <c r="S23" i="73"/>
  <c r="Q23" i="73"/>
  <c r="O23" i="73"/>
  <c r="M23" i="73"/>
  <c r="K23" i="73"/>
  <c r="I23" i="73"/>
  <c r="H23" i="73"/>
  <c r="G23" i="73"/>
  <c r="E23" i="73"/>
  <c r="AI22" i="73"/>
  <c r="AI24" i="73" s="1"/>
  <c r="AE22" i="73"/>
  <c r="AE24" i="73" s="1"/>
  <c r="AA22" i="73"/>
  <c r="AA24" i="73" s="1"/>
  <c r="S22" i="73"/>
  <c r="R22" i="73"/>
  <c r="R24" i="73" s="1"/>
  <c r="O22" i="73"/>
  <c r="O24" i="73" s="1"/>
  <c r="K22" i="73"/>
  <c r="K24" i="73" s="1"/>
  <c r="D22" i="73"/>
  <c r="D24" i="73" s="1"/>
  <c r="W21" i="73"/>
  <c r="W22" i="73" s="1"/>
  <c r="U21" i="73"/>
  <c r="S21" i="73"/>
  <c r="Q21" i="73"/>
  <c r="G21" i="73"/>
  <c r="G22" i="73" s="1"/>
  <c r="G24" i="73" s="1"/>
  <c r="AK22" i="73"/>
  <c r="AK24" i="73" s="1"/>
  <c r="AH22" i="73"/>
  <c r="AG22" i="73"/>
  <c r="AG24" i="73" s="1"/>
  <c r="AD22" i="73"/>
  <c r="AD24" i="73" s="1"/>
  <c r="AC22" i="73"/>
  <c r="AC24" i="73" s="1"/>
  <c r="Z22" i="73"/>
  <c r="Z24" i="73" s="1"/>
  <c r="Y22" i="73"/>
  <c r="Y24" i="73" s="1"/>
  <c r="V22" i="73"/>
  <c r="V24" i="73" s="1"/>
  <c r="U22" i="73"/>
  <c r="Q22" i="73"/>
  <c r="Q24" i="73" s="1"/>
  <c r="P22" i="73"/>
  <c r="P24" i="73" s="1"/>
  <c r="O20" i="73"/>
  <c r="N20" i="73"/>
  <c r="N22" i="73" s="1"/>
  <c r="N24" i="73" s="1"/>
  <c r="M20" i="73"/>
  <c r="M22" i="73" s="1"/>
  <c r="M24" i="73" s="1"/>
  <c r="L20" i="73"/>
  <c r="L22" i="73" s="1"/>
  <c r="L24" i="73" s="1"/>
  <c r="K20" i="73"/>
  <c r="J20" i="73"/>
  <c r="J22" i="73" s="1"/>
  <c r="J24" i="73" s="1"/>
  <c r="I20" i="73"/>
  <c r="I22" i="73" s="1"/>
  <c r="I24" i="73" s="1"/>
  <c r="H20" i="73"/>
  <c r="H22" i="73" s="1"/>
  <c r="H24" i="73" s="1"/>
  <c r="G20" i="73"/>
  <c r="F20" i="73"/>
  <c r="F22" i="73" s="1"/>
  <c r="F24" i="73" s="1"/>
  <c r="E20" i="73"/>
  <c r="E22" i="73" s="1"/>
  <c r="E24" i="73" s="1"/>
  <c r="S24" i="73" l="1"/>
  <c r="W24" i="73"/>
  <c r="U24" i="73"/>
  <c r="S23" i="72"/>
  <c r="S21" i="72"/>
  <c r="S22" i="72" s="1"/>
  <c r="S24" i="72" s="1"/>
  <c r="R22" i="72"/>
  <c r="R24" i="72" s="1"/>
  <c r="T20" i="72"/>
  <c r="U20" i="72"/>
  <c r="U22" i="72" s="1"/>
  <c r="U21" i="72"/>
  <c r="T22" i="72"/>
  <c r="T24" i="72" s="1"/>
  <c r="U23" i="72"/>
  <c r="U24" i="72" l="1"/>
  <c r="Q20" i="72" l="1"/>
  <c r="V20" i="72"/>
  <c r="V22" i="72" s="1"/>
  <c r="V24" i="72" s="1"/>
  <c r="W20" i="72"/>
  <c r="X20" i="72"/>
  <c r="X22" i="72" s="1"/>
  <c r="X24" i="72" s="1"/>
  <c r="Y20" i="72"/>
  <c r="Y22" i="72" s="1"/>
  <c r="Y24" i="72" s="1"/>
  <c r="Z20" i="72"/>
  <c r="Z22" i="72" s="1"/>
  <c r="Z24" i="72" s="1"/>
  <c r="AA20" i="72"/>
  <c r="AA22" i="72" s="1"/>
  <c r="AA24" i="72" s="1"/>
  <c r="AB20" i="72"/>
  <c r="AB22" i="72" s="1"/>
  <c r="AB24" i="72" s="1"/>
  <c r="AC20" i="72"/>
  <c r="AC22" i="72" s="1"/>
  <c r="AC24" i="72" s="1"/>
  <c r="AD20" i="72"/>
  <c r="AD22" i="72" s="1"/>
  <c r="AD24" i="72" s="1"/>
  <c r="AE20" i="72"/>
  <c r="AE22" i="72" s="1"/>
  <c r="AE24" i="72" s="1"/>
  <c r="AF20" i="72"/>
  <c r="AF22" i="72" s="1"/>
  <c r="AF24" i="72" s="1"/>
  <c r="AG20" i="72"/>
  <c r="AH20" i="72"/>
  <c r="AH22" i="72" s="1"/>
  <c r="AH24" i="72" s="1"/>
  <c r="AI20" i="72"/>
  <c r="AI22" i="72" s="1"/>
  <c r="AI24" i="72" s="1"/>
  <c r="AJ20" i="72"/>
  <c r="AJ22" i="72" s="1"/>
  <c r="AJ24" i="72" s="1"/>
  <c r="AK20" i="72"/>
  <c r="AK22" i="72" s="1"/>
  <c r="AK24" i="72" s="1"/>
  <c r="P20" i="72"/>
  <c r="P22" i="72" s="1"/>
  <c r="P24" i="72" s="1"/>
  <c r="W23" i="72"/>
  <c r="Q23" i="72"/>
  <c r="O23" i="72"/>
  <c r="M23" i="72"/>
  <c r="K23" i="72"/>
  <c r="I23" i="72"/>
  <c r="H23" i="72"/>
  <c r="G23" i="72"/>
  <c r="E23" i="72"/>
  <c r="D22" i="72"/>
  <c r="D24" i="72" s="1"/>
  <c r="W21" i="72"/>
  <c r="Q21" i="72"/>
  <c r="G21" i="72"/>
  <c r="AG22" i="72"/>
  <c r="AG24" i="72" s="1"/>
  <c r="O20" i="72"/>
  <c r="O22" i="72" s="1"/>
  <c r="N20" i="72"/>
  <c r="N22" i="72" s="1"/>
  <c r="N24" i="72" s="1"/>
  <c r="M20" i="72"/>
  <c r="M22" i="72" s="1"/>
  <c r="M24" i="72" s="1"/>
  <c r="L20" i="72"/>
  <c r="L22" i="72" s="1"/>
  <c r="L24" i="72" s="1"/>
  <c r="K20" i="72"/>
  <c r="K22" i="72" s="1"/>
  <c r="K24" i="72" s="1"/>
  <c r="J20" i="72"/>
  <c r="J22" i="72" s="1"/>
  <c r="J24" i="72" s="1"/>
  <c r="I20" i="72"/>
  <c r="I22" i="72" s="1"/>
  <c r="H20" i="72"/>
  <c r="H22" i="72" s="1"/>
  <c r="G20" i="72"/>
  <c r="G22" i="72" s="1"/>
  <c r="G24" i="72" s="1"/>
  <c r="F20" i="72"/>
  <c r="F22" i="72" s="1"/>
  <c r="F24" i="72" s="1"/>
  <c r="E20" i="72"/>
  <c r="E22" i="72" s="1"/>
  <c r="E24" i="72" s="1"/>
  <c r="I24" i="72" l="1"/>
  <c r="O24" i="72"/>
  <c r="H24" i="72"/>
  <c r="W22" i="72"/>
  <c r="W24" i="72" s="1"/>
  <c r="Q22" i="72"/>
  <c r="Q24" i="72" s="1"/>
  <c r="Q20" i="71"/>
  <c r="Q22" i="71" s="1"/>
  <c r="R20" i="71"/>
  <c r="S20" i="71"/>
  <c r="T20" i="71"/>
  <c r="U20" i="71"/>
  <c r="U22" i="71" s="1"/>
  <c r="V20" i="71"/>
  <c r="W20" i="71"/>
  <c r="X20" i="71"/>
  <c r="Y20" i="71"/>
  <c r="Y22" i="71" s="1"/>
  <c r="Y24" i="71" s="1"/>
  <c r="Z20" i="71"/>
  <c r="AA20" i="71"/>
  <c r="AB20" i="71"/>
  <c r="AC20" i="71"/>
  <c r="AC22" i="71" s="1"/>
  <c r="AC24" i="71" s="1"/>
  <c r="AD20" i="71"/>
  <c r="AE20" i="71"/>
  <c r="AF20" i="71"/>
  <c r="AG20" i="71"/>
  <c r="AG22" i="71" s="1"/>
  <c r="AG24" i="71" s="1"/>
  <c r="AH20" i="71"/>
  <c r="AI20" i="71"/>
  <c r="P20" i="71"/>
  <c r="D24" i="71"/>
  <c r="U23" i="71"/>
  <c r="S23" i="71"/>
  <c r="Q23" i="71"/>
  <c r="O23" i="71"/>
  <c r="M23" i="71"/>
  <c r="K23" i="71"/>
  <c r="I23" i="71"/>
  <c r="H23" i="71"/>
  <c r="G23" i="71"/>
  <c r="E23" i="71"/>
  <c r="D22" i="71"/>
  <c r="U21" i="71"/>
  <c r="S21" i="71"/>
  <c r="Q21" i="71"/>
  <c r="G21" i="71"/>
  <c r="AI22" i="71"/>
  <c r="AI24" i="71" s="1"/>
  <c r="AH22" i="71"/>
  <c r="AH24" i="71" s="1"/>
  <c r="AF22" i="71"/>
  <c r="AF24" i="71" s="1"/>
  <c r="AE22" i="71"/>
  <c r="AE24" i="71" s="1"/>
  <c r="AD22" i="71"/>
  <c r="AD24" i="71" s="1"/>
  <c r="AB22" i="71"/>
  <c r="AB24" i="71" s="1"/>
  <c r="AA22" i="71"/>
  <c r="AA24" i="71" s="1"/>
  <c r="Z22" i="71"/>
  <c r="Z24" i="71" s="1"/>
  <c r="X22" i="71"/>
  <c r="X24" i="71" s="1"/>
  <c r="W22" i="71"/>
  <c r="W24" i="71" s="1"/>
  <c r="V22" i="71"/>
  <c r="V24" i="71" s="1"/>
  <c r="T22" i="71"/>
  <c r="T24" i="71" s="1"/>
  <c r="R22" i="71"/>
  <c r="R24" i="71" s="1"/>
  <c r="P22" i="71"/>
  <c r="P24" i="71" s="1"/>
  <c r="O20" i="71"/>
  <c r="O22" i="71" s="1"/>
  <c r="O24" i="71" s="1"/>
  <c r="N20" i="71"/>
  <c r="N22" i="71" s="1"/>
  <c r="N24" i="71" s="1"/>
  <c r="M20" i="71"/>
  <c r="M22" i="71" s="1"/>
  <c r="M24" i="71" s="1"/>
  <c r="L20" i="71"/>
  <c r="L22" i="71" s="1"/>
  <c r="L24" i="71" s="1"/>
  <c r="K20" i="71"/>
  <c r="K22" i="71" s="1"/>
  <c r="K24" i="71" s="1"/>
  <c r="J20" i="71"/>
  <c r="J22" i="71" s="1"/>
  <c r="J24" i="71" s="1"/>
  <c r="I20" i="71"/>
  <c r="I22" i="71" s="1"/>
  <c r="I24" i="71" s="1"/>
  <c r="H20" i="71"/>
  <c r="H22" i="71" s="1"/>
  <c r="H24" i="71" s="1"/>
  <c r="G20" i="71"/>
  <c r="G22" i="71" s="1"/>
  <c r="G24" i="71" s="1"/>
  <c r="F20" i="71"/>
  <c r="F22" i="71" s="1"/>
  <c r="F24" i="71" s="1"/>
  <c r="E20" i="71"/>
  <c r="E22" i="71" s="1"/>
  <c r="E24" i="71" s="1"/>
  <c r="U24" i="71" l="1"/>
  <c r="S22" i="71"/>
  <c r="S24" i="71" s="1"/>
  <c r="Q24" i="71"/>
  <c r="Q20" i="70"/>
  <c r="R20" i="70"/>
  <c r="R22" i="70" s="1"/>
  <c r="R24" i="70" s="1"/>
  <c r="S20" i="70"/>
  <c r="T20" i="70"/>
  <c r="U20" i="70"/>
  <c r="V20" i="70"/>
  <c r="W20" i="70"/>
  <c r="X20" i="70"/>
  <c r="Y20" i="70"/>
  <c r="Z20" i="70"/>
  <c r="AA20" i="70"/>
  <c r="AB20" i="70"/>
  <c r="AB22" i="70" s="1"/>
  <c r="AB24" i="70" s="1"/>
  <c r="AC20" i="70"/>
  <c r="AD20" i="70"/>
  <c r="AE20" i="70"/>
  <c r="AF20" i="70"/>
  <c r="AF22" i="70" s="1"/>
  <c r="AF24" i="70" s="1"/>
  <c r="AG20" i="70"/>
  <c r="AH20" i="70"/>
  <c r="AI20" i="70"/>
  <c r="P20" i="70"/>
  <c r="AG24" i="70"/>
  <c r="D24" i="70"/>
  <c r="U23" i="70"/>
  <c r="S23" i="70"/>
  <c r="Q23" i="70"/>
  <c r="O23" i="70"/>
  <c r="M23" i="70"/>
  <c r="K23" i="70"/>
  <c r="I23" i="70"/>
  <c r="H23" i="70"/>
  <c r="G23" i="70"/>
  <c r="E23" i="70"/>
  <c r="D22" i="70"/>
  <c r="U21" i="70"/>
  <c r="S21" i="70"/>
  <c r="Q21" i="70"/>
  <c r="G21" i="70"/>
  <c r="AI22" i="70"/>
  <c r="AI24" i="70" s="1"/>
  <c r="AH22" i="70"/>
  <c r="AH24" i="70" s="1"/>
  <c r="AG22" i="70"/>
  <c r="AE22" i="70"/>
  <c r="AE24" i="70" s="1"/>
  <c r="AD22" i="70"/>
  <c r="AD24" i="70" s="1"/>
  <c r="AC22" i="70"/>
  <c r="AC24" i="70" s="1"/>
  <c r="AA22" i="70"/>
  <c r="AA24" i="70" s="1"/>
  <c r="Z22" i="70"/>
  <c r="Z24" i="70" s="1"/>
  <c r="Y22" i="70"/>
  <c r="Y24" i="70" s="1"/>
  <c r="X22" i="70"/>
  <c r="X24" i="70" s="1"/>
  <c r="W22" i="70"/>
  <c r="W24" i="70" s="1"/>
  <c r="V22" i="70"/>
  <c r="V24" i="70" s="1"/>
  <c r="U22" i="70"/>
  <c r="T22" i="70"/>
  <c r="T24" i="70" s="1"/>
  <c r="Q22" i="70"/>
  <c r="P22" i="70"/>
  <c r="P24" i="70" s="1"/>
  <c r="O20" i="70"/>
  <c r="O22" i="70" s="1"/>
  <c r="O24" i="70" s="1"/>
  <c r="N20" i="70"/>
  <c r="N22" i="70" s="1"/>
  <c r="N24" i="70" s="1"/>
  <c r="M20" i="70"/>
  <c r="M22" i="70" s="1"/>
  <c r="M24" i="70" s="1"/>
  <c r="L20" i="70"/>
  <c r="L22" i="70" s="1"/>
  <c r="L24" i="70" s="1"/>
  <c r="K20" i="70"/>
  <c r="K22" i="70" s="1"/>
  <c r="K24" i="70" s="1"/>
  <c r="J20" i="70"/>
  <c r="J22" i="70" s="1"/>
  <c r="J24" i="70" s="1"/>
  <c r="I20" i="70"/>
  <c r="I22" i="70" s="1"/>
  <c r="I24" i="70" s="1"/>
  <c r="H20" i="70"/>
  <c r="H22" i="70" s="1"/>
  <c r="H24" i="70" s="1"/>
  <c r="G20" i="70"/>
  <c r="G22" i="70" s="1"/>
  <c r="G24" i="70" s="1"/>
  <c r="F20" i="70"/>
  <c r="F22" i="70" s="1"/>
  <c r="F24" i="70" s="1"/>
  <c r="E20" i="70"/>
  <c r="E22" i="70" s="1"/>
  <c r="E24" i="70" s="1"/>
  <c r="S22" i="70" l="1"/>
  <c r="S24" i="70" s="1"/>
  <c r="U24" i="70"/>
  <c r="Q24" i="70"/>
  <c r="Q20" i="69" l="1"/>
  <c r="Q22" i="69" s="1"/>
  <c r="R20" i="69"/>
  <c r="S20" i="69"/>
  <c r="T20" i="69"/>
  <c r="T22" i="69" s="1"/>
  <c r="T24" i="69" s="1"/>
  <c r="U20" i="69"/>
  <c r="V20" i="69"/>
  <c r="W20" i="69"/>
  <c r="W22" i="69" s="1"/>
  <c r="W24" i="69" s="1"/>
  <c r="X20" i="69"/>
  <c r="Y20" i="69"/>
  <c r="Z20" i="69"/>
  <c r="Z22" i="69" s="1"/>
  <c r="Z24" i="69" s="1"/>
  <c r="AA20" i="69"/>
  <c r="AB20" i="69"/>
  <c r="AC20" i="69"/>
  <c r="AC22" i="69" s="1"/>
  <c r="AC24" i="69" s="1"/>
  <c r="AD20" i="69"/>
  <c r="AE20" i="69"/>
  <c r="AF20" i="69"/>
  <c r="AF22" i="69" s="1"/>
  <c r="AF24" i="69" s="1"/>
  <c r="AG20" i="69"/>
  <c r="AH20" i="69"/>
  <c r="AI20" i="69"/>
  <c r="AI22" i="69" s="1"/>
  <c r="AI24" i="69" s="1"/>
  <c r="P20" i="69"/>
  <c r="U23" i="69"/>
  <c r="S23" i="69"/>
  <c r="Q23" i="69"/>
  <c r="O23" i="69"/>
  <c r="M23" i="69"/>
  <c r="K23" i="69"/>
  <c r="I23" i="69"/>
  <c r="H23" i="69"/>
  <c r="G23" i="69"/>
  <c r="E23" i="69"/>
  <c r="D22" i="69"/>
  <c r="D24" i="69" s="1"/>
  <c r="U21" i="69"/>
  <c r="S21" i="69"/>
  <c r="Q21" i="69"/>
  <c r="G21" i="69"/>
  <c r="AH22" i="69"/>
  <c r="AH24" i="69" s="1"/>
  <c r="AG22" i="69"/>
  <c r="AG24" i="69" s="1"/>
  <c r="AE22" i="69"/>
  <c r="AE24" i="69" s="1"/>
  <c r="AD22" i="69"/>
  <c r="AD24" i="69" s="1"/>
  <c r="AB22" i="69"/>
  <c r="AB24" i="69" s="1"/>
  <c r="AA22" i="69"/>
  <c r="AA24" i="69" s="1"/>
  <c r="Y22" i="69"/>
  <c r="Y24" i="69" s="1"/>
  <c r="X22" i="69"/>
  <c r="X24" i="69" s="1"/>
  <c r="V22" i="69"/>
  <c r="V24" i="69" s="1"/>
  <c r="S22" i="69"/>
  <c r="R22" i="69"/>
  <c r="R24" i="69" s="1"/>
  <c r="P22" i="69"/>
  <c r="P24" i="69" s="1"/>
  <c r="O20" i="69"/>
  <c r="O22" i="69" s="1"/>
  <c r="O24" i="69" s="1"/>
  <c r="N20" i="69"/>
  <c r="N22" i="69" s="1"/>
  <c r="N24" i="69" s="1"/>
  <c r="M20" i="69"/>
  <c r="M22" i="69" s="1"/>
  <c r="M24" i="69" s="1"/>
  <c r="L20" i="69"/>
  <c r="L22" i="69" s="1"/>
  <c r="L24" i="69" s="1"/>
  <c r="K20" i="69"/>
  <c r="K22" i="69" s="1"/>
  <c r="K24" i="69" s="1"/>
  <c r="J20" i="69"/>
  <c r="J22" i="69" s="1"/>
  <c r="J24" i="69" s="1"/>
  <c r="I20" i="69"/>
  <c r="I22" i="69" s="1"/>
  <c r="I24" i="69" s="1"/>
  <c r="H20" i="69"/>
  <c r="H22" i="69" s="1"/>
  <c r="H24" i="69" s="1"/>
  <c r="G20" i="69"/>
  <c r="G22" i="69" s="1"/>
  <c r="G24" i="69" s="1"/>
  <c r="F20" i="69"/>
  <c r="F22" i="69" s="1"/>
  <c r="F24" i="69" s="1"/>
  <c r="E20" i="69"/>
  <c r="E22" i="69" s="1"/>
  <c r="E24" i="69" s="1"/>
  <c r="Q24" i="69" l="1"/>
  <c r="U22" i="69"/>
  <c r="U24" i="69"/>
  <c r="S24" i="69"/>
  <c r="U21" i="68"/>
  <c r="U23" i="68"/>
  <c r="Q20" i="68" l="1"/>
  <c r="R20" i="68"/>
  <c r="S20" i="68"/>
  <c r="T20" i="68"/>
  <c r="U20" i="68"/>
  <c r="U22" i="68" s="1"/>
  <c r="V20" i="68"/>
  <c r="W20" i="68"/>
  <c r="X20" i="68"/>
  <c r="Y20" i="68"/>
  <c r="Y22" i="68" s="1"/>
  <c r="Y24" i="68" s="1"/>
  <c r="Z20" i="68"/>
  <c r="AA20" i="68"/>
  <c r="AB20" i="68"/>
  <c r="AC20" i="68"/>
  <c r="AC22" i="68" s="1"/>
  <c r="AC24" i="68" s="1"/>
  <c r="AD20" i="68"/>
  <c r="AE20" i="68"/>
  <c r="AF20" i="68"/>
  <c r="AG20" i="68"/>
  <c r="AG22" i="68" s="1"/>
  <c r="AG24" i="68" s="1"/>
  <c r="AH20" i="68"/>
  <c r="AI20" i="68"/>
  <c r="P20" i="68"/>
  <c r="D24" i="68"/>
  <c r="S23" i="68"/>
  <c r="Q23" i="68"/>
  <c r="O23" i="68"/>
  <c r="M23" i="68"/>
  <c r="K23" i="68"/>
  <c r="I23" i="68"/>
  <c r="H23" i="68"/>
  <c r="G23" i="68"/>
  <c r="E23" i="68"/>
  <c r="D22" i="68"/>
  <c r="S21" i="68"/>
  <c r="Q21" i="68"/>
  <c r="G21" i="68"/>
  <c r="AI22" i="68"/>
  <c r="AI24" i="68" s="1"/>
  <c r="AH22" i="68"/>
  <c r="AH24" i="68" s="1"/>
  <c r="AF22" i="68"/>
  <c r="AF24" i="68" s="1"/>
  <c r="AE22" i="68"/>
  <c r="AE24" i="68" s="1"/>
  <c r="AD22" i="68"/>
  <c r="AD24" i="68" s="1"/>
  <c r="AB22" i="68"/>
  <c r="AB24" i="68" s="1"/>
  <c r="AA22" i="68"/>
  <c r="AA24" i="68" s="1"/>
  <c r="Z22" i="68"/>
  <c r="Z24" i="68" s="1"/>
  <c r="X22" i="68"/>
  <c r="X24" i="68" s="1"/>
  <c r="W22" i="68"/>
  <c r="W24" i="68" s="1"/>
  <c r="V22" i="68"/>
  <c r="V24" i="68" s="1"/>
  <c r="T22" i="68"/>
  <c r="T24" i="68" s="1"/>
  <c r="R22" i="68"/>
  <c r="R24" i="68" s="1"/>
  <c r="P22" i="68"/>
  <c r="P24" i="68" s="1"/>
  <c r="O20" i="68"/>
  <c r="O22" i="68" s="1"/>
  <c r="O24" i="68" s="1"/>
  <c r="N20" i="68"/>
  <c r="N22" i="68" s="1"/>
  <c r="N24" i="68" s="1"/>
  <c r="M20" i="68"/>
  <c r="M22" i="68" s="1"/>
  <c r="M24" i="68" s="1"/>
  <c r="L20" i="68"/>
  <c r="L22" i="68" s="1"/>
  <c r="L24" i="68" s="1"/>
  <c r="K20" i="68"/>
  <c r="K22" i="68" s="1"/>
  <c r="K24" i="68" s="1"/>
  <c r="J20" i="68"/>
  <c r="J22" i="68" s="1"/>
  <c r="J24" i="68" s="1"/>
  <c r="I20" i="68"/>
  <c r="I22" i="68" s="1"/>
  <c r="I24" i="68" s="1"/>
  <c r="H20" i="68"/>
  <c r="H22" i="68" s="1"/>
  <c r="H24" i="68" s="1"/>
  <c r="G20" i="68"/>
  <c r="G22" i="68" s="1"/>
  <c r="G24" i="68" s="1"/>
  <c r="F20" i="68"/>
  <c r="F22" i="68" s="1"/>
  <c r="F24" i="68" s="1"/>
  <c r="E20" i="68"/>
  <c r="E22" i="68" s="1"/>
  <c r="E24" i="68" s="1"/>
  <c r="U24" i="68" l="1"/>
  <c r="S22" i="68"/>
  <c r="Q22" i="68"/>
  <c r="Q24" i="68" s="1"/>
  <c r="S24" i="68"/>
  <c r="S21" i="67"/>
  <c r="S23" i="67"/>
  <c r="Q20" i="67" l="1"/>
  <c r="R20" i="67"/>
  <c r="S20" i="67"/>
  <c r="T20" i="67"/>
  <c r="U20" i="67"/>
  <c r="V20" i="67"/>
  <c r="W20" i="67"/>
  <c r="X20" i="67"/>
  <c r="Y20" i="67"/>
  <c r="Z20" i="67"/>
  <c r="AA20" i="67"/>
  <c r="AB20" i="67"/>
  <c r="AC20" i="67"/>
  <c r="AD20" i="67"/>
  <c r="AE20" i="67"/>
  <c r="AF20" i="67"/>
  <c r="AF22" i="67" s="1"/>
  <c r="AF24" i="67" s="1"/>
  <c r="AG20" i="67"/>
  <c r="AH20" i="67"/>
  <c r="AI20" i="67"/>
  <c r="P20" i="67"/>
  <c r="D24" i="67"/>
  <c r="U23" i="67"/>
  <c r="Q23" i="67"/>
  <c r="O23" i="67"/>
  <c r="M23" i="67"/>
  <c r="K23" i="67"/>
  <c r="I23" i="67"/>
  <c r="H23" i="67"/>
  <c r="G23" i="67"/>
  <c r="E23" i="67"/>
  <c r="D22" i="67"/>
  <c r="U21" i="67"/>
  <c r="Q21" i="67"/>
  <c r="Q22" i="67" s="1"/>
  <c r="G21" i="67"/>
  <c r="AI22" i="67"/>
  <c r="AI24" i="67" s="1"/>
  <c r="AH22" i="67"/>
  <c r="AH24" i="67" s="1"/>
  <c r="AG22" i="67"/>
  <c r="AG24" i="67" s="1"/>
  <c r="AE22" i="67"/>
  <c r="AE24" i="67" s="1"/>
  <c r="AD22" i="67"/>
  <c r="AD24" i="67" s="1"/>
  <c r="AC22" i="67"/>
  <c r="AC24" i="67" s="1"/>
  <c r="AB22" i="67"/>
  <c r="AB24" i="67" s="1"/>
  <c r="AA22" i="67"/>
  <c r="AA24" i="67" s="1"/>
  <c r="Z22" i="67"/>
  <c r="Z24" i="67" s="1"/>
  <c r="Y22" i="67"/>
  <c r="Y24" i="67" s="1"/>
  <c r="X22" i="67"/>
  <c r="X24" i="67" s="1"/>
  <c r="W22" i="67"/>
  <c r="W24" i="67" s="1"/>
  <c r="V22" i="67"/>
  <c r="V24" i="67" s="1"/>
  <c r="U22" i="67"/>
  <c r="U24" i="67" s="1"/>
  <c r="T22" i="67"/>
  <c r="T24" i="67" s="1"/>
  <c r="S22" i="67"/>
  <c r="S24" i="67" s="1"/>
  <c r="R22" i="67"/>
  <c r="R24" i="67" s="1"/>
  <c r="P22" i="67"/>
  <c r="P24" i="67" s="1"/>
  <c r="O20" i="67"/>
  <c r="O22" i="67" s="1"/>
  <c r="O24" i="67" s="1"/>
  <c r="N20" i="67"/>
  <c r="N22" i="67" s="1"/>
  <c r="N24" i="67" s="1"/>
  <c r="M20" i="67"/>
  <c r="M22" i="67" s="1"/>
  <c r="M24" i="67" s="1"/>
  <c r="L20" i="67"/>
  <c r="L22" i="67" s="1"/>
  <c r="L24" i="67" s="1"/>
  <c r="K20" i="67"/>
  <c r="K22" i="67" s="1"/>
  <c r="K24" i="67" s="1"/>
  <c r="J20" i="67"/>
  <c r="J22" i="67" s="1"/>
  <c r="J24" i="67" s="1"/>
  <c r="I20" i="67"/>
  <c r="I22" i="67" s="1"/>
  <c r="I24" i="67" s="1"/>
  <c r="H20" i="67"/>
  <c r="H22" i="67" s="1"/>
  <c r="H24" i="67" s="1"/>
  <c r="G20" i="67"/>
  <c r="G22" i="67" s="1"/>
  <c r="G24" i="67" s="1"/>
  <c r="F20" i="67"/>
  <c r="F22" i="67" s="1"/>
  <c r="F24" i="67" s="1"/>
  <c r="E20" i="67"/>
  <c r="E22" i="67" s="1"/>
  <c r="E24" i="67" s="1"/>
  <c r="Q24" i="67" l="1"/>
  <c r="P23" i="66"/>
  <c r="Q20" i="66" l="1"/>
  <c r="R20" i="66"/>
  <c r="S20" i="66"/>
  <c r="T20" i="66"/>
  <c r="U20" i="66"/>
  <c r="V20" i="66"/>
  <c r="W20" i="66"/>
  <c r="X20" i="66"/>
  <c r="Y20" i="66"/>
  <c r="Z20" i="66"/>
  <c r="AA20" i="66"/>
  <c r="AB20" i="66"/>
  <c r="AC20" i="66"/>
  <c r="AD20" i="66"/>
  <c r="AE20" i="66"/>
  <c r="AF20" i="66"/>
  <c r="AG20" i="66"/>
  <c r="AH20" i="66"/>
  <c r="AI20" i="66"/>
  <c r="P20" i="66"/>
  <c r="P22" i="66" s="1"/>
  <c r="P24" i="66" s="1"/>
  <c r="U23" i="66"/>
  <c r="S23" i="66"/>
  <c r="Q23" i="66"/>
  <c r="O23" i="66"/>
  <c r="M23" i="66"/>
  <c r="K23" i="66"/>
  <c r="I23" i="66"/>
  <c r="H23" i="66"/>
  <c r="G23" i="66"/>
  <c r="E23" i="66"/>
  <c r="AF22" i="66"/>
  <c r="AF24" i="66" s="1"/>
  <c r="D22" i="66"/>
  <c r="D24" i="66" s="1"/>
  <c r="U21" i="66"/>
  <c r="S21" i="66"/>
  <c r="Q21" i="66"/>
  <c r="G21" i="66"/>
  <c r="AI22" i="66"/>
  <c r="AI24" i="66" s="1"/>
  <c r="AH22" i="66"/>
  <c r="AH24" i="66" s="1"/>
  <c r="AG22" i="66"/>
  <c r="AG24" i="66" s="1"/>
  <c r="AE22" i="66"/>
  <c r="AE24" i="66" s="1"/>
  <c r="AD22" i="66"/>
  <c r="AD24" i="66" s="1"/>
  <c r="AC22" i="66"/>
  <c r="AC24" i="66" s="1"/>
  <c r="AB22" i="66"/>
  <c r="AB24" i="66" s="1"/>
  <c r="AA22" i="66"/>
  <c r="AA24" i="66" s="1"/>
  <c r="Z22" i="66"/>
  <c r="Z24" i="66" s="1"/>
  <c r="Y22" i="66"/>
  <c r="Y24" i="66" s="1"/>
  <c r="X22" i="66"/>
  <c r="X24" i="66" s="1"/>
  <c r="W22" i="66"/>
  <c r="W24" i="66" s="1"/>
  <c r="V22" i="66"/>
  <c r="V24" i="66" s="1"/>
  <c r="U22" i="66"/>
  <c r="U24" i="66" s="1"/>
  <c r="T22" i="66"/>
  <c r="T24" i="66" s="1"/>
  <c r="S22" i="66"/>
  <c r="S24" i="66" s="1"/>
  <c r="R22" i="66"/>
  <c r="R24" i="66" s="1"/>
  <c r="O20" i="66"/>
  <c r="O22" i="66" s="1"/>
  <c r="O24" i="66" s="1"/>
  <c r="N20" i="66"/>
  <c r="N22" i="66" s="1"/>
  <c r="N24" i="66" s="1"/>
  <c r="M20" i="66"/>
  <c r="M22" i="66" s="1"/>
  <c r="M24" i="66" s="1"/>
  <c r="L20" i="66"/>
  <c r="L22" i="66" s="1"/>
  <c r="L24" i="66" s="1"/>
  <c r="K20" i="66"/>
  <c r="K22" i="66" s="1"/>
  <c r="K24" i="66" s="1"/>
  <c r="J20" i="66"/>
  <c r="J22" i="66" s="1"/>
  <c r="J24" i="66" s="1"/>
  <c r="I20" i="66"/>
  <c r="I22" i="66" s="1"/>
  <c r="I24" i="66" s="1"/>
  <c r="H20" i="66"/>
  <c r="H22" i="66" s="1"/>
  <c r="H24" i="66" s="1"/>
  <c r="G20" i="66"/>
  <c r="G22" i="66" s="1"/>
  <c r="G24" i="66" s="1"/>
  <c r="F20" i="66"/>
  <c r="F22" i="66" s="1"/>
  <c r="F24" i="66" s="1"/>
  <c r="E20" i="66"/>
  <c r="E22" i="66" s="1"/>
  <c r="E24" i="66" s="1"/>
  <c r="Q22" i="66" l="1"/>
  <c r="Q24" i="66" s="1"/>
  <c r="T26" i="65"/>
  <c r="Q20" i="65" l="1"/>
  <c r="R20" i="65"/>
  <c r="S20" i="65"/>
  <c r="S22" i="65" s="1"/>
  <c r="S24" i="65" s="1"/>
  <c r="T20" i="65"/>
  <c r="U20" i="65"/>
  <c r="V20" i="65"/>
  <c r="W20" i="65"/>
  <c r="W22" i="65" s="1"/>
  <c r="W24" i="65" s="1"/>
  <c r="X20" i="65"/>
  <c r="Y20" i="65"/>
  <c r="Z20" i="65"/>
  <c r="AA20" i="65"/>
  <c r="AA22" i="65" s="1"/>
  <c r="AA24" i="65" s="1"/>
  <c r="AB20" i="65"/>
  <c r="AC20" i="65"/>
  <c r="AD20" i="65"/>
  <c r="AE20" i="65"/>
  <c r="AE22" i="65" s="1"/>
  <c r="AE24" i="65" s="1"/>
  <c r="AF20" i="65"/>
  <c r="AG20" i="65"/>
  <c r="AH20" i="65"/>
  <c r="AI20" i="65"/>
  <c r="AI22" i="65" s="1"/>
  <c r="AI24" i="65" s="1"/>
  <c r="P20" i="65"/>
  <c r="P22" i="65" s="1"/>
  <c r="P24" i="65" s="1"/>
  <c r="D24" i="65"/>
  <c r="U23" i="65"/>
  <c r="S23" i="65"/>
  <c r="Q23" i="65"/>
  <c r="O23" i="65"/>
  <c r="M23" i="65"/>
  <c r="K23" i="65"/>
  <c r="I23" i="65"/>
  <c r="H23" i="65"/>
  <c r="G23" i="65"/>
  <c r="E23" i="65"/>
  <c r="D22" i="65"/>
  <c r="U21" i="65"/>
  <c r="S21" i="65"/>
  <c r="Q21" i="65"/>
  <c r="Q22" i="65" s="1"/>
  <c r="G21" i="65"/>
  <c r="AH22" i="65"/>
  <c r="AH24" i="65" s="1"/>
  <c r="AG22" i="65"/>
  <c r="AG24" i="65" s="1"/>
  <c r="AF22" i="65"/>
  <c r="AF24" i="65" s="1"/>
  <c r="AD22" i="65"/>
  <c r="AD24" i="65" s="1"/>
  <c r="AC22" i="65"/>
  <c r="AC24" i="65" s="1"/>
  <c r="AB22" i="65"/>
  <c r="AB24" i="65" s="1"/>
  <c r="Z22" i="65"/>
  <c r="Z24" i="65" s="1"/>
  <c r="Y22" i="65"/>
  <c r="Y24" i="65" s="1"/>
  <c r="X22" i="65"/>
  <c r="X24" i="65" s="1"/>
  <c r="V22" i="65"/>
  <c r="V24" i="65" s="1"/>
  <c r="U22" i="65"/>
  <c r="U24" i="65" s="1"/>
  <c r="T22" i="65"/>
  <c r="T24" i="65" s="1"/>
  <c r="R22" i="65"/>
  <c r="R24" i="65" s="1"/>
  <c r="O20" i="65"/>
  <c r="O22" i="65" s="1"/>
  <c r="O24" i="65" s="1"/>
  <c r="N20" i="65"/>
  <c r="N22" i="65" s="1"/>
  <c r="N24" i="65" s="1"/>
  <c r="M20" i="65"/>
  <c r="M22" i="65" s="1"/>
  <c r="M24" i="65" s="1"/>
  <c r="L20" i="65"/>
  <c r="L22" i="65" s="1"/>
  <c r="L24" i="65" s="1"/>
  <c r="K20" i="65"/>
  <c r="K22" i="65" s="1"/>
  <c r="K24" i="65" s="1"/>
  <c r="J20" i="65"/>
  <c r="J22" i="65" s="1"/>
  <c r="J24" i="65" s="1"/>
  <c r="I20" i="65"/>
  <c r="I22" i="65" s="1"/>
  <c r="I24" i="65" s="1"/>
  <c r="H20" i="65"/>
  <c r="H22" i="65" s="1"/>
  <c r="H24" i="65" s="1"/>
  <c r="G20" i="65"/>
  <c r="G22" i="65" s="1"/>
  <c r="G24" i="65" s="1"/>
  <c r="F20" i="65"/>
  <c r="F22" i="65" s="1"/>
  <c r="F24" i="65" s="1"/>
  <c r="E20" i="65"/>
  <c r="E22" i="65" s="1"/>
  <c r="E24" i="65" s="1"/>
  <c r="Q24" i="65" l="1"/>
  <c r="Q20" i="64"/>
  <c r="R20" i="64"/>
  <c r="S20" i="64"/>
  <c r="T20" i="64"/>
  <c r="U20" i="64"/>
  <c r="V20" i="64"/>
  <c r="W20" i="64"/>
  <c r="X20" i="64"/>
  <c r="Y20" i="64"/>
  <c r="Z20" i="64"/>
  <c r="AA20" i="64"/>
  <c r="AB20" i="64"/>
  <c r="AC20" i="64"/>
  <c r="AD20" i="64"/>
  <c r="AE20" i="64"/>
  <c r="AF20" i="64"/>
  <c r="AF22" i="64" s="1"/>
  <c r="AF24" i="64" s="1"/>
  <c r="AG20" i="64"/>
  <c r="AH20" i="64"/>
  <c r="AI20" i="64"/>
  <c r="P20" i="64"/>
  <c r="D24" i="64"/>
  <c r="U23" i="64"/>
  <c r="S23" i="64"/>
  <c r="Q23" i="64"/>
  <c r="O23" i="64"/>
  <c r="M23" i="64"/>
  <c r="K23" i="64"/>
  <c r="I23" i="64"/>
  <c r="H23" i="64"/>
  <c r="G23" i="64"/>
  <c r="E23" i="64"/>
  <c r="D22" i="64"/>
  <c r="U21" i="64"/>
  <c r="S21" i="64"/>
  <c r="Q21" i="64"/>
  <c r="G21" i="64"/>
  <c r="AI22" i="64"/>
  <c r="AI24" i="64" s="1"/>
  <c r="AH22" i="64"/>
  <c r="AH24" i="64" s="1"/>
  <c r="AG22" i="64"/>
  <c r="AG24" i="64" s="1"/>
  <c r="AE22" i="64"/>
  <c r="AE24" i="64" s="1"/>
  <c r="AD22" i="64"/>
  <c r="AD24" i="64" s="1"/>
  <c r="AC22" i="64"/>
  <c r="AC24" i="64" s="1"/>
  <c r="AB22" i="64"/>
  <c r="AB24" i="64" s="1"/>
  <c r="AA22" i="64"/>
  <c r="AA24" i="64" s="1"/>
  <c r="Z22" i="64"/>
  <c r="Z24" i="64" s="1"/>
  <c r="Y22" i="64"/>
  <c r="Y24" i="64" s="1"/>
  <c r="X22" i="64"/>
  <c r="X24" i="64" s="1"/>
  <c r="W22" i="64"/>
  <c r="W24" i="64" s="1"/>
  <c r="V22" i="64"/>
  <c r="V24" i="64" s="1"/>
  <c r="U22" i="64"/>
  <c r="T22" i="64"/>
  <c r="T24" i="64" s="1"/>
  <c r="S22" i="64"/>
  <c r="S24" i="64" s="1"/>
  <c r="R22" i="64"/>
  <c r="R24" i="64" s="1"/>
  <c r="Q22" i="64"/>
  <c r="P22" i="64"/>
  <c r="P24" i="64" s="1"/>
  <c r="O20" i="64"/>
  <c r="O22" i="64" s="1"/>
  <c r="O24" i="64" s="1"/>
  <c r="N20" i="64"/>
  <c r="N22" i="64" s="1"/>
  <c r="N24" i="64" s="1"/>
  <c r="M20" i="64"/>
  <c r="M22" i="64" s="1"/>
  <c r="M24" i="64" s="1"/>
  <c r="L20" i="64"/>
  <c r="L22" i="64" s="1"/>
  <c r="L24" i="64" s="1"/>
  <c r="K20" i="64"/>
  <c r="K22" i="64" s="1"/>
  <c r="K24" i="64" s="1"/>
  <c r="J20" i="64"/>
  <c r="J22" i="64" s="1"/>
  <c r="J24" i="64" s="1"/>
  <c r="I20" i="64"/>
  <c r="I22" i="64" s="1"/>
  <c r="I24" i="64" s="1"/>
  <c r="H20" i="64"/>
  <c r="H22" i="64" s="1"/>
  <c r="H24" i="64" s="1"/>
  <c r="G20" i="64"/>
  <c r="G22" i="64" s="1"/>
  <c r="G24" i="64" s="1"/>
  <c r="F20" i="64"/>
  <c r="F22" i="64" s="1"/>
  <c r="F24" i="64" s="1"/>
  <c r="E20" i="64"/>
  <c r="E22" i="64" s="1"/>
  <c r="E24" i="64" s="1"/>
  <c r="U24" i="64" l="1"/>
  <c r="Q24" i="64"/>
  <c r="Q20" i="63"/>
  <c r="R20" i="63"/>
  <c r="S20" i="63"/>
  <c r="T20" i="63"/>
  <c r="T22" i="63" s="1"/>
  <c r="T24" i="63" s="1"/>
  <c r="U20" i="63"/>
  <c r="V20" i="63"/>
  <c r="W20" i="63"/>
  <c r="X20" i="63"/>
  <c r="Y20" i="63"/>
  <c r="Y22" i="63" s="1"/>
  <c r="Y24" i="63" s="1"/>
  <c r="Z20" i="63"/>
  <c r="AA20" i="63"/>
  <c r="AB20" i="63"/>
  <c r="AC20" i="63"/>
  <c r="AC22" i="63" s="1"/>
  <c r="AC24" i="63" s="1"/>
  <c r="AD20" i="63"/>
  <c r="AE20" i="63"/>
  <c r="AF20" i="63"/>
  <c r="AF22" i="63" s="1"/>
  <c r="AF24" i="63" s="1"/>
  <c r="AG20" i="63"/>
  <c r="AG22" i="63" s="1"/>
  <c r="AG24" i="63" s="1"/>
  <c r="AH20" i="63"/>
  <c r="AI20" i="63"/>
  <c r="P20" i="63"/>
  <c r="U23" i="63"/>
  <c r="S23" i="63"/>
  <c r="Q23" i="63"/>
  <c r="O23" i="63"/>
  <c r="M23" i="63"/>
  <c r="K23" i="63"/>
  <c r="I23" i="63"/>
  <c r="H23" i="63"/>
  <c r="G23" i="63"/>
  <c r="E23" i="63"/>
  <c r="AB22" i="63"/>
  <c r="AB24" i="63" s="1"/>
  <c r="X22" i="63"/>
  <c r="X24" i="63" s="1"/>
  <c r="L22" i="63"/>
  <c r="L24" i="63" s="1"/>
  <c r="H22" i="63"/>
  <c r="H24" i="63" s="1"/>
  <c r="D22" i="63"/>
  <c r="D24" i="63" s="1"/>
  <c r="U21" i="63"/>
  <c r="S21" i="63"/>
  <c r="P22" i="63"/>
  <c r="P24" i="63" s="1"/>
  <c r="G21" i="63"/>
  <c r="AI22" i="63"/>
  <c r="AI24" i="63" s="1"/>
  <c r="AH22" i="63"/>
  <c r="AH24" i="63" s="1"/>
  <c r="AE22" i="63"/>
  <c r="AE24" i="63" s="1"/>
  <c r="AD22" i="63"/>
  <c r="AD24" i="63" s="1"/>
  <c r="AA22" i="63"/>
  <c r="AA24" i="63" s="1"/>
  <c r="Z22" i="63"/>
  <c r="Z24" i="63" s="1"/>
  <c r="W22" i="63"/>
  <c r="W24" i="63" s="1"/>
  <c r="V22" i="63"/>
  <c r="V24" i="63" s="1"/>
  <c r="U22" i="63"/>
  <c r="U24" i="63" s="1"/>
  <c r="S22" i="63"/>
  <c r="S24" i="63" s="1"/>
  <c r="R22" i="63"/>
  <c r="R24" i="63" s="1"/>
  <c r="O20" i="63"/>
  <c r="O22" i="63" s="1"/>
  <c r="O24" i="63" s="1"/>
  <c r="N20" i="63"/>
  <c r="N22" i="63" s="1"/>
  <c r="N24" i="63" s="1"/>
  <c r="M20" i="63"/>
  <c r="M22" i="63" s="1"/>
  <c r="M24" i="63" s="1"/>
  <c r="L20" i="63"/>
  <c r="K20" i="63"/>
  <c r="K22" i="63" s="1"/>
  <c r="K24" i="63" s="1"/>
  <c r="J20" i="63"/>
  <c r="J22" i="63" s="1"/>
  <c r="J24" i="63" s="1"/>
  <c r="I20" i="63"/>
  <c r="I22" i="63" s="1"/>
  <c r="I24" i="63" s="1"/>
  <c r="H20" i="63"/>
  <c r="G20" i="63"/>
  <c r="G22" i="63" s="1"/>
  <c r="G24" i="63" s="1"/>
  <c r="F20" i="63"/>
  <c r="F22" i="63" s="1"/>
  <c r="F24" i="63" s="1"/>
  <c r="E20" i="63"/>
  <c r="E22" i="63" s="1"/>
  <c r="E24" i="63" s="1"/>
  <c r="Q21" i="63" l="1"/>
  <c r="Q22" i="63" s="1"/>
  <c r="Q24" i="63" s="1"/>
  <c r="P21" i="62"/>
  <c r="P20" i="62"/>
  <c r="P20" i="61" l="1"/>
  <c r="Q20" i="62" l="1"/>
  <c r="R20" i="62"/>
  <c r="S20" i="62"/>
  <c r="T20" i="62"/>
  <c r="U20" i="62"/>
  <c r="U22" i="62" s="1"/>
  <c r="V20" i="62"/>
  <c r="W20" i="62"/>
  <c r="X20" i="62"/>
  <c r="Y20" i="62"/>
  <c r="Y22" i="62" s="1"/>
  <c r="Y24" i="62" s="1"/>
  <c r="Z20" i="62"/>
  <c r="AA20" i="62"/>
  <c r="AA22" i="62" s="1"/>
  <c r="AA24" i="62" s="1"/>
  <c r="AB20" i="62"/>
  <c r="AC20" i="62"/>
  <c r="AC22" i="62" s="1"/>
  <c r="AC24" i="62" s="1"/>
  <c r="AD20" i="62"/>
  <c r="AE20" i="62"/>
  <c r="AF20" i="62"/>
  <c r="AG20" i="62"/>
  <c r="AG22" i="62" s="1"/>
  <c r="AG24" i="62" s="1"/>
  <c r="AH20" i="62"/>
  <c r="AI20" i="62"/>
  <c r="D24" i="62"/>
  <c r="U23" i="62"/>
  <c r="S23" i="62"/>
  <c r="Q23" i="62"/>
  <c r="O23" i="62"/>
  <c r="M23" i="62"/>
  <c r="K23" i="62"/>
  <c r="I23" i="62"/>
  <c r="H23" i="62"/>
  <c r="G23" i="62"/>
  <c r="E23" i="62"/>
  <c r="D22" i="62"/>
  <c r="U21" i="62"/>
  <c r="S21" i="62"/>
  <c r="Q21" i="62"/>
  <c r="G21" i="62"/>
  <c r="AI22" i="62"/>
  <c r="AI24" i="62" s="1"/>
  <c r="AH22" i="62"/>
  <c r="AH24" i="62" s="1"/>
  <c r="AF22" i="62"/>
  <c r="AF24" i="62" s="1"/>
  <c r="AE22" i="62"/>
  <c r="AE24" i="62" s="1"/>
  <c r="AD22" i="62"/>
  <c r="AD24" i="62" s="1"/>
  <c r="AB22" i="62"/>
  <c r="AB24" i="62" s="1"/>
  <c r="Z22" i="62"/>
  <c r="Z24" i="62" s="1"/>
  <c r="X22" i="62"/>
  <c r="X24" i="62" s="1"/>
  <c r="W22" i="62"/>
  <c r="W24" i="62" s="1"/>
  <c r="V22" i="62"/>
  <c r="V24" i="62" s="1"/>
  <c r="T22" i="62"/>
  <c r="T24" i="62" s="1"/>
  <c r="S22" i="62"/>
  <c r="S24" i="62" s="1"/>
  <c r="R22" i="62"/>
  <c r="R24" i="62" s="1"/>
  <c r="O20" i="62"/>
  <c r="O22" i="62" s="1"/>
  <c r="O24" i="62" s="1"/>
  <c r="N20" i="62"/>
  <c r="N22" i="62" s="1"/>
  <c r="N24" i="62" s="1"/>
  <c r="M20" i="62"/>
  <c r="M22" i="62" s="1"/>
  <c r="M24" i="62" s="1"/>
  <c r="L20" i="62"/>
  <c r="L22" i="62" s="1"/>
  <c r="L24" i="62" s="1"/>
  <c r="K20" i="62"/>
  <c r="K22" i="62" s="1"/>
  <c r="K24" i="62" s="1"/>
  <c r="J20" i="62"/>
  <c r="J22" i="62" s="1"/>
  <c r="J24" i="62" s="1"/>
  <c r="I20" i="62"/>
  <c r="I22" i="62" s="1"/>
  <c r="I24" i="62" s="1"/>
  <c r="H20" i="62"/>
  <c r="H22" i="62" s="1"/>
  <c r="H24" i="62" s="1"/>
  <c r="G20" i="62"/>
  <c r="G22" i="62" s="1"/>
  <c r="G24" i="62" s="1"/>
  <c r="F20" i="62"/>
  <c r="F22" i="62" s="1"/>
  <c r="F24" i="62" s="1"/>
  <c r="E20" i="62"/>
  <c r="E22" i="62" s="1"/>
  <c r="E24" i="62" s="1"/>
  <c r="Q22" i="62" l="1"/>
  <c r="Q24" i="62"/>
  <c r="U24" i="62"/>
  <c r="Q21" i="60" l="1"/>
  <c r="P20" i="55"/>
  <c r="Q21" i="61"/>
  <c r="Q21" i="59"/>
  <c r="Q21" i="56"/>
  <c r="R20" i="61" l="1"/>
  <c r="S20" i="61"/>
  <c r="T20" i="61"/>
  <c r="U20" i="61"/>
  <c r="V20" i="61"/>
  <c r="W20" i="61"/>
  <c r="X20" i="61"/>
  <c r="Y20" i="61"/>
  <c r="Z20" i="61"/>
  <c r="AA20" i="61"/>
  <c r="AB20" i="61"/>
  <c r="AC20" i="61"/>
  <c r="AD20" i="61"/>
  <c r="AE20" i="61"/>
  <c r="AF20" i="61"/>
  <c r="AG20" i="61"/>
  <c r="AH20" i="61"/>
  <c r="AI20" i="61"/>
  <c r="AI22" i="61" s="1"/>
  <c r="AI24" i="61" s="1"/>
  <c r="D24" i="61"/>
  <c r="U23" i="61"/>
  <c r="S23" i="61"/>
  <c r="Q23" i="61"/>
  <c r="O23" i="61"/>
  <c r="M23" i="61"/>
  <c r="K23" i="61"/>
  <c r="I23" i="61"/>
  <c r="H23" i="61"/>
  <c r="G23" i="61"/>
  <c r="E23" i="61"/>
  <c r="D22" i="61"/>
  <c r="U21" i="61"/>
  <c r="S21" i="61"/>
  <c r="G21" i="61"/>
  <c r="AH22" i="61"/>
  <c r="AH24" i="61" s="1"/>
  <c r="AG22" i="61"/>
  <c r="AG24" i="61" s="1"/>
  <c r="AF22" i="61"/>
  <c r="AF24" i="61" s="1"/>
  <c r="AE22" i="61"/>
  <c r="AE24" i="61" s="1"/>
  <c r="AD22" i="61"/>
  <c r="AD24" i="61" s="1"/>
  <c r="AC22" i="61"/>
  <c r="AC24" i="61" s="1"/>
  <c r="AB22" i="61"/>
  <c r="AB24" i="61" s="1"/>
  <c r="AA22" i="61"/>
  <c r="AA24" i="61" s="1"/>
  <c r="Z22" i="61"/>
  <c r="Z24" i="61" s="1"/>
  <c r="Y22" i="61"/>
  <c r="Y24" i="61" s="1"/>
  <c r="X22" i="61"/>
  <c r="X24" i="61" s="1"/>
  <c r="W22" i="61"/>
  <c r="W24" i="61" s="1"/>
  <c r="V22" i="61"/>
  <c r="V24" i="61" s="1"/>
  <c r="U22" i="61"/>
  <c r="U24" i="61" s="1"/>
  <c r="T22" i="61"/>
  <c r="T24" i="61" s="1"/>
  <c r="S22" i="61"/>
  <c r="S24" i="61" s="1"/>
  <c r="R22" i="61"/>
  <c r="R24" i="61" s="1"/>
  <c r="P22" i="61"/>
  <c r="P24" i="61" s="1"/>
  <c r="P22" i="62" s="1"/>
  <c r="P24" i="62" s="1"/>
  <c r="O20" i="61"/>
  <c r="O22" i="61" s="1"/>
  <c r="O24" i="61" s="1"/>
  <c r="N20" i="61"/>
  <c r="N22" i="61" s="1"/>
  <c r="N24" i="61" s="1"/>
  <c r="M20" i="61"/>
  <c r="M22" i="61" s="1"/>
  <c r="M24" i="61" s="1"/>
  <c r="L20" i="61"/>
  <c r="L22" i="61" s="1"/>
  <c r="L24" i="61" s="1"/>
  <c r="K20" i="61"/>
  <c r="K22" i="61" s="1"/>
  <c r="K24" i="61" s="1"/>
  <c r="J20" i="61"/>
  <c r="J22" i="61" s="1"/>
  <c r="J24" i="61" s="1"/>
  <c r="I20" i="61"/>
  <c r="I22" i="61" s="1"/>
  <c r="I24" i="61" s="1"/>
  <c r="H20" i="61"/>
  <c r="H22" i="61" s="1"/>
  <c r="H24" i="61" s="1"/>
  <c r="G20" i="61"/>
  <c r="G22" i="61" s="1"/>
  <c r="G24" i="61" s="1"/>
  <c r="F20" i="61"/>
  <c r="F22" i="61" s="1"/>
  <c r="F24" i="61" s="1"/>
  <c r="E20" i="61"/>
  <c r="E22" i="61" s="1"/>
  <c r="E24" i="61" s="1"/>
  <c r="R20" i="60" l="1"/>
  <c r="S20" i="60"/>
  <c r="S22" i="60" s="1"/>
  <c r="S24" i="60" s="1"/>
  <c r="T20" i="60"/>
  <c r="T22" i="60" s="1"/>
  <c r="T24" i="60" s="1"/>
  <c r="U20" i="60"/>
  <c r="U22" i="60" s="1"/>
  <c r="U24" i="60" s="1"/>
  <c r="V20" i="60"/>
  <c r="W20" i="60"/>
  <c r="X20" i="60"/>
  <c r="Y20" i="60"/>
  <c r="Z20" i="60"/>
  <c r="Z22" i="60" s="1"/>
  <c r="Z24" i="60" s="1"/>
  <c r="AA20" i="60"/>
  <c r="AB20" i="60"/>
  <c r="AB22" i="60" s="1"/>
  <c r="AB24" i="60" s="1"/>
  <c r="AC20" i="60"/>
  <c r="AD20" i="60"/>
  <c r="AD22" i="60" s="1"/>
  <c r="AD24" i="60" s="1"/>
  <c r="AE20" i="60"/>
  <c r="AE22" i="60" s="1"/>
  <c r="AE24" i="60" s="1"/>
  <c r="AF20" i="60"/>
  <c r="AF22" i="60" s="1"/>
  <c r="AF24" i="60" s="1"/>
  <c r="AG20" i="60"/>
  <c r="AG22" i="60" s="1"/>
  <c r="AG24" i="60" s="1"/>
  <c r="AH20" i="60"/>
  <c r="AI20" i="60"/>
  <c r="P20" i="60"/>
  <c r="P20" i="59"/>
  <c r="U23" i="60"/>
  <c r="S23" i="60"/>
  <c r="Q23" i="60"/>
  <c r="O23" i="60"/>
  <c r="M23" i="60"/>
  <c r="K23" i="60"/>
  <c r="I23" i="60"/>
  <c r="H23" i="60"/>
  <c r="G23" i="60"/>
  <c r="E23" i="60"/>
  <c r="R22" i="60"/>
  <c r="R24" i="60" s="1"/>
  <c r="F22" i="60"/>
  <c r="F24" i="60" s="1"/>
  <c r="D22" i="60"/>
  <c r="D24" i="60" s="1"/>
  <c r="U21" i="60"/>
  <c r="S21" i="60"/>
  <c r="G21" i="60"/>
  <c r="AI22" i="60"/>
  <c r="AI24" i="60" s="1"/>
  <c r="AH22" i="60"/>
  <c r="AH24" i="60" s="1"/>
  <c r="AC22" i="60"/>
  <c r="AC24" i="60" s="1"/>
  <c r="AA22" i="60"/>
  <c r="AA24" i="60" s="1"/>
  <c r="Y22" i="60"/>
  <c r="Y24" i="60" s="1"/>
  <c r="X22" i="60"/>
  <c r="X24" i="60" s="1"/>
  <c r="W22" i="60"/>
  <c r="W24" i="60" s="1"/>
  <c r="V22" i="60"/>
  <c r="V24" i="60" s="1"/>
  <c r="O20" i="60"/>
  <c r="O22" i="60" s="1"/>
  <c r="O24" i="60" s="1"/>
  <c r="N20" i="60"/>
  <c r="N22" i="60" s="1"/>
  <c r="N24" i="60" s="1"/>
  <c r="M20" i="60"/>
  <c r="M22" i="60" s="1"/>
  <c r="M24" i="60" s="1"/>
  <c r="L20" i="60"/>
  <c r="L22" i="60" s="1"/>
  <c r="L24" i="60" s="1"/>
  <c r="K20" i="60"/>
  <c r="K22" i="60" s="1"/>
  <c r="K24" i="60" s="1"/>
  <c r="J20" i="60"/>
  <c r="J22" i="60" s="1"/>
  <c r="J24" i="60" s="1"/>
  <c r="I20" i="60"/>
  <c r="I22" i="60" s="1"/>
  <c r="I24" i="60" s="1"/>
  <c r="H20" i="60"/>
  <c r="H22" i="60" s="1"/>
  <c r="H24" i="60" s="1"/>
  <c r="G20" i="60"/>
  <c r="G22" i="60" s="1"/>
  <c r="G24" i="60" s="1"/>
  <c r="F20" i="60"/>
  <c r="E20" i="60"/>
  <c r="E22" i="60" s="1"/>
  <c r="E24" i="60" s="1"/>
  <c r="P21" i="59" l="1"/>
  <c r="R20" i="59" l="1"/>
  <c r="S20" i="59"/>
  <c r="T20" i="59"/>
  <c r="T22" i="59" s="1"/>
  <c r="T24" i="59" s="1"/>
  <c r="U20" i="59"/>
  <c r="V20" i="59"/>
  <c r="W20" i="59"/>
  <c r="X20" i="59"/>
  <c r="X22" i="59" s="1"/>
  <c r="X24" i="59" s="1"/>
  <c r="Y20" i="59"/>
  <c r="Z20" i="59"/>
  <c r="AA20" i="59"/>
  <c r="AB20" i="59"/>
  <c r="AB22" i="59" s="1"/>
  <c r="AB24" i="59" s="1"/>
  <c r="AC20" i="59"/>
  <c r="AD20" i="59"/>
  <c r="AE20" i="59"/>
  <c r="AF20" i="59"/>
  <c r="AF22" i="59" s="1"/>
  <c r="AF24" i="59" s="1"/>
  <c r="AG20" i="59"/>
  <c r="AH20" i="59"/>
  <c r="AI20" i="59"/>
  <c r="P22" i="59"/>
  <c r="P24" i="59" s="1"/>
  <c r="P20" i="58"/>
  <c r="D24" i="59"/>
  <c r="U23" i="59"/>
  <c r="S23" i="59"/>
  <c r="Q23" i="59"/>
  <c r="O23" i="59"/>
  <c r="M23" i="59"/>
  <c r="K23" i="59"/>
  <c r="I23" i="59"/>
  <c r="H23" i="59"/>
  <c r="G23" i="59"/>
  <c r="E23" i="59"/>
  <c r="D22" i="59"/>
  <c r="U21" i="59"/>
  <c r="S21" i="59"/>
  <c r="G21" i="59"/>
  <c r="AI22" i="59"/>
  <c r="AI24" i="59" s="1"/>
  <c r="AH22" i="59"/>
  <c r="AH24" i="59" s="1"/>
  <c r="AG22" i="59"/>
  <c r="AG24" i="59" s="1"/>
  <c r="AE22" i="59"/>
  <c r="AE24" i="59" s="1"/>
  <c r="AD22" i="59"/>
  <c r="AD24" i="59" s="1"/>
  <c r="AC22" i="59"/>
  <c r="AC24" i="59" s="1"/>
  <c r="AA22" i="59"/>
  <c r="AA24" i="59" s="1"/>
  <c r="Z22" i="59"/>
  <c r="Z24" i="59" s="1"/>
  <c r="Y22" i="59"/>
  <c r="Y24" i="59" s="1"/>
  <c r="W22" i="59"/>
  <c r="W24" i="59" s="1"/>
  <c r="V22" i="59"/>
  <c r="V24" i="59" s="1"/>
  <c r="U22" i="59"/>
  <c r="U24" i="59" s="1"/>
  <c r="S22" i="59"/>
  <c r="S24" i="59" s="1"/>
  <c r="R22" i="59"/>
  <c r="R24" i="59" s="1"/>
  <c r="O20" i="59"/>
  <c r="O22" i="59" s="1"/>
  <c r="O24" i="59" s="1"/>
  <c r="N20" i="59"/>
  <c r="N22" i="59" s="1"/>
  <c r="N24" i="59" s="1"/>
  <c r="M20" i="59"/>
  <c r="M22" i="59" s="1"/>
  <c r="M24" i="59" s="1"/>
  <c r="L20" i="59"/>
  <c r="L22" i="59" s="1"/>
  <c r="L24" i="59" s="1"/>
  <c r="K20" i="59"/>
  <c r="K22" i="59" s="1"/>
  <c r="K24" i="59" s="1"/>
  <c r="J20" i="59"/>
  <c r="J22" i="59" s="1"/>
  <c r="J24" i="59" s="1"/>
  <c r="I20" i="59"/>
  <c r="I22" i="59" s="1"/>
  <c r="I24" i="59" s="1"/>
  <c r="H20" i="59"/>
  <c r="H22" i="59" s="1"/>
  <c r="H24" i="59" s="1"/>
  <c r="G20" i="59"/>
  <c r="G22" i="59" s="1"/>
  <c r="G24" i="59" s="1"/>
  <c r="F20" i="59"/>
  <c r="F22" i="59" s="1"/>
  <c r="F24" i="59" s="1"/>
  <c r="E20" i="59"/>
  <c r="E22" i="59" s="1"/>
  <c r="E24" i="59" s="1"/>
  <c r="R20" i="58" l="1"/>
  <c r="S20" i="58"/>
  <c r="T20" i="58"/>
  <c r="U20" i="58"/>
  <c r="U22" i="58" s="1"/>
  <c r="U24" i="58" s="1"/>
  <c r="V20" i="58"/>
  <c r="W20" i="58"/>
  <c r="X20" i="58"/>
  <c r="Y20" i="58"/>
  <c r="Y22" i="58" s="1"/>
  <c r="Y24" i="58" s="1"/>
  <c r="Z20" i="58"/>
  <c r="AA20" i="58"/>
  <c r="AB20" i="58"/>
  <c r="AC20" i="58"/>
  <c r="AC22" i="58" s="1"/>
  <c r="AC24" i="58" s="1"/>
  <c r="AD20" i="58"/>
  <c r="AE20" i="58"/>
  <c r="AF20" i="58"/>
  <c r="AG20" i="58"/>
  <c r="AG22" i="58" s="1"/>
  <c r="AG24" i="58" s="1"/>
  <c r="AH20" i="58"/>
  <c r="AH22" i="58" s="1"/>
  <c r="AH24" i="58" s="1"/>
  <c r="AI20" i="58"/>
  <c r="P22" i="58"/>
  <c r="P24" i="58" s="1"/>
  <c r="P20" i="54"/>
  <c r="D24" i="58"/>
  <c r="U23" i="58"/>
  <c r="S23" i="58"/>
  <c r="Q23" i="58"/>
  <c r="O23" i="58"/>
  <c r="M23" i="58"/>
  <c r="K23" i="58"/>
  <c r="I23" i="58"/>
  <c r="H23" i="58"/>
  <c r="G23" i="58"/>
  <c r="E23" i="58"/>
  <c r="D22" i="58"/>
  <c r="U21" i="58"/>
  <c r="S21" i="58"/>
  <c r="Q21" i="58"/>
  <c r="G21" i="58"/>
  <c r="AI22" i="58"/>
  <c r="AI24" i="58" s="1"/>
  <c r="AF22" i="58"/>
  <c r="AF24" i="58" s="1"/>
  <c r="AE22" i="58"/>
  <c r="AE24" i="58" s="1"/>
  <c r="AD22" i="58"/>
  <c r="AD24" i="58" s="1"/>
  <c r="AB22" i="58"/>
  <c r="AB24" i="58" s="1"/>
  <c r="AA22" i="58"/>
  <c r="AA24" i="58" s="1"/>
  <c r="Z22" i="58"/>
  <c r="Z24" i="58" s="1"/>
  <c r="X22" i="58"/>
  <c r="X24" i="58" s="1"/>
  <c r="W22" i="58"/>
  <c r="W24" i="58" s="1"/>
  <c r="V22" i="58"/>
  <c r="V24" i="58" s="1"/>
  <c r="T22" i="58"/>
  <c r="T24" i="58" s="1"/>
  <c r="S22" i="58"/>
  <c r="S24" i="58" s="1"/>
  <c r="R22" i="58"/>
  <c r="R24" i="58" s="1"/>
  <c r="O20" i="58"/>
  <c r="O22" i="58" s="1"/>
  <c r="O24" i="58" s="1"/>
  <c r="N20" i="58"/>
  <c r="N22" i="58" s="1"/>
  <c r="N24" i="58" s="1"/>
  <c r="M20" i="58"/>
  <c r="M22" i="58" s="1"/>
  <c r="M24" i="58" s="1"/>
  <c r="L20" i="58"/>
  <c r="L22" i="58" s="1"/>
  <c r="L24" i="58" s="1"/>
  <c r="K20" i="58"/>
  <c r="K22" i="58" s="1"/>
  <c r="K24" i="58" s="1"/>
  <c r="J20" i="58"/>
  <c r="J22" i="58" s="1"/>
  <c r="J24" i="58" s="1"/>
  <c r="I20" i="58"/>
  <c r="I22" i="58" s="1"/>
  <c r="I24" i="58" s="1"/>
  <c r="H20" i="58"/>
  <c r="H22" i="58" s="1"/>
  <c r="H24" i="58" s="1"/>
  <c r="G20" i="58"/>
  <c r="G22" i="58" s="1"/>
  <c r="G24" i="58" s="1"/>
  <c r="F20" i="58"/>
  <c r="F22" i="58" s="1"/>
  <c r="F24" i="58" s="1"/>
  <c r="E20" i="58"/>
  <c r="E22" i="58" s="1"/>
  <c r="E24" i="58" s="1"/>
  <c r="AF23" i="57" l="1"/>
  <c r="AE23" i="57"/>
  <c r="AD23" i="57"/>
  <c r="AA23" i="57"/>
  <c r="R20" i="57" l="1"/>
  <c r="S20" i="57"/>
  <c r="T20" i="57"/>
  <c r="U20" i="57"/>
  <c r="V20" i="57"/>
  <c r="W20" i="57"/>
  <c r="X20" i="57"/>
  <c r="X22" i="57" s="1"/>
  <c r="X24" i="57" s="1"/>
  <c r="Y20" i="57"/>
  <c r="Z20" i="57"/>
  <c r="AA20" i="57"/>
  <c r="AB20" i="57"/>
  <c r="AB22" i="57" s="1"/>
  <c r="AB24" i="57" s="1"/>
  <c r="AC20" i="57"/>
  <c r="AD20" i="57"/>
  <c r="AE20" i="57"/>
  <c r="AF20" i="57"/>
  <c r="AG20" i="57"/>
  <c r="AH20" i="57"/>
  <c r="AI20" i="57"/>
  <c r="P20" i="57"/>
  <c r="D24" i="57"/>
  <c r="U23" i="57"/>
  <c r="S23" i="57"/>
  <c r="Q23" i="57"/>
  <c r="O23" i="57"/>
  <c r="M23" i="57"/>
  <c r="K23" i="57"/>
  <c r="I23" i="57"/>
  <c r="H23" i="57"/>
  <c r="G23" i="57"/>
  <c r="E23" i="57"/>
  <c r="AI22" i="57"/>
  <c r="AI24" i="57" s="1"/>
  <c r="AE22" i="57"/>
  <c r="AE24" i="57" s="1"/>
  <c r="AA22" i="57"/>
  <c r="AA24" i="57" s="1"/>
  <c r="W22" i="57"/>
  <c r="W24" i="57" s="1"/>
  <c r="R22" i="57"/>
  <c r="R24" i="57" s="1"/>
  <c r="O22" i="57"/>
  <c r="O24" i="57" s="1"/>
  <c r="K22" i="57"/>
  <c r="K24" i="57" s="1"/>
  <c r="D22" i="57"/>
  <c r="U21" i="57"/>
  <c r="S21" i="57"/>
  <c r="S22" i="57" s="1"/>
  <c r="Q21" i="57"/>
  <c r="G21" i="57"/>
  <c r="G22" i="57" s="1"/>
  <c r="G24" i="57" s="1"/>
  <c r="AH22" i="57"/>
  <c r="AH24" i="57" s="1"/>
  <c r="AG22" i="57"/>
  <c r="AG24" i="57" s="1"/>
  <c r="AF22" i="57"/>
  <c r="AF24" i="57" s="1"/>
  <c r="AD22" i="57"/>
  <c r="AD24" i="57" s="1"/>
  <c r="AC22" i="57"/>
  <c r="AC24" i="57" s="1"/>
  <c r="Z22" i="57"/>
  <c r="Z24" i="57" s="1"/>
  <c r="Y22" i="57"/>
  <c r="Y24" i="57" s="1"/>
  <c r="V22" i="57"/>
  <c r="V24" i="57" s="1"/>
  <c r="T22" i="57"/>
  <c r="T24" i="57" s="1"/>
  <c r="O20" i="57"/>
  <c r="N20" i="57"/>
  <c r="N22" i="57" s="1"/>
  <c r="N24" i="57" s="1"/>
  <c r="M20" i="57"/>
  <c r="M22" i="57" s="1"/>
  <c r="M24" i="57" s="1"/>
  <c r="L20" i="57"/>
  <c r="L22" i="57" s="1"/>
  <c r="L24" i="57" s="1"/>
  <c r="K20" i="57"/>
  <c r="J20" i="57"/>
  <c r="J22" i="57" s="1"/>
  <c r="J24" i="57" s="1"/>
  <c r="I20" i="57"/>
  <c r="I22" i="57" s="1"/>
  <c r="I24" i="57" s="1"/>
  <c r="H20" i="57"/>
  <c r="H22" i="57" s="1"/>
  <c r="H24" i="57" s="1"/>
  <c r="G20" i="57"/>
  <c r="F20" i="57"/>
  <c r="F22" i="57" s="1"/>
  <c r="F24" i="57" s="1"/>
  <c r="E20" i="57"/>
  <c r="E22" i="57" s="1"/>
  <c r="E24" i="57" s="1"/>
  <c r="S24" i="57" l="1"/>
  <c r="U22" i="57"/>
  <c r="U24" i="57" s="1"/>
  <c r="P22" i="57"/>
  <c r="P24" i="57" s="1"/>
  <c r="U20" i="56"/>
  <c r="T20" i="56" l="1"/>
  <c r="U22" i="56"/>
  <c r="U24" i="56" s="1"/>
  <c r="V20" i="56"/>
  <c r="W20" i="56"/>
  <c r="X20" i="56"/>
  <c r="Y20" i="56"/>
  <c r="Z20" i="56"/>
  <c r="AA20" i="56"/>
  <c r="AB20" i="56"/>
  <c r="AC20" i="56"/>
  <c r="AD20" i="56"/>
  <c r="AE20" i="56"/>
  <c r="AF20" i="56"/>
  <c r="AG20" i="56"/>
  <c r="AH20" i="56"/>
  <c r="AI20" i="56"/>
  <c r="P23" i="56"/>
  <c r="Q23" i="56"/>
  <c r="S21" i="56" l="1"/>
  <c r="P21" i="56"/>
  <c r="R22" i="56"/>
  <c r="R24" i="56" s="1"/>
  <c r="S23" i="56"/>
  <c r="S22" i="56" l="1"/>
  <c r="S24" i="56" s="1"/>
  <c r="R20" i="55"/>
  <c r="Q20" i="55"/>
  <c r="S20" i="55"/>
  <c r="T20" i="55"/>
  <c r="U20" i="55"/>
  <c r="V20" i="55"/>
  <c r="W20" i="55"/>
  <c r="X20" i="55"/>
  <c r="Y20" i="55"/>
  <c r="Z20" i="55"/>
  <c r="AA20" i="55"/>
  <c r="AB20" i="55"/>
  <c r="AC20" i="55"/>
  <c r="AD20" i="55"/>
  <c r="AE20" i="55"/>
  <c r="AF20" i="55"/>
  <c r="AG20" i="55"/>
  <c r="R20" i="54" l="1"/>
  <c r="U23" i="56" l="1"/>
  <c r="O23" i="56"/>
  <c r="M23" i="56"/>
  <c r="K23" i="56"/>
  <c r="I23" i="56"/>
  <c r="H23" i="56"/>
  <c r="G23" i="56"/>
  <c r="E23" i="56"/>
  <c r="D22" i="56"/>
  <c r="D24" i="56" s="1"/>
  <c r="U21" i="56"/>
  <c r="G21" i="56"/>
  <c r="O20" i="56"/>
  <c r="O22" i="56" s="1"/>
  <c r="N20" i="56"/>
  <c r="N22" i="56" s="1"/>
  <c r="N24" i="56" s="1"/>
  <c r="M20" i="56"/>
  <c r="M22" i="56" s="1"/>
  <c r="M24" i="56" s="1"/>
  <c r="L20" i="56"/>
  <c r="L22" i="56" s="1"/>
  <c r="L24" i="56" s="1"/>
  <c r="K20" i="56"/>
  <c r="K22" i="56" s="1"/>
  <c r="K24" i="56" s="1"/>
  <c r="J20" i="56"/>
  <c r="J22" i="56" s="1"/>
  <c r="J24" i="56" s="1"/>
  <c r="I20" i="56"/>
  <c r="I22" i="56" s="1"/>
  <c r="I24" i="56" s="1"/>
  <c r="H20" i="56"/>
  <c r="H22" i="56" s="1"/>
  <c r="G20" i="56"/>
  <c r="G22" i="56" s="1"/>
  <c r="F20" i="56"/>
  <c r="F22" i="56" s="1"/>
  <c r="F24" i="56" s="1"/>
  <c r="E20" i="56"/>
  <c r="E22" i="56" s="1"/>
  <c r="E24" i="56" s="1"/>
  <c r="O24" i="56" l="1"/>
  <c r="H24" i="56"/>
  <c r="G24" i="56"/>
  <c r="W21" i="55"/>
  <c r="Q21" i="55"/>
  <c r="R21" i="53"/>
  <c r="S22" i="54" l="1"/>
  <c r="S22" i="55" l="1"/>
  <c r="S23" i="54"/>
  <c r="R20" i="53"/>
  <c r="R22" i="55"/>
  <c r="R24" i="55" s="1"/>
  <c r="T22" i="56" s="1"/>
  <c r="T24" i="56" s="1"/>
  <c r="S23" i="55"/>
  <c r="Q23" i="55"/>
  <c r="O23" i="55"/>
  <c r="M23" i="55"/>
  <c r="K23" i="55"/>
  <c r="I23" i="55"/>
  <c r="H23" i="55"/>
  <c r="G23" i="55"/>
  <c r="E23" i="55"/>
  <c r="D22" i="55"/>
  <c r="D24" i="55" s="1"/>
  <c r="S21" i="55"/>
  <c r="G21" i="55"/>
  <c r="AG22" i="55"/>
  <c r="AG24" i="55" s="1"/>
  <c r="AI22" i="56" s="1"/>
  <c r="AI24" i="56" s="1"/>
  <c r="AF22" i="55"/>
  <c r="AF24" i="55" s="1"/>
  <c r="AH22" i="56" s="1"/>
  <c r="AH24" i="56" s="1"/>
  <c r="AE22" i="55"/>
  <c r="AE24" i="55" s="1"/>
  <c r="AG22" i="56" s="1"/>
  <c r="AG24" i="56" s="1"/>
  <c r="AD22" i="55"/>
  <c r="AD24" i="55" s="1"/>
  <c r="AF22" i="56" s="1"/>
  <c r="AF24" i="56" s="1"/>
  <c r="AC22" i="55"/>
  <c r="AC24" i="55" s="1"/>
  <c r="AE22" i="56" s="1"/>
  <c r="AE24" i="56" s="1"/>
  <c r="AB22" i="55"/>
  <c r="AB24" i="55" s="1"/>
  <c r="AD22" i="56" s="1"/>
  <c r="AD24" i="56" s="1"/>
  <c r="AA22" i="55"/>
  <c r="AA24" i="55" s="1"/>
  <c r="AC22" i="56" s="1"/>
  <c r="AC24" i="56" s="1"/>
  <c r="Z22" i="55"/>
  <c r="Z24" i="55" s="1"/>
  <c r="AB22" i="56" s="1"/>
  <c r="AB24" i="56" s="1"/>
  <c r="Y22" i="55"/>
  <c r="Y24" i="55" s="1"/>
  <c r="AA22" i="56" s="1"/>
  <c r="AA24" i="56" s="1"/>
  <c r="X22" i="55"/>
  <c r="X24" i="55" s="1"/>
  <c r="Z22" i="56" s="1"/>
  <c r="Z24" i="56" s="1"/>
  <c r="W22" i="55"/>
  <c r="W24" i="55" s="1"/>
  <c r="Y22" i="56" s="1"/>
  <c r="Y24" i="56" s="1"/>
  <c r="V22" i="55"/>
  <c r="V24" i="55" s="1"/>
  <c r="X22" i="56" s="1"/>
  <c r="X24" i="56" s="1"/>
  <c r="U22" i="55"/>
  <c r="U24" i="55" s="1"/>
  <c r="W22" i="56" s="1"/>
  <c r="W24" i="56" s="1"/>
  <c r="T22" i="55"/>
  <c r="T24" i="55" s="1"/>
  <c r="V22" i="56" s="1"/>
  <c r="V24" i="56" s="1"/>
  <c r="Q22" i="55"/>
  <c r="O20" i="55"/>
  <c r="O22" i="55" s="1"/>
  <c r="O24" i="55" s="1"/>
  <c r="N20" i="55"/>
  <c r="N22" i="55" s="1"/>
  <c r="N24" i="55" s="1"/>
  <c r="M20" i="55"/>
  <c r="M22" i="55" s="1"/>
  <c r="M24" i="55" s="1"/>
  <c r="L20" i="55"/>
  <c r="L22" i="55" s="1"/>
  <c r="L24" i="55" s="1"/>
  <c r="K20" i="55"/>
  <c r="K22" i="55" s="1"/>
  <c r="K24" i="55" s="1"/>
  <c r="J20" i="55"/>
  <c r="J22" i="55" s="1"/>
  <c r="J24" i="55" s="1"/>
  <c r="I20" i="55"/>
  <c r="I22" i="55" s="1"/>
  <c r="I24" i="55" s="1"/>
  <c r="H20" i="55"/>
  <c r="H22" i="55" s="1"/>
  <c r="H24" i="55" s="1"/>
  <c r="G20" i="55"/>
  <c r="G22" i="55" s="1"/>
  <c r="G24" i="55" s="1"/>
  <c r="F20" i="55"/>
  <c r="F22" i="55" s="1"/>
  <c r="F24" i="55" s="1"/>
  <c r="E20" i="55"/>
  <c r="E22" i="55" s="1"/>
  <c r="E24" i="55" s="1"/>
  <c r="P22" i="56" l="1"/>
  <c r="P24" i="56" s="1"/>
  <c r="Q24" i="55"/>
  <c r="S24" i="55"/>
  <c r="R23" i="54"/>
  <c r="Q22" i="56" l="1"/>
  <c r="Q24" i="56" s="1"/>
  <c r="Q20" i="57" s="1"/>
  <c r="Q22" i="57" s="1"/>
  <c r="Q24" i="57" s="1"/>
  <c r="Q20" i="58" s="1"/>
  <c r="Q22" i="58" s="1"/>
  <c r="Q24" i="58" s="1"/>
  <c r="Q20" i="59" s="1"/>
  <c r="Q22" i="59" s="1"/>
  <c r="Q24" i="59" s="1"/>
  <c r="Q20" i="60" s="1"/>
  <c r="Q22" i="60" s="1"/>
  <c r="Q24" i="60" s="1"/>
  <c r="Q20" i="54"/>
  <c r="S20" i="54"/>
  <c r="T20" i="54"/>
  <c r="T22" i="54" s="1"/>
  <c r="T24" i="54" s="1"/>
  <c r="U20" i="54"/>
  <c r="U22" i="54" s="1"/>
  <c r="U24" i="54" s="1"/>
  <c r="V20" i="54"/>
  <c r="W20" i="54"/>
  <c r="X20" i="54"/>
  <c r="Y20" i="54"/>
  <c r="Y22" i="54" s="1"/>
  <c r="Y24" i="54" s="1"/>
  <c r="Z20" i="54"/>
  <c r="AA20" i="54"/>
  <c r="AB20" i="54"/>
  <c r="AC20" i="54"/>
  <c r="AC22" i="54" s="1"/>
  <c r="AC24" i="54" s="1"/>
  <c r="AD20" i="54"/>
  <c r="AE20" i="54"/>
  <c r="AF20" i="54"/>
  <c r="AF22" i="54" s="1"/>
  <c r="AF24" i="54" s="1"/>
  <c r="AG20" i="54"/>
  <c r="Q23" i="54"/>
  <c r="O23" i="54"/>
  <c r="M23" i="54"/>
  <c r="K23" i="54"/>
  <c r="I23" i="54"/>
  <c r="H23" i="54"/>
  <c r="G23" i="54"/>
  <c r="E23" i="54"/>
  <c r="AD22" i="54"/>
  <c r="AD24" i="54" s="1"/>
  <c r="Z22" i="54"/>
  <c r="Z24" i="54" s="1"/>
  <c r="V22" i="54"/>
  <c r="V24" i="54" s="1"/>
  <c r="N22" i="54"/>
  <c r="N24" i="54" s="1"/>
  <c r="J22" i="54"/>
  <c r="J24" i="54" s="1"/>
  <c r="F22" i="54"/>
  <c r="F24" i="54" s="1"/>
  <c r="D22" i="54"/>
  <c r="D24" i="54" s="1"/>
  <c r="S21" i="54"/>
  <c r="G21" i="54"/>
  <c r="AG22" i="54"/>
  <c r="AG24" i="54" s="1"/>
  <c r="AE22" i="54"/>
  <c r="AE24" i="54" s="1"/>
  <c r="AB22" i="54"/>
  <c r="AB24" i="54" s="1"/>
  <c r="AA22" i="54"/>
  <c r="AA24" i="54" s="1"/>
  <c r="X22" i="54"/>
  <c r="X24" i="54" s="1"/>
  <c r="W22" i="54"/>
  <c r="W24" i="54" s="1"/>
  <c r="S24" i="54"/>
  <c r="Q22" i="54"/>
  <c r="Q24" i="54" s="1"/>
  <c r="P22" i="54"/>
  <c r="P24" i="54" s="1"/>
  <c r="P22" i="55" s="1"/>
  <c r="P24" i="55" s="1"/>
  <c r="O20" i="54"/>
  <c r="O22" i="54" s="1"/>
  <c r="O24" i="54" s="1"/>
  <c r="N20" i="54"/>
  <c r="M20" i="54"/>
  <c r="M22" i="54" s="1"/>
  <c r="M24" i="54" s="1"/>
  <c r="L20" i="54"/>
  <c r="L22" i="54" s="1"/>
  <c r="L24" i="54" s="1"/>
  <c r="K20" i="54"/>
  <c r="K22" i="54" s="1"/>
  <c r="K24" i="54" s="1"/>
  <c r="J20" i="54"/>
  <c r="I20" i="54"/>
  <c r="I22" i="54" s="1"/>
  <c r="I24" i="54" s="1"/>
  <c r="H20" i="54"/>
  <c r="H22" i="54" s="1"/>
  <c r="H24" i="54" s="1"/>
  <c r="G20" i="54"/>
  <c r="G22" i="54" s="1"/>
  <c r="G24" i="54" s="1"/>
  <c r="F20" i="54"/>
  <c r="E20" i="54"/>
  <c r="E22" i="54" s="1"/>
  <c r="E24" i="54" s="1"/>
  <c r="Q20" i="61" l="1"/>
  <c r="Q22" i="61" s="1"/>
  <c r="Q24" i="61" s="1"/>
  <c r="R23" i="53"/>
  <c r="S21" i="53"/>
  <c r="S23" i="51"/>
  <c r="Q20" i="53" l="1"/>
  <c r="S20" i="53"/>
  <c r="T20" i="53"/>
  <c r="T22" i="53" s="1"/>
  <c r="T24" i="53" s="1"/>
  <c r="U20" i="53"/>
  <c r="V20" i="53"/>
  <c r="W20" i="53"/>
  <c r="X20" i="53"/>
  <c r="Y20" i="53"/>
  <c r="Z20" i="53"/>
  <c r="AA20" i="53"/>
  <c r="AB20" i="53"/>
  <c r="AB22" i="53" s="1"/>
  <c r="AB24" i="53" s="1"/>
  <c r="AC20" i="53"/>
  <c r="AD20" i="53"/>
  <c r="AE20" i="53"/>
  <c r="AF20" i="53"/>
  <c r="AF22" i="53" s="1"/>
  <c r="AF24" i="53" s="1"/>
  <c r="AG20" i="53"/>
  <c r="P20" i="53"/>
  <c r="S23" i="53"/>
  <c r="Q23" i="53"/>
  <c r="O23" i="53"/>
  <c r="M23" i="53"/>
  <c r="K23" i="53"/>
  <c r="I23" i="53"/>
  <c r="H23" i="53"/>
  <c r="G23" i="53"/>
  <c r="E23" i="53"/>
  <c r="AG22" i="53"/>
  <c r="AG24" i="53" s="1"/>
  <c r="AC22" i="53"/>
  <c r="AC24" i="53" s="1"/>
  <c r="Y22" i="53"/>
  <c r="Y24" i="53" s="1"/>
  <c r="U22" i="53"/>
  <c r="U24" i="53" s="1"/>
  <c r="Q22" i="53"/>
  <c r="Q24" i="53" s="1"/>
  <c r="M22" i="53"/>
  <c r="M24" i="53" s="1"/>
  <c r="I22" i="53"/>
  <c r="I24" i="53" s="1"/>
  <c r="E22" i="53"/>
  <c r="E24" i="53" s="1"/>
  <c r="D22" i="53"/>
  <c r="D24" i="53" s="1"/>
  <c r="G21" i="53"/>
  <c r="AE22" i="53"/>
  <c r="AE24" i="53" s="1"/>
  <c r="AD22" i="53"/>
  <c r="AD24" i="53" s="1"/>
  <c r="AA22" i="53"/>
  <c r="AA24" i="53" s="1"/>
  <c r="Z22" i="53"/>
  <c r="Z24" i="53" s="1"/>
  <c r="X22" i="53"/>
  <c r="X24" i="53" s="1"/>
  <c r="W22" i="53"/>
  <c r="W24" i="53" s="1"/>
  <c r="V22" i="53"/>
  <c r="V24" i="53" s="1"/>
  <c r="S22" i="53"/>
  <c r="R22" i="53"/>
  <c r="R24" i="53" s="1"/>
  <c r="R22" i="54" s="1"/>
  <c r="R24" i="54" s="1"/>
  <c r="P22" i="53"/>
  <c r="P24" i="53" s="1"/>
  <c r="O20" i="53"/>
  <c r="O22" i="53" s="1"/>
  <c r="O24" i="53" s="1"/>
  <c r="N20" i="53"/>
  <c r="N22" i="53" s="1"/>
  <c r="N24" i="53" s="1"/>
  <c r="M20" i="53"/>
  <c r="L20" i="53"/>
  <c r="L22" i="53" s="1"/>
  <c r="L24" i="53" s="1"/>
  <c r="K20" i="53"/>
  <c r="K22" i="53" s="1"/>
  <c r="K24" i="53" s="1"/>
  <c r="J20" i="53"/>
  <c r="J22" i="53" s="1"/>
  <c r="J24" i="53" s="1"/>
  <c r="I20" i="53"/>
  <c r="H20" i="53"/>
  <c r="H22" i="53" s="1"/>
  <c r="H24" i="53" s="1"/>
  <c r="G20" i="53"/>
  <c r="G22" i="53" s="1"/>
  <c r="G24" i="53" s="1"/>
  <c r="F20" i="53"/>
  <c r="F22" i="53" s="1"/>
  <c r="F24" i="53" s="1"/>
  <c r="E20" i="53"/>
  <c r="S24" i="53" l="1"/>
  <c r="Q20" i="52"/>
  <c r="Q22" i="52" s="1"/>
  <c r="R20" i="52"/>
  <c r="R22" i="52" s="1"/>
  <c r="R24" i="52" s="1"/>
  <c r="S20" i="52"/>
  <c r="S22" i="52" s="1"/>
  <c r="T20" i="52"/>
  <c r="T22" i="52" s="1"/>
  <c r="T24" i="52" s="1"/>
  <c r="U20" i="52"/>
  <c r="V20" i="52"/>
  <c r="V22" i="52" s="1"/>
  <c r="V24" i="52" s="1"/>
  <c r="W20" i="52"/>
  <c r="W22" i="52" s="1"/>
  <c r="W24" i="52" s="1"/>
  <c r="X20" i="52"/>
  <c r="X22" i="52" s="1"/>
  <c r="X24" i="52" s="1"/>
  <c r="Y20" i="52"/>
  <c r="Y22" i="52" s="1"/>
  <c r="Y24" i="52" s="1"/>
  <c r="Z20" i="52"/>
  <c r="Z22" i="52" s="1"/>
  <c r="Z24" i="52" s="1"/>
  <c r="AA20" i="52"/>
  <c r="AB20" i="52"/>
  <c r="AC20" i="52"/>
  <c r="AC22" i="52" s="1"/>
  <c r="AC24" i="52" s="1"/>
  <c r="AD20" i="52"/>
  <c r="AD22" i="52" s="1"/>
  <c r="AD24" i="52" s="1"/>
  <c r="AE20" i="52"/>
  <c r="AE22" i="52" s="1"/>
  <c r="AE24" i="52" s="1"/>
  <c r="AF20" i="52"/>
  <c r="AF22" i="52" s="1"/>
  <c r="AF24" i="52" s="1"/>
  <c r="AG20" i="52"/>
  <c r="P20" i="52"/>
  <c r="P22" i="52" s="1"/>
  <c r="P24" i="52" s="1"/>
  <c r="S23" i="52"/>
  <c r="Q23" i="52"/>
  <c r="O23" i="52"/>
  <c r="M23" i="52"/>
  <c r="K23" i="52"/>
  <c r="I23" i="52"/>
  <c r="H23" i="52"/>
  <c r="G23" i="52"/>
  <c r="E23" i="52"/>
  <c r="AB22" i="52"/>
  <c r="AB24" i="52" s="1"/>
  <c r="D22" i="52"/>
  <c r="D24" i="52" s="1"/>
  <c r="G21" i="52"/>
  <c r="AG22" i="52"/>
  <c r="AG24" i="52" s="1"/>
  <c r="AA22" i="52"/>
  <c r="AA24" i="52" s="1"/>
  <c r="U22" i="52"/>
  <c r="U24" i="52" s="1"/>
  <c r="O20" i="52"/>
  <c r="O22" i="52" s="1"/>
  <c r="N20" i="52"/>
  <c r="N22" i="52" s="1"/>
  <c r="N24" i="52" s="1"/>
  <c r="M20" i="52"/>
  <c r="M22" i="52" s="1"/>
  <c r="L20" i="52"/>
  <c r="L22" i="52" s="1"/>
  <c r="L24" i="52" s="1"/>
  <c r="K20" i="52"/>
  <c r="K22" i="52" s="1"/>
  <c r="K24" i="52" s="1"/>
  <c r="J20" i="52"/>
  <c r="J22" i="52" s="1"/>
  <c r="J24" i="52" s="1"/>
  <c r="I20" i="52"/>
  <c r="I22" i="52" s="1"/>
  <c r="I24" i="52" s="1"/>
  <c r="H20" i="52"/>
  <c r="H22" i="52" s="1"/>
  <c r="G20" i="52"/>
  <c r="F20" i="52"/>
  <c r="F22" i="52" s="1"/>
  <c r="F24" i="52" s="1"/>
  <c r="E20" i="52"/>
  <c r="E22" i="52" s="1"/>
  <c r="M24" i="52" l="1"/>
  <c r="O24" i="52"/>
  <c r="S24" i="52"/>
  <c r="Q24" i="52"/>
  <c r="E24" i="52"/>
  <c r="G22" i="52"/>
  <c r="G24" i="52" s="1"/>
  <c r="H24" i="52"/>
  <c r="R23" i="51"/>
  <c r="AG24" i="51" l="1"/>
  <c r="AF24" i="51"/>
  <c r="X24" i="51"/>
  <c r="T24" i="51"/>
  <c r="D24" i="51"/>
  <c r="Q23" i="51"/>
  <c r="O23" i="51"/>
  <c r="M23" i="51"/>
  <c r="K23" i="51"/>
  <c r="I23" i="51"/>
  <c r="H23" i="51"/>
  <c r="G23" i="51"/>
  <c r="E23" i="51"/>
  <c r="AG22" i="51"/>
  <c r="AF22" i="51"/>
  <c r="AE22" i="51"/>
  <c r="AE24" i="51" s="1"/>
  <c r="AD22" i="51"/>
  <c r="AD24" i="51" s="1"/>
  <c r="AB22" i="51"/>
  <c r="AB24" i="51" s="1"/>
  <c r="Z22" i="51"/>
  <c r="Z24" i="51" s="1"/>
  <c r="Y22" i="51"/>
  <c r="Y24" i="51" s="1"/>
  <c r="X22" i="51"/>
  <c r="W22" i="51"/>
  <c r="W24" i="51" s="1"/>
  <c r="T22" i="51"/>
  <c r="S22" i="51"/>
  <c r="S24" i="51" s="1"/>
  <c r="R22" i="51"/>
  <c r="R24" i="51" s="1"/>
  <c r="O22" i="51"/>
  <c r="O24" i="51" s="1"/>
  <c r="K22" i="51"/>
  <c r="K24" i="51" s="1"/>
  <c r="D22" i="51"/>
  <c r="G21" i="51"/>
  <c r="G22" i="51" s="1"/>
  <c r="G24" i="51" s="1"/>
  <c r="AG20" i="51"/>
  <c r="AF20" i="51"/>
  <c r="AC20" i="51"/>
  <c r="AC22" i="51" s="1"/>
  <c r="AC24" i="51" s="1"/>
  <c r="AA20" i="51"/>
  <c r="AA22" i="51" s="1"/>
  <c r="AA24" i="51" s="1"/>
  <c r="X20" i="51"/>
  <c r="W20" i="51"/>
  <c r="V20" i="51"/>
  <c r="V22" i="51" s="1"/>
  <c r="V24" i="51" s="1"/>
  <c r="U20" i="51"/>
  <c r="U22" i="51" s="1"/>
  <c r="U24" i="51" s="1"/>
  <c r="T20" i="51"/>
  <c r="S20" i="51"/>
  <c r="Q20" i="51"/>
  <c r="Q22" i="51" s="1"/>
  <c r="Q24" i="51" s="1"/>
  <c r="P20" i="51"/>
  <c r="P22" i="51" s="1"/>
  <c r="P24" i="51" s="1"/>
  <c r="O20" i="51"/>
  <c r="N20" i="51"/>
  <c r="N22" i="51" s="1"/>
  <c r="N24" i="51" s="1"/>
  <c r="M20" i="51"/>
  <c r="M22" i="51" s="1"/>
  <c r="M24" i="51" s="1"/>
  <c r="L20" i="51"/>
  <c r="L22" i="51" s="1"/>
  <c r="L24" i="51" s="1"/>
  <c r="K20" i="51"/>
  <c r="J20" i="51"/>
  <c r="J22" i="51" s="1"/>
  <c r="J24" i="51" s="1"/>
  <c r="I20" i="51"/>
  <c r="I22" i="51" s="1"/>
  <c r="I24" i="51" s="1"/>
  <c r="H20" i="51"/>
  <c r="H22" i="51" s="1"/>
  <c r="H24" i="51" s="1"/>
  <c r="G20" i="51"/>
  <c r="F20" i="51"/>
  <c r="F22" i="51" s="1"/>
  <c r="F24" i="51" s="1"/>
  <c r="E20" i="51"/>
  <c r="E22" i="51" s="1"/>
  <c r="E24" i="51" s="1"/>
  <c r="S23" i="50" l="1"/>
  <c r="Q23" i="50"/>
  <c r="O23" i="50"/>
  <c r="M23" i="50"/>
  <c r="K23" i="50"/>
  <c r="I23" i="50"/>
  <c r="H23" i="50"/>
  <c r="G23" i="50"/>
  <c r="E23" i="50"/>
  <c r="AD22" i="50"/>
  <c r="AD24" i="50" s="1"/>
  <c r="Z22" i="50"/>
  <c r="Z24" i="50" s="1"/>
  <c r="Y22" i="50"/>
  <c r="Y24" i="50" s="1"/>
  <c r="V22" i="50"/>
  <c r="V24" i="50" s="1"/>
  <c r="R22" i="50"/>
  <c r="R24" i="50" s="1"/>
  <c r="N22" i="50"/>
  <c r="N24" i="50" s="1"/>
  <c r="J22" i="50"/>
  <c r="J24" i="50" s="1"/>
  <c r="F22" i="50"/>
  <c r="F24" i="50" s="1"/>
  <c r="D22" i="50"/>
  <c r="D24" i="50" s="1"/>
  <c r="G21" i="50"/>
  <c r="AG20" i="50"/>
  <c r="AG22" i="50" s="1"/>
  <c r="AG24" i="50" s="1"/>
  <c r="AF20" i="50"/>
  <c r="AF22" i="50" s="1"/>
  <c r="AF24" i="50" s="1"/>
  <c r="AE22" i="50"/>
  <c r="AE24" i="50" s="1"/>
  <c r="AC20" i="50"/>
  <c r="AC22" i="50" s="1"/>
  <c r="AC24" i="50" s="1"/>
  <c r="AB22" i="50"/>
  <c r="AB24" i="50" s="1"/>
  <c r="AA20" i="50"/>
  <c r="AA22" i="50" s="1"/>
  <c r="AA24" i="50" s="1"/>
  <c r="X20" i="50"/>
  <c r="X22" i="50" s="1"/>
  <c r="X24" i="50" s="1"/>
  <c r="W20" i="50"/>
  <c r="W22" i="50" s="1"/>
  <c r="W24" i="50" s="1"/>
  <c r="V20" i="50"/>
  <c r="U20" i="50"/>
  <c r="U22" i="50" s="1"/>
  <c r="U24" i="50" s="1"/>
  <c r="T20" i="50"/>
  <c r="T22" i="50" s="1"/>
  <c r="T24" i="50" s="1"/>
  <c r="S20" i="50"/>
  <c r="S22" i="50" s="1"/>
  <c r="Q20" i="50"/>
  <c r="Q22" i="50" s="1"/>
  <c r="Q24" i="50" s="1"/>
  <c r="P20" i="50"/>
  <c r="P22" i="50" s="1"/>
  <c r="P24" i="50" s="1"/>
  <c r="O20" i="50"/>
  <c r="O22" i="50" s="1"/>
  <c r="O24" i="50" s="1"/>
  <c r="N20" i="50"/>
  <c r="M20" i="50"/>
  <c r="M22" i="50" s="1"/>
  <c r="M24" i="50" s="1"/>
  <c r="L20" i="50"/>
  <c r="L22" i="50" s="1"/>
  <c r="L24" i="50" s="1"/>
  <c r="K20" i="50"/>
  <c r="K22" i="50" s="1"/>
  <c r="K24" i="50" s="1"/>
  <c r="J20" i="50"/>
  <c r="I20" i="50"/>
  <c r="I22" i="50" s="1"/>
  <c r="I24" i="50" s="1"/>
  <c r="H20" i="50"/>
  <c r="H22" i="50" s="1"/>
  <c r="H24" i="50" s="1"/>
  <c r="G20" i="50"/>
  <c r="G22" i="50" s="1"/>
  <c r="G24" i="50" s="1"/>
  <c r="F20" i="50"/>
  <c r="E20" i="50"/>
  <c r="E22" i="50" s="1"/>
  <c r="E24" i="50" s="1"/>
  <c r="S24" i="50" l="1"/>
  <c r="Q20" i="49"/>
  <c r="S20" i="49"/>
  <c r="T20" i="49"/>
  <c r="U20" i="49"/>
  <c r="U22" i="49" s="1"/>
  <c r="U24" i="49" s="1"/>
  <c r="V20" i="49"/>
  <c r="W20" i="49"/>
  <c r="X20" i="49"/>
  <c r="X22" i="49" s="1"/>
  <c r="X24" i="49" s="1"/>
  <c r="Z20" i="49"/>
  <c r="AA20" i="49"/>
  <c r="AB20" i="49"/>
  <c r="AC20" i="49"/>
  <c r="AC22" i="49" s="1"/>
  <c r="AC24" i="49" s="1"/>
  <c r="AD20" i="49"/>
  <c r="AD22" i="49" s="1"/>
  <c r="AD24" i="49" s="1"/>
  <c r="AE20" i="49"/>
  <c r="AF20" i="49"/>
  <c r="AG20" i="49"/>
  <c r="AG22" i="49" s="1"/>
  <c r="AG24" i="49" s="1"/>
  <c r="P20" i="49"/>
  <c r="D24" i="49"/>
  <c r="S23" i="49"/>
  <c r="Q23" i="49"/>
  <c r="O23" i="49"/>
  <c r="M23" i="49"/>
  <c r="K23" i="49"/>
  <c r="I23" i="49"/>
  <c r="H23" i="49"/>
  <c r="G23" i="49"/>
  <c r="E23" i="49"/>
  <c r="AA22" i="49"/>
  <c r="AA24" i="49" s="1"/>
  <c r="D22" i="49"/>
  <c r="G21" i="49"/>
  <c r="AF22" i="49"/>
  <c r="AF24" i="49" s="1"/>
  <c r="AE22" i="49"/>
  <c r="AE24" i="49" s="1"/>
  <c r="AB22" i="49"/>
  <c r="AB24" i="49" s="1"/>
  <c r="Z22" i="49"/>
  <c r="Z24" i="49" s="1"/>
  <c r="Y22" i="49"/>
  <c r="Y24" i="49" s="1"/>
  <c r="W22" i="49"/>
  <c r="W24" i="49" s="1"/>
  <c r="V22" i="49"/>
  <c r="V24" i="49" s="1"/>
  <c r="T22" i="49"/>
  <c r="T24" i="49" s="1"/>
  <c r="S22" i="49"/>
  <c r="S24" i="49" s="1"/>
  <c r="O20" i="49"/>
  <c r="O22" i="49" s="1"/>
  <c r="O24" i="49" s="1"/>
  <c r="N20" i="49"/>
  <c r="N22" i="49" s="1"/>
  <c r="N24" i="49" s="1"/>
  <c r="M20" i="49"/>
  <c r="M22" i="49" s="1"/>
  <c r="M24" i="49" s="1"/>
  <c r="L20" i="49"/>
  <c r="L22" i="49" s="1"/>
  <c r="L24" i="49" s="1"/>
  <c r="K20" i="49"/>
  <c r="K22" i="49" s="1"/>
  <c r="K24" i="49" s="1"/>
  <c r="J20" i="49"/>
  <c r="J22" i="49" s="1"/>
  <c r="J24" i="49" s="1"/>
  <c r="I20" i="49"/>
  <c r="I22" i="49" s="1"/>
  <c r="I24" i="49" s="1"/>
  <c r="H20" i="49"/>
  <c r="H22" i="49" s="1"/>
  <c r="H24" i="49" s="1"/>
  <c r="G20" i="49"/>
  <c r="G22" i="49" s="1"/>
  <c r="G24" i="49" s="1"/>
  <c r="F20" i="49"/>
  <c r="F22" i="49" s="1"/>
  <c r="F24" i="49" s="1"/>
  <c r="E20" i="49"/>
  <c r="E22" i="49" s="1"/>
  <c r="E24" i="49" s="1"/>
  <c r="Q22" i="49" l="1"/>
  <c r="Q24" i="49" s="1"/>
  <c r="R22" i="49"/>
  <c r="R24" i="49" s="1"/>
  <c r="P22" i="49"/>
  <c r="P24" i="49" s="1"/>
  <c r="P20" i="48"/>
  <c r="P23" i="48"/>
  <c r="AD20" i="48" l="1"/>
  <c r="AD22" i="48" s="1"/>
  <c r="AD24" i="48" s="1"/>
  <c r="AB20" i="48"/>
  <c r="Z20" i="48"/>
  <c r="R20" i="48"/>
  <c r="S20" i="48"/>
  <c r="R23" i="48"/>
  <c r="Q23" i="46"/>
  <c r="W20" i="48"/>
  <c r="W22" i="48" s="1"/>
  <c r="W24" i="48" s="1"/>
  <c r="Q23" i="48"/>
  <c r="Q20" i="48"/>
  <c r="P21" i="47"/>
  <c r="S23" i="48"/>
  <c r="S21" i="47"/>
  <c r="S22" i="47"/>
  <c r="R21" i="47"/>
  <c r="S23" i="47"/>
  <c r="S20" i="47"/>
  <c r="Q23" i="45"/>
  <c r="Q20" i="47"/>
  <c r="Q23" i="47"/>
  <c r="P23" i="47"/>
  <c r="T20" i="48"/>
  <c r="U20" i="48"/>
  <c r="U22" i="48" s="1"/>
  <c r="U24" i="48" s="1"/>
  <c r="V20" i="48"/>
  <c r="X20" i="48"/>
  <c r="X22" i="48" s="1"/>
  <c r="X24" i="48" s="1"/>
  <c r="Y20" i="48"/>
  <c r="AA22" i="48"/>
  <c r="AA24" i="48" s="1"/>
  <c r="AC20" i="48"/>
  <c r="AE20" i="48"/>
  <c r="AF20" i="48"/>
  <c r="AG20" i="48"/>
  <c r="AG22" i="48" s="1"/>
  <c r="AG24" i="48" s="1"/>
  <c r="P22" i="48"/>
  <c r="O23" i="48"/>
  <c r="M23" i="48"/>
  <c r="K23" i="48"/>
  <c r="I23" i="48"/>
  <c r="H23" i="48"/>
  <c r="G23" i="48"/>
  <c r="E23" i="48"/>
  <c r="AF22" i="48"/>
  <c r="AF24" i="48" s="1"/>
  <c r="AB22" i="48"/>
  <c r="AB24" i="48" s="1"/>
  <c r="Z22" i="48"/>
  <c r="Z24" i="48" s="1"/>
  <c r="Y22" i="48"/>
  <c r="Y24" i="48" s="1"/>
  <c r="V22" i="48"/>
  <c r="V24" i="48" s="1"/>
  <c r="O22" i="48"/>
  <c r="O24" i="48" s="1"/>
  <c r="J22" i="48"/>
  <c r="J24" i="48" s="1"/>
  <c r="I22" i="48"/>
  <c r="I24" i="48" s="1"/>
  <c r="D22" i="48"/>
  <c r="D24" i="48" s="1"/>
  <c r="G21" i="48"/>
  <c r="AE22" i="48"/>
  <c r="AE24" i="48" s="1"/>
  <c r="AC22" i="48"/>
  <c r="AC24" i="48" s="1"/>
  <c r="T22" i="48"/>
  <c r="T24" i="48" s="1"/>
  <c r="O20" i="48"/>
  <c r="N20" i="48"/>
  <c r="N22" i="48" s="1"/>
  <c r="N24" i="48" s="1"/>
  <c r="M20" i="48"/>
  <c r="M22" i="48" s="1"/>
  <c r="M24" i="48" s="1"/>
  <c r="L20" i="48"/>
  <c r="L22" i="48" s="1"/>
  <c r="L24" i="48" s="1"/>
  <c r="K20" i="48"/>
  <c r="K22" i="48" s="1"/>
  <c r="K24" i="48" s="1"/>
  <c r="J20" i="48"/>
  <c r="I20" i="48"/>
  <c r="H20" i="48"/>
  <c r="H22" i="48" s="1"/>
  <c r="H24" i="48" s="1"/>
  <c r="G20" i="48"/>
  <c r="G22" i="48" s="1"/>
  <c r="G24" i="48" s="1"/>
  <c r="F20" i="48"/>
  <c r="F22" i="48" s="1"/>
  <c r="F24" i="48" s="1"/>
  <c r="E20" i="48"/>
  <c r="E22" i="48" s="1"/>
  <c r="E24" i="48" s="1"/>
  <c r="P24" i="48" l="1"/>
  <c r="R22" i="48"/>
  <c r="R24" i="48" s="1"/>
  <c r="R23" i="47"/>
  <c r="P23" i="46"/>
  <c r="R23" i="46"/>
  <c r="S23" i="46"/>
  <c r="O23" i="47"/>
  <c r="M23" i="47"/>
  <c r="K23" i="47"/>
  <c r="I23" i="47"/>
  <c r="H23" i="47"/>
  <c r="G23" i="47"/>
  <c r="E23" i="47"/>
  <c r="AG22" i="47"/>
  <c r="AG24" i="47" s="1"/>
  <c r="AF22" i="47"/>
  <c r="AF24" i="47" s="1"/>
  <c r="AE22" i="47"/>
  <c r="AE24" i="47" s="1"/>
  <c r="AC22" i="47"/>
  <c r="AC24" i="47" s="1"/>
  <c r="AB22" i="47"/>
  <c r="AB24" i="47" s="1"/>
  <c r="AA22" i="47"/>
  <c r="AA24" i="47" s="1"/>
  <c r="Y22" i="47"/>
  <c r="Y24" i="47" s="1"/>
  <c r="X22" i="47"/>
  <c r="X24" i="47" s="1"/>
  <c r="W22" i="47"/>
  <c r="W24" i="47" s="1"/>
  <c r="U22" i="47"/>
  <c r="U24" i="47" s="1"/>
  <c r="T22" i="47"/>
  <c r="T24" i="47" s="1"/>
  <c r="S24" i="47"/>
  <c r="P22" i="47"/>
  <c r="P24" i="47" s="1"/>
  <c r="O22" i="47"/>
  <c r="O24" i="47" s="1"/>
  <c r="L22" i="47"/>
  <c r="L24" i="47" s="1"/>
  <c r="K22" i="47"/>
  <c r="K24" i="47" s="1"/>
  <c r="H22" i="47"/>
  <c r="H24" i="47" s="1"/>
  <c r="D22" i="47"/>
  <c r="D24" i="47" s="1"/>
  <c r="G21" i="47"/>
  <c r="G22" i="47" s="1"/>
  <c r="G24" i="47" s="1"/>
  <c r="AG20" i="47"/>
  <c r="AF20" i="47"/>
  <c r="AE20" i="47"/>
  <c r="AD22" i="47"/>
  <c r="AD24" i="47" s="1"/>
  <c r="AC20" i="47"/>
  <c r="AA20" i="47"/>
  <c r="Z22" i="47"/>
  <c r="Z24" i="47" s="1"/>
  <c r="X20" i="47"/>
  <c r="W20" i="47"/>
  <c r="V20" i="47"/>
  <c r="V22" i="47" s="1"/>
  <c r="V24" i="47" s="1"/>
  <c r="U20" i="47"/>
  <c r="T20" i="47"/>
  <c r="R22" i="47"/>
  <c r="R24" i="47" s="1"/>
  <c r="Q22" i="47"/>
  <c r="Q24" i="47" s="1"/>
  <c r="Q22" i="48" s="1"/>
  <c r="Q24" i="48" s="1"/>
  <c r="O20" i="47"/>
  <c r="N20" i="47"/>
  <c r="N22" i="47" s="1"/>
  <c r="N24" i="47" s="1"/>
  <c r="M20" i="47"/>
  <c r="M22" i="47" s="1"/>
  <c r="M24" i="47" s="1"/>
  <c r="L20" i="47"/>
  <c r="K20" i="47"/>
  <c r="J20" i="47"/>
  <c r="J22" i="47" s="1"/>
  <c r="J24" i="47" s="1"/>
  <c r="I20" i="47"/>
  <c r="I22" i="47" s="1"/>
  <c r="I24" i="47" s="1"/>
  <c r="H20" i="47"/>
  <c r="G20" i="47"/>
  <c r="F20" i="47"/>
  <c r="F22" i="47" s="1"/>
  <c r="F24" i="47" s="1"/>
  <c r="E20" i="47"/>
  <c r="E22" i="47" s="1"/>
  <c r="E24" i="47" s="1"/>
  <c r="S22" i="48" l="1"/>
  <c r="S24" i="48" s="1"/>
  <c r="S20" i="46"/>
  <c r="T20" i="46"/>
  <c r="U20" i="46"/>
  <c r="V20" i="46"/>
  <c r="W20" i="46"/>
  <c r="X20" i="46"/>
  <c r="Y20" i="46"/>
  <c r="Z20" i="46"/>
  <c r="AA20" i="46"/>
  <c r="AB20" i="46"/>
  <c r="AC20" i="46"/>
  <c r="AD20" i="46"/>
  <c r="AE20" i="46"/>
  <c r="AF20" i="46"/>
  <c r="AG20" i="46"/>
  <c r="R22" i="46"/>
  <c r="S22" i="46"/>
  <c r="T22" i="46"/>
  <c r="U22" i="46"/>
  <c r="V22" i="46"/>
  <c r="W22" i="46"/>
  <c r="X22" i="46"/>
  <c r="Y22" i="46"/>
  <c r="Z22" i="46"/>
  <c r="AA22" i="46"/>
  <c r="AB22" i="46"/>
  <c r="AC22" i="46"/>
  <c r="AD22" i="46"/>
  <c r="AE22" i="46"/>
  <c r="AF22" i="46"/>
  <c r="AG22" i="46"/>
  <c r="Q20" i="46"/>
  <c r="Q22" i="46" s="1"/>
  <c r="Q24" i="46" s="1"/>
  <c r="P22" i="46"/>
  <c r="P24" i="46" s="1"/>
  <c r="S24" i="46" l="1"/>
  <c r="U24" i="46"/>
  <c r="V24" i="46"/>
  <c r="X24" i="46"/>
  <c r="Y24" i="46"/>
  <c r="Z24" i="46"/>
  <c r="AB24" i="46"/>
  <c r="AC24" i="46"/>
  <c r="AD24" i="46"/>
  <c r="AE24" i="46"/>
  <c r="AF24" i="46"/>
  <c r="AG24" i="46"/>
  <c r="R20" i="46"/>
  <c r="O23" i="46"/>
  <c r="M23" i="46"/>
  <c r="K23" i="46"/>
  <c r="I23" i="46"/>
  <c r="H23" i="46"/>
  <c r="G23" i="46"/>
  <c r="E23" i="46"/>
  <c r="D22" i="46"/>
  <c r="D24" i="46" s="1"/>
  <c r="G21" i="46"/>
  <c r="AA24" i="46"/>
  <c r="W24" i="46"/>
  <c r="T24" i="46"/>
  <c r="R24" i="46"/>
  <c r="O20" i="46"/>
  <c r="O22" i="46" s="1"/>
  <c r="O24" i="46" s="1"/>
  <c r="N20" i="46"/>
  <c r="N22" i="46" s="1"/>
  <c r="N24" i="46" s="1"/>
  <c r="M20" i="46"/>
  <c r="M22" i="46" s="1"/>
  <c r="M24" i="46" s="1"/>
  <c r="L20" i="46"/>
  <c r="L22" i="46" s="1"/>
  <c r="L24" i="46" s="1"/>
  <c r="K20" i="46"/>
  <c r="K22" i="46" s="1"/>
  <c r="K24" i="46" s="1"/>
  <c r="J20" i="46"/>
  <c r="J22" i="46" s="1"/>
  <c r="J24" i="46" s="1"/>
  <c r="I20" i="46"/>
  <c r="I22" i="46" s="1"/>
  <c r="I24" i="46" s="1"/>
  <c r="H20" i="46"/>
  <c r="H22" i="46" s="1"/>
  <c r="H24" i="46" s="1"/>
  <c r="G20" i="46"/>
  <c r="G22" i="46" s="1"/>
  <c r="G24" i="46" s="1"/>
  <c r="F20" i="46"/>
  <c r="F22" i="46" s="1"/>
  <c r="F24" i="46" s="1"/>
  <c r="E20" i="46"/>
  <c r="E22" i="46" s="1"/>
  <c r="E24" i="46" s="1"/>
  <c r="P23" i="45" l="1"/>
  <c r="Q20" i="45"/>
  <c r="R20" i="45"/>
  <c r="S20" i="45"/>
  <c r="T20" i="45"/>
  <c r="T22" i="45" s="1"/>
  <c r="T24" i="45" s="1"/>
  <c r="U20" i="45"/>
  <c r="V20" i="45"/>
  <c r="W20" i="45"/>
  <c r="X20" i="45"/>
  <c r="X22" i="45" s="1"/>
  <c r="X24" i="45" s="1"/>
  <c r="Y20" i="45"/>
  <c r="Y22" i="45" s="1"/>
  <c r="Y24" i="45" s="1"/>
  <c r="Z20" i="45"/>
  <c r="Z22" i="45" s="1"/>
  <c r="Z24" i="45" s="1"/>
  <c r="AA20" i="45"/>
  <c r="AA22" i="45" s="1"/>
  <c r="AA24" i="45" s="1"/>
  <c r="AB20" i="45"/>
  <c r="AE20" i="45"/>
  <c r="P20" i="45"/>
  <c r="P22" i="45" s="1"/>
  <c r="P24" i="45" s="1"/>
  <c r="S23" i="45"/>
  <c r="O23" i="45"/>
  <c r="M23" i="45"/>
  <c r="K23" i="45"/>
  <c r="I23" i="45"/>
  <c r="H23" i="45"/>
  <c r="G23" i="45"/>
  <c r="E23" i="45"/>
  <c r="AD22" i="45"/>
  <c r="AD24" i="45" s="1"/>
  <c r="AB22" i="45"/>
  <c r="AB24" i="45" s="1"/>
  <c r="V22" i="45"/>
  <c r="V24" i="45" s="1"/>
  <c r="R22" i="45"/>
  <c r="R24" i="45" s="1"/>
  <c r="D22" i="45"/>
  <c r="D24" i="45" s="1"/>
  <c r="G21" i="45"/>
  <c r="AE22" i="45"/>
  <c r="AE24" i="45" s="1"/>
  <c r="AC22" i="45"/>
  <c r="AC24" i="45" s="1"/>
  <c r="W22" i="45"/>
  <c r="W24" i="45" s="1"/>
  <c r="U22" i="45"/>
  <c r="U24" i="45" s="1"/>
  <c r="S22" i="45"/>
  <c r="S24" i="45" s="1"/>
  <c r="Q22" i="45"/>
  <c r="O20" i="45"/>
  <c r="O22" i="45" s="1"/>
  <c r="O24" i="45" s="1"/>
  <c r="N20" i="45"/>
  <c r="N22" i="45" s="1"/>
  <c r="N24" i="45" s="1"/>
  <c r="M20" i="45"/>
  <c r="M22" i="45" s="1"/>
  <c r="M24" i="45" s="1"/>
  <c r="L20" i="45"/>
  <c r="L22" i="45" s="1"/>
  <c r="L24" i="45" s="1"/>
  <c r="K20" i="45"/>
  <c r="K22" i="45" s="1"/>
  <c r="K24" i="45" s="1"/>
  <c r="J20" i="45"/>
  <c r="J22" i="45" s="1"/>
  <c r="J24" i="45" s="1"/>
  <c r="I20" i="45"/>
  <c r="I22" i="45" s="1"/>
  <c r="I24" i="45" s="1"/>
  <c r="H20" i="45"/>
  <c r="H22" i="45" s="1"/>
  <c r="H24" i="45" s="1"/>
  <c r="G20" i="45"/>
  <c r="F20" i="45"/>
  <c r="F22" i="45" s="1"/>
  <c r="F24" i="45" s="1"/>
  <c r="E20" i="45"/>
  <c r="E22" i="45" s="1"/>
  <c r="E24" i="45" s="1"/>
  <c r="Q24" i="45" l="1"/>
  <c r="G22" i="45"/>
  <c r="G24" i="45" s="1"/>
  <c r="P23" i="43"/>
  <c r="Q21" i="43"/>
  <c r="P21" i="43"/>
  <c r="G20" i="43" l="1"/>
  <c r="G22" i="43" s="1"/>
  <c r="G24" i="43" s="1"/>
  <c r="H20" i="43"/>
  <c r="H22" i="43" s="1"/>
  <c r="H24" i="43" s="1"/>
  <c r="I20" i="43"/>
  <c r="I22" i="43" s="1"/>
  <c r="I24" i="43" s="1"/>
  <c r="J20" i="43"/>
  <c r="K20" i="43"/>
  <c r="L20" i="43"/>
  <c r="M20" i="43"/>
  <c r="N20" i="43"/>
  <c r="O20" i="43"/>
  <c r="O22" i="43" s="1"/>
  <c r="O24" i="43" s="1"/>
  <c r="P20" i="43"/>
  <c r="Q20" i="43"/>
  <c r="Q22" i="43" s="1"/>
  <c r="R20" i="43"/>
  <c r="R22" i="43" s="1"/>
  <c r="R24" i="43" s="1"/>
  <c r="S20" i="43"/>
  <c r="S22" i="43" s="1"/>
  <c r="S24" i="43" s="1"/>
  <c r="T20" i="43"/>
  <c r="T22" i="43" s="1"/>
  <c r="T24" i="43" s="1"/>
  <c r="U20" i="43"/>
  <c r="U22" i="43" s="1"/>
  <c r="U24" i="43" s="1"/>
  <c r="V20" i="43"/>
  <c r="W20" i="43"/>
  <c r="X20" i="43"/>
  <c r="Y20" i="43"/>
  <c r="Y22" i="43" s="1"/>
  <c r="Y24" i="43" s="1"/>
  <c r="Z20" i="43"/>
  <c r="Z22" i="43" s="1"/>
  <c r="Z24" i="43" s="1"/>
  <c r="AA22" i="43"/>
  <c r="AA24" i="43" s="1"/>
  <c r="AB20" i="43"/>
  <c r="AC20" i="43"/>
  <c r="AD20" i="43"/>
  <c r="AE20" i="43"/>
  <c r="AE22" i="43" s="1"/>
  <c r="AE24" i="43" s="1"/>
  <c r="F20" i="43"/>
  <c r="F22" i="43" s="1"/>
  <c r="F24" i="43" s="1"/>
  <c r="D24" i="43"/>
  <c r="S23" i="43"/>
  <c r="Q23" i="43"/>
  <c r="O23" i="43"/>
  <c r="M23" i="43"/>
  <c r="K23" i="43"/>
  <c r="I23" i="43"/>
  <c r="H23" i="43"/>
  <c r="G23" i="43"/>
  <c r="E23" i="43"/>
  <c r="AD22" i="43"/>
  <c r="AD24" i="43" s="1"/>
  <c r="AC22" i="43"/>
  <c r="AC24" i="43" s="1"/>
  <c r="E22" i="43"/>
  <c r="E24" i="43" s="1"/>
  <c r="D22" i="43"/>
  <c r="G21" i="43"/>
  <c r="AB22" i="43"/>
  <c r="AB24" i="43" s="1"/>
  <c r="X22" i="43"/>
  <c r="X24" i="43" s="1"/>
  <c r="W22" i="43"/>
  <c r="W24" i="43" s="1"/>
  <c r="V22" i="43"/>
  <c r="V24" i="43" s="1"/>
  <c r="P22" i="43"/>
  <c r="P24" i="43" s="1"/>
  <c r="N22" i="43"/>
  <c r="N24" i="43" s="1"/>
  <c r="M22" i="43"/>
  <c r="M24" i="43" s="1"/>
  <c r="L22" i="43"/>
  <c r="L24" i="43" s="1"/>
  <c r="K22" i="43"/>
  <c r="K24" i="43" s="1"/>
  <c r="J22" i="43"/>
  <c r="J24" i="43" s="1"/>
  <c r="E20" i="43"/>
  <c r="Q24" i="43" l="1"/>
  <c r="P23" i="42"/>
  <c r="G20" i="42" l="1"/>
  <c r="H20" i="42"/>
  <c r="I20" i="42"/>
  <c r="J20" i="42"/>
  <c r="J22" i="42" s="1"/>
  <c r="J24" i="42" s="1"/>
  <c r="K20" i="42"/>
  <c r="K22" i="42" s="1"/>
  <c r="K24" i="42" s="1"/>
  <c r="L20" i="42"/>
  <c r="L22" i="42" s="1"/>
  <c r="L24" i="42" s="1"/>
  <c r="M20" i="42"/>
  <c r="N20" i="42"/>
  <c r="O20" i="42"/>
  <c r="O22" i="42" s="1"/>
  <c r="O24" i="42" s="1"/>
  <c r="P20" i="42"/>
  <c r="Q20" i="42"/>
  <c r="Q22" i="42" s="1"/>
  <c r="R20" i="42"/>
  <c r="R22" i="42" s="1"/>
  <c r="R24" i="42" s="1"/>
  <c r="S20" i="42"/>
  <c r="T20" i="42"/>
  <c r="U20" i="42"/>
  <c r="V20" i="42"/>
  <c r="V22" i="42" s="1"/>
  <c r="V24" i="42" s="1"/>
  <c r="W20" i="42"/>
  <c r="W22" i="42" s="1"/>
  <c r="W24" i="42" s="1"/>
  <c r="X20" i="42"/>
  <c r="X22" i="42" s="1"/>
  <c r="X24" i="42" s="1"/>
  <c r="Y20" i="42"/>
  <c r="Z20" i="42"/>
  <c r="AA20" i="42"/>
  <c r="AA22" i="42" s="1"/>
  <c r="AA24" i="42" s="1"/>
  <c r="AB20" i="42"/>
  <c r="AC20" i="42"/>
  <c r="AC22" i="42" s="1"/>
  <c r="AC24" i="42" s="1"/>
  <c r="AD20" i="42"/>
  <c r="AD22" i="42" s="1"/>
  <c r="AD24" i="42" s="1"/>
  <c r="AE20" i="42"/>
  <c r="F20" i="42"/>
  <c r="F22" i="42" s="1"/>
  <c r="F24" i="42" s="1"/>
  <c r="D24" i="42"/>
  <c r="S23" i="42"/>
  <c r="Q23" i="42"/>
  <c r="O23" i="42"/>
  <c r="M23" i="42"/>
  <c r="K23" i="42"/>
  <c r="I23" i="42"/>
  <c r="H23" i="42"/>
  <c r="G23" i="42"/>
  <c r="E23" i="42"/>
  <c r="Z22" i="42"/>
  <c r="Z24" i="42" s="1"/>
  <c r="U22" i="42"/>
  <c r="U24" i="42" s="1"/>
  <c r="T22" i="42"/>
  <c r="T24" i="42" s="1"/>
  <c r="N22" i="42"/>
  <c r="N24" i="42" s="1"/>
  <c r="I22" i="42"/>
  <c r="I24" i="42" s="1"/>
  <c r="H22" i="42"/>
  <c r="H24" i="42" s="1"/>
  <c r="E22" i="42"/>
  <c r="E24" i="42" s="1"/>
  <c r="D22" i="42"/>
  <c r="G21" i="42"/>
  <c r="AE22" i="42"/>
  <c r="AE24" i="42" s="1"/>
  <c r="AB22" i="42"/>
  <c r="AB24" i="42" s="1"/>
  <c r="Y22" i="42"/>
  <c r="Y24" i="42" s="1"/>
  <c r="S22" i="42"/>
  <c r="S24" i="42" s="1"/>
  <c r="P22" i="42"/>
  <c r="P24" i="42" s="1"/>
  <c r="M22" i="42"/>
  <c r="M24" i="42" s="1"/>
  <c r="G22" i="42"/>
  <c r="G24" i="42" s="1"/>
  <c r="E20" i="42"/>
  <c r="Q24" i="42" l="1"/>
  <c r="G20" i="41"/>
  <c r="H20" i="41"/>
  <c r="H22" i="41" s="1"/>
  <c r="H24" i="41" s="1"/>
  <c r="I20" i="41"/>
  <c r="J20" i="41"/>
  <c r="J22" i="41" s="1"/>
  <c r="J24" i="41" s="1"/>
  <c r="K20" i="41"/>
  <c r="L20" i="41"/>
  <c r="L22" i="41" s="1"/>
  <c r="L24" i="41" s="1"/>
  <c r="M20" i="41"/>
  <c r="N20" i="41"/>
  <c r="O20" i="41"/>
  <c r="P20" i="41"/>
  <c r="P22" i="41" s="1"/>
  <c r="P24" i="41" s="1"/>
  <c r="Q20" i="41"/>
  <c r="Q22" i="41" s="1"/>
  <c r="R20" i="41"/>
  <c r="R22" i="41" s="1"/>
  <c r="R24" i="41" s="1"/>
  <c r="S20" i="41"/>
  <c r="T20" i="41"/>
  <c r="U20" i="41"/>
  <c r="V20" i="41"/>
  <c r="W20" i="41"/>
  <c r="W22" i="41" s="1"/>
  <c r="W24" i="41" s="1"/>
  <c r="X20" i="41"/>
  <c r="X22" i="41" s="1"/>
  <c r="X24" i="41" s="1"/>
  <c r="Y20" i="41"/>
  <c r="Z20" i="41"/>
  <c r="Z22" i="41" s="1"/>
  <c r="Z24" i="41" s="1"/>
  <c r="AA20" i="41"/>
  <c r="AB20" i="41"/>
  <c r="AB22" i="41" s="1"/>
  <c r="AB24" i="41" s="1"/>
  <c r="AC20" i="41"/>
  <c r="AD20" i="41"/>
  <c r="AD22" i="41" s="1"/>
  <c r="AD24" i="41" s="1"/>
  <c r="AE20" i="41"/>
  <c r="F20" i="41"/>
  <c r="F22" i="41" s="1"/>
  <c r="F24" i="41" s="1"/>
  <c r="S23" i="41"/>
  <c r="Q23" i="41"/>
  <c r="O23" i="41"/>
  <c r="M23" i="41"/>
  <c r="K23" i="41"/>
  <c r="I23" i="41"/>
  <c r="H23" i="41"/>
  <c r="G23" i="41"/>
  <c r="E23" i="41"/>
  <c r="AE22" i="41"/>
  <c r="AE24" i="41" s="1"/>
  <c r="Y22" i="41"/>
  <c r="Y24" i="41" s="1"/>
  <c r="T22" i="41"/>
  <c r="T24" i="41" s="1"/>
  <c r="S22" i="41"/>
  <c r="S24" i="41" s="1"/>
  <c r="N22" i="41"/>
  <c r="N24" i="41" s="1"/>
  <c r="M22" i="41"/>
  <c r="M24" i="41" s="1"/>
  <c r="G22" i="41"/>
  <c r="G24" i="41" s="1"/>
  <c r="D22" i="41"/>
  <c r="D24" i="41" s="1"/>
  <c r="G21" i="41"/>
  <c r="AC22" i="41"/>
  <c r="AC24" i="41" s="1"/>
  <c r="AA22" i="41"/>
  <c r="AA24" i="41" s="1"/>
  <c r="V22" i="41"/>
  <c r="V24" i="41" s="1"/>
  <c r="U22" i="41"/>
  <c r="U24" i="41" s="1"/>
  <c r="O22" i="41"/>
  <c r="O24" i="41" s="1"/>
  <c r="K22" i="41"/>
  <c r="K24" i="41" s="1"/>
  <c r="I22" i="41"/>
  <c r="I24" i="41" s="1"/>
  <c r="E20" i="41"/>
  <c r="E22" i="41" s="1"/>
  <c r="E24" i="41" s="1"/>
  <c r="Q24" i="41" l="1"/>
  <c r="G20" i="40"/>
  <c r="G22" i="40" s="1"/>
  <c r="G24" i="40" s="1"/>
  <c r="H20" i="40"/>
  <c r="I20" i="40"/>
  <c r="J20" i="40"/>
  <c r="J22" i="40" s="1"/>
  <c r="J24" i="40" s="1"/>
  <c r="K20" i="40"/>
  <c r="L20" i="40"/>
  <c r="M20" i="40"/>
  <c r="N20" i="40"/>
  <c r="O20" i="40"/>
  <c r="P20" i="40"/>
  <c r="P22" i="40" s="1"/>
  <c r="P24" i="40" s="1"/>
  <c r="Q20" i="40"/>
  <c r="R20" i="40"/>
  <c r="S20" i="40"/>
  <c r="S22" i="40" s="1"/>
  <c r="T20" i="40"/>
  <c r="U20" i="40"/>
  <c r="V20" i="40"/>
  <c r="V22" i="40" s="1"/>
  <c r="V24" i="40" s="1"/>
  <c r="W20" i="40"/>
  <c r="X20" i="40"/>
  <c r="Y20" i="40"/>
  <c r="Y22" i="40" s="1"/>
  <c r="Y24" i="40" s="1"/>
  <c r="Z20" i="40"/>
  <c r="AA20" i="40"/>
  <c r="AB20" i="40"/>
  <c r="AB22" i="40" s="1"/>
  <c r="AB24" i="40" s="1"/>
  <c r="AC20" i="40"/>
  <c r="AD20" i="40"/>
  <c r="AE20" i="40"/>
  <c r="AE22" i="40" s="1"/>
  <c r="AE24" i="40" s="1"/>
  <c r="F20" i="40"/>
  <c r="F22" i="40" s="1"/>
  <c r="F24" i="40" s="1"/>
  <c r="S23" i="40"/>
  <c r="Q23" i="40"/>
  <c r="O23" i="40"/>
  <c r="M23" i="40"/>
  <c r="K23" i="40"/>
  <c r="I23" i="40"/>
  <c r="H23" i="40"/>
  <c r="G23" i="40"/>
  <c r="E23" i="40"/>
  <c r="AD22" i="40"/>
  <c r="AD24" i="40" s="1"/>
  <c r="AC22" i="40"/>
  <c r="AC24" i="40" s="1"/>
  <c r="X22" i="40"/>
  <c r="X24" i="40" s="1"/>
  <c r="W22" i="40"/>
  <c r="R22" i="40"/>
  <c r="R24" i="40" s="1"/>
  <c r="Q22" i="40"/>
  <c r="M22" i="40"/>
  <c r="M24" i="40" s="1"/>
  <c r="L22" i="40"/>
  <c r="L24" i="40" s="1"/>
  <c r="K22" i="40"/>
  <c r="K24" i="40" s="1"/>
  <c r="D22" i="40"/>
  <c r="D24" i="40" s="1"/>
  <c r="G21" i="40"/>
  <c r="AA22" i="40"/>
  <c r="Z22" i="40"/>
  <c r="U22" i="40"/>
  <c r="U24" i="40" s="1"/>
  <c r="T22" i="40"/>
  <c r="T24" i="40" s="1"/>
  <c r="O22" i="40"/>
  <c r="O24" i="40" s="1"/>
  <c r="N22" i="40"/>
  <c r="N24" i="40" s="1"/>
  <c r="I22" i="40"/>
  <c r="I24" i="40" s="1"/>
  <c r="H22" i="40"/>
  <c r="H24" i="40" s="1"/>
  <c r="E20" i="40"/>
  <c r="E22" i="40" s="1"/>
  <c r="E24" i="40" s="1"/>
  <c r="Z24" i="40" l="1"/>
  <c r="AA24" i="40"/>
  <c r="W24" i="40"/>
  <c r="Q24" i="40"/>
  <c r="S24" i="40"/>
  <c r="Z23" i="39"/>
  <c r="P23" i="39" l="1"/>
  <c r="G20" i="39"/>
  <c r="H20" i="39"/>
  <c r="I20" i="39"/>
  <c r="J20" i="39"/>
  <c r="K20" i="39"/>
  <c r="L20" i="39"/>
  <c r="M20" i="39"/>
  <c r="N20" i="39"/>
  <c r="O20" i="39"/>
  <c r="P20" i="39"/>
  <c r="Q20" i="39"/>
  <c r="R20" i="39"/>
  <c r="S20" i="39"/>
  <c r="T20" i="39"/>
  <c r="U20" i="39"/>
  <c r="V20" i="39"/>
  <c r="W20" i="39"/>
  <c r="X20" i="39"/>
  <c r="Y20" i="39"/>
  <c r="Z20" i="39"/>
  <c r="AA20" i="39"/>
  <c r="AB20" i="39"/>
  <c r="AC20" i="39"/>
  <c r="AD20" i="39"/>
  <c r="AE20" i="39"/>
  <c r="F20" i="39"/>
  <c r="H22" i="39" l="1"/>
  <c r="H24" i="39" s="1"/>
  <c r="J22" i="39"/>
  <c r="J24" i="39" s="1"/>
  <c r="M22" i="39"/>
  <c r="M24" i="39" s="1"/>
  <c r="N22" i="39"/>
  <c r="N24" i="39" s="1"/>
  <c r="S22" i="39"/>
  <c r="S24" i="39" s="1"/>
  <c r="T22" i="39"/>
  <c r="T24" i="39" s="1"/>
  <c r="V22" i="39"/>
  <c r="V24" i="39" s="1"/>
  <c r="Z22" i="39"/>
  <c r="Z24" i="39" s="1"/>
  <c r="AB22" i="39"/>
  <c r="AB24" i="39" s="1"/>
  <c r="AE22" i="39"/>
  <c r="AE24" i="39" s="1"/>
  <c r="D24" i="39"/>
  <c r="S23" i="39"/>
  <c r="Q23" i="39"/>
  <c r="O23" i="39"/>
  <c r="M23" i="39"/>
  <c r="K23" i="39"/>
  <c r="I23" i="39"/>
  <c r="H23" i="39"/>
  <c r="G23" i="39"/>
  <c r="E23" i="39"/>
  <c r="AC22" i="39"/>
  <c r="AC24" i="39" s="1"/>
  <c r="Y22" i="39"/>
  <c r="Y24" i="39" s="1"/>
  <c r="G22" i="39"/>
  <c r="G24" i="39" s="1"/>
  <c r="D22" i="39"/>
  <c r="G21" i="39"/>
  <c r="AD22" i="39"/>
  <c r="AD24" i="39" s="1"/>
  <c r="AA22" i="39"/>
  <c r="AA24" i="39" s="1"/>
  <c r="X22" i="39"/>
  <c r="X24" i="39" s="1"/>
  <c r="W22" i="39"/>
  <c r="W24" i="39" s="1"/>
  <c r="U22" i="39"/>
  <c r="U24" i="39" s="1"/>
  <c r="R22" i="39"/>
  <c r="R24" i="39" s="1"/>
  <c r="Q22" i="39"/>
  <c r="Q24" i="39" s="1"/>
  <c r="P22" i="39"/>
  <c r="P24" i="39" s="1"/>
  <c r="O22" i="39"/>
  <c r="O24" i="39" s="1"/>
  <c r="L22" i="39"/>
  <c r="L24" i="39" s="1"/>
  <c r="K22" i="39"/>
  <c r="K24" i="39" s="1"/>
  <c r="I22" i="39"/>
  <c r="I24" i="39" s="1"/>
  <c r="F22" i="39"/>
  <c r="F24" i="39" s="1"/>
  <c r="E20" i="39"/>
  <c r="E22" i="39" s="1"/>
  <c r="E24" i="39" s="1"/>
  <c r="AA20" i="38" l="1"/>
  <c r="AA22" i="38"/>
  <c r="AA24" i="38" s="1"/>
  <c r="AB22" i="38"/>
  <c r="AB24" i="38"/>
  <c r="F23" i="38"/>
  <c r="G21" i="38"/>
  <c r="F21" i="35"/>
  <c r="Q23" i="38"/>
  <c r="P23" i="38"/>
  <c r="G23" i="38"/>
  <c r="G20" i="38"/>
  <c r="H20" i="38"/>
  <c r="I20" i="38"/>
  <c r="I22" i="38" s="1"/>
  <c r="I24" i="38" s="1"/>
  <c r="J20" i="38"/>
  <c r="K20" i="38"/>
  <c r="L20" i="38"/>
  <c r="M20" i="38"/>
  <c r="N20" i="38"/>
  <c r="O20" i="38"/>
  <c r="O22" i="38" s="1"/>
  <c r="O24" i="38" s="1"/>
  <c r="P20" i="38"/>
  <c r="Q20" i="38"/>
  <c r="R20" i="38"/>
  <c r="R22" i="38" s="1"/>
  <c r="R24" i="38" s="1"/>
  <c r="S20" i="38"/>
  <c r="T20" i="38"/>
  <c r="U20" i="38"/>
  <c r="V20" i="38"/>
  <c r="V22" i="38" s="1"/>
  <c r="V24" i="38" s="1"/>
  <c r="W20" i="38"/>
  <c r="X20" i="38"/>
  <c r="Y20" i="38"/>
  <c r="Z20" i="38"/>
  <c r="AC20" i="38"/>
  <c r="AC22" i="38" s="1"/>
  <c r="AC24" i="38" s="1"/>
  <c r="AD20" i="38"/>
  <c r="AE20" i="38"/>
  <c r="AE22" i="38" s="1"/>
  <c r="AE24" i="38" s="1"/>
  <c r="F20" i="38"/>
  <c r="M22" i="38"/>
  <c r="M24" i="38" s="1"/>
  <c r="U22" i="38"/>
  <c r="U24" i="38" s="1"/>
  <c r="Y22" i="38"/>
  <c r="Y24" i="38" s="1"/>
  <c r="S22" i="38"/>
  <c r="S24" i="38" s="1"/>
  <c r="S23" i="38"/>
  <c r="O23" i="38"/>
  <c r="M23" i="38"/>
  <c r="K23" i="38"/>
  <c r="I23" i="38"/>
  <c r="H23" i="38"/>
  <c r="E23" i="38"/>
  <c r="Z22" i="38"/>
  <c r="Z24" i="38" s="1"/>
  <c r="T22" i="38"/>
  <c r="T24" i="38" s="1"/>
  <c r="N22" i="38"/>
  <c r="N24" i="38" s="1"/>
  <c r="J22" i="38"/>
  <c r="J24" i="38" s="1"/>
  <c r="H22" i="38"/>
  <c r="H24" i="38" s="1"/>
  <c r="D22" i="38"/>
  <c r="D24" i="38" s="1"/>
  <c r="AD22" i="38"/>
  <c r="AD24" i="38" s="1"/>
  <c r="X22" i="38"/>
  <c r="X24" i="38" s="1"/>
  <c r="W22" i="38"/>
  <c r="W24" i="38" s="1"/>
  <c r="L22" i="38"/>
  <c r="L24" i="38" s="1"/>
  <c r="K22" i="38"/>
  <c r="K24" i="38" s="1"/>
  <c r="E20" i="38"/>
  <c r="E22" i="38" s="1"/>
  <c r="E24" i="38" s="1"/>
  <c r="F22" i="38" l="1"/>
  <c r="F24" i="38"/>
  <c r="G22" i="38"/>
  <c r="G24" i="38" s="1"/>
  <c r="P22" i="38"/>
  <c r="P24" i="38" s="1"/>
  <c r="P25" i="38" s="1"/>
  <c r="Q22" i="38"/>
  <c r="Q24" i="38" s="1"/>
  <c r="Q21" i="37"/>
  <c r="P21" i="37"/>
  <c r="G23" i="37"/>
  <c r="G20" i="37" l="1"/>
  <c r="F23" i="37" l="1"/>
  <c r="E20" i="37" l="1"/>
  <c r="F20" i="37"/>
  <c r="F22" i="37" s="1"/>
  <c r="F24" i="37" s="1"/>
  <c r="H20" i="37"/>
  <c r="H22" i="37" s="1"/>
  <c r="H24" i="37" s="1"/>
  <c r="I20" i="37"/>
  <c r="I22" i="37" s="1"/>
  <c r="I24" i="37" s="1"/>
  <c r="J20" i="37"/>
  <c r="K20" i="37"/>
  <c r="L20" i="37"/>
  <c r="L22" i="37" s="1"/>
  <c r="L24" i="37" s="1"/>
  <c r="M20" i="37"/>
  <c r="N20" i="37"/>
  <c r="N22" i="37" s="1"/>
  <c r="N24" i="37" s="1"/>
  <c r="O20" i="37"/>
  <c r="O22" i="37" s="1"/>
  <c r="O24" i="37" s="1"/>
  <c r="P20" i="37"/>
  <c r="Q20" i="37"/>
  <c r="R20" i="37"/>
  <c r="S20" i="37"/>
  <c r="T20" i="37"/>
  <c r="U20" i="37"/>
  <c r="U22" i="37" s="1"/>
  <c r="U24" i="37" s="1"/>
  <c r="V20" i="37"/>
  <c r="W20" i="37"/>
  <c r="X20" i="37"/>
  <c r="X22" i="37" s="1"/>
  <c r="X24" i="37" s="1"/>
  <c r="Y20" i="37"/>
  <c r="Z20" i="37"/>
  <c r="Z22" i="37" s="1"/>
  <c r="Z24" i="37" s="1"/>
  <c r="AA20" i="37"/>
  <c r="AA22" i="37" s="1"/>
  <c r="AA24" i="37" s="1"/>
  <c r="AB20" i="37"/>
  <c r="AC20" i="37"/>
  <c r="AD20" i="37"/>
  <c r="AD22" i="37" s="1"/>
  <c r="AD24" i="37" s="1"/>
  <c r="D20" i="37"/>
  <c r="D22" i="37" s="1"/>
  <c r="D24" i="37" s="1"/>
  <c r="S23" i="37"/>
  <c r="Q23" i="37"/>
  <c r="O23" i="37"/>
  <c r="M23" i="37"/>
  <c r="K23" i="37"/>
  <c r="I23" i="37"/>
  <c r="H23" i="37"/>
  <c r="E23" i="37"/>
  <c r="AC22" i="37"/>
  <c r="AC24" i="37" s="1"/>
  <c r="W22" i="37"/>
  <c r="W24" i="37" s="1"/>
  <c r="R22" i="37"/>
  <c r="R24" i="37" s="1"/>
  <c r="Q22" i="37"/>
  <c r="Q24" i="37" s="1"/>
  <c r="K22" i="37"/>
  <c r="K24" i="37" s="1"/>
  <c r="E22" i="37"/>
  <c r="E24" i="37" s="1"/>
  <c r="AB22" i="37"/>
  <c r="AB24" i="37" s="1"/>
  <c r="Y22" i="37"/>
  <c r="Y24" i="37" s="1"/>
  <c r="V22" i="37"/>
  <c r="V24" i="37" s="1"/>
  <c r="T22" i="37"/>
  <c r="T24" i="37" s="1"/>
  <c r="S22" i="37"/>
  <c r="S24" i="37" s="1"/>
  <c r="P22" i="37"/>
  <c r="P24" i="37" s="1"/>
  <c r="M22" i="37"/>
  <c r="M24" i="37" s="1"/>
  <c r="J22" i="37"/>
  <c r="J24" i="37" s="1"/>
  <c r="G22" i="37"/>
  <c r="G24" i="37" l="1"/>
  <c r="E20" i="36"/>
  <c r="F20" i="36"/>
  <c r="F22" i="36" s="1"/>
  <c r="F24" i="36" s="1"/>
  <c r="G20" i="36"/>
  <c r="H20" i="36"/>
  <c r="H22" i="36" s="1"/>
  <c r="H24" i="36" s="1"/>
  <c r="I20" i="36"/>
  <c r="J20" i="36"/>
  <c r="J22" i="36" s="1"/>
  <c r="J24" i="36" s="1"/>
  <c r="K20" i="36"/>
  <c r="L20" i="36"/>
  <c r="L22" i="36" s="1"/>
  <c r="L24" i="36" s="1"/>
  <c r="M20" i="36"/>
  <c r="N20" i="36"/>
  <c r="N22" i="36" s="1"/>
  <c r="N24" i="36" s="1"/>
  <c r="O20" i="36"/>
  <c r="P20" i="36"/>
  <c r="P22" i="36" s="1"/>
  <c r="P24" i="36" s="1"/>
  <c r="Q20" i="36"/>
  <c r="R20" i="36"/>
  <c r="R22" i="36" s="1"/>
  <c r="R24" i="36" s="1"/>
  <c r="S20" i="36"/>
  <c r="T20" i="36"/>
  <c r="T22" i="36" s="1"/>
  <c r="T24" i="36" s="1"/>
  <c r="U20" i="36"/>
  <c r="V20" i="36"/>
  <c r="V22" i="36" s="1"/>
  <c r="V24" i="36" s="1"/>
  <c r="W20" i="36"/>
  <c r="X20" i="36"/>
  <c r="X22" i="36" s="1"/>
  <c r="X24" i="36" s="1"/>
  <c r="Y20" i="36"/>
  <c r="Z20" i="36"/>
  <c r="Z22" i="36" s="1"/>
  <c r="Z24" i="36" s="1"/>
  <c r="AA20" i="36"/>
  <c r="AB20" i="36"/>
  <c r="AB22" i="36" s="1"/>
  <c r="AB24" i="36" s="1"/>
  <c r="AC20" i="36"/>
  <c r="AD20" i="36"/>
  <c r="AD22" i="36" s="1"/>
  <c r="AD24" i="36" s="1"/>
  <c r="D20" i="36"/>
  <c r="D22" i="36" s="1"/>
  <c r="D24" i="36" s="1"/>
  <c r="S23" i="36"/>
  <c r="Q23" i="36"/>
  <c r="O23" i="36"/>
  <c r="M23" i="36"/>
  <c r="K23" i="36"/>
  <c r="I23" i="36"/>
  <c r="H23" i="36"/>
  <c r="G23" i="36"/>
  <c r="E23" i="36"/>
  <c r="AC22" i="36"/>
  <c r="AC24" i="36" s="1"/>
  <c r="AA22" i="36"/>
  <c r="AA24" i="36" s="1"/>
  <c r="Y22" i="36"/>
  <c r="Y24" i="36" s="1"/>
  <c r="W22" i="36"/>
  <c r="W24" i="36" s="1"/>
  <c r="U22" i="36"/>
  <c r="U24" i="36" s="1"/>
  <c r="S22" i="36"/>
  <c r="S24" i="36" s="1"/>
  <c r="Q22" i="36"/>
  <c r="Q24" i="36" s="1"/>
  <c r="O22" i="36"/>
  <c r="O24" i="36" s="1"/>
  <c r="M22" i="36"/>
  <c r="M24" i="36" s="1"/>
  <c r="K22" i="36"/>
  <c r="K24" i="36" s="1"/>
  <c r="I22" i="36"/>
  <c r="I24" i="36" s="1"/>
  <c r="G22" i="36"/>
  <c r="E22" i="36"/>
  <c r="E24" i="36" s="1"/>
  <c r="G24" i="36" l="1"/>
  <c r="Q21" i="35"/>
  <c r="Q22" i="35" s="1"/>
  <c r="Q24" i="35" s="1"/>
  <c r="G21" i="35"/>
  <c r="G22" i="35" s="1"/>
  <c r="E20" i="35"/>
  <c r="F20" i="35"/>
  <c r="G20" i="35"/>
  <c r="H20" i="35"/>
  <c r="H22" i="35" s="1"/>
  <c r="H24" i="35" s="1"/>
  <c r="I20" i="35"/>
  <c r="J20" i="35"/>
  <c r="K20" i="35"/>
  <c r="L20" i="35"/>
  <c r="M20" i="35"/>
  <c r="N20" i="35"/>
  <c r="N22" i="35" s="1"/>
  <c r="N24" i="35" s="1"/>
  <c r="O20" i="35"/>
  <c r="P20" i="35"/>
  <c r="P22" i="35" s="1"/>
  <c r="P24" i="35" s="1"/>
  <c r="Q20" i="35"/>
  <c r="R20" i="35"/>
  <c r="S20" i="35"/>
  <c r="T20" i="35"/>
  <c r="T22" i="35" s="1"/>
  <c r="T24" i="35" s="1"/>
  <c r="U20" i="35"/>
  <c r="V20" i="35"/>
  <c r="W20" i="35"/>
  <c r="X20" i="35"/>
  <c r="Y20" i="35"/>
  <c r="Z20" i="35"/>
  <c r="Z22" i="35" s="1"/>
  <c r="Z24" i="35" s="1"/>
  <c r="AA20" i="35"/>
  <c r="AB20" i="35"/>
  <c r="AB22" i="35" s="1"/>
  <c r="AB24" i="35" s="1"/>
  <c r="AC20" i="35"/>
  <c r="AD20" i="35"/>
  <c r="D20" i="35"/>
  <c r="D22" i="35" s="1"/>
  <c r="D24" i="35" s="1"/>
  <c r="S23" i="35"/>
  <c r="Q23" i="35"/>
  <c r="O23" i="35"/>
  <c r="M23" i="35"/>
  <c r="K23" i="35"/>
  <c r="I23" i="35"/>
  <c r="H23" i="35"/>
  <c r="G23" i="35"/>
  <c r="E23" i="35"/>
  <c r="AD22" i="35"/>
  <c r="AD24" i="35" s="1"/>
  <c r="AC22" i="35"/>
  <c r="AC24" i="35" s="1"/>
  <c r="Y22" i="35"/>
  <c r="Y24" i="35" s="1"/>
  <c r="X22" i="35"/>
  <c r="X24" i="35" s="1"/>
  <c r="W22" i="35"/>
  <c r="W24" i="35" s="1"/>
  <c r="S22" i="35"/>
  <c r="S24" i="35" s="1"/>
  <c r="R22" i="35"/>
  <c r="R24" i="35" s="1"/>
  <c r="M22" i="35"/>
  <c r="M24" i="35" s="1"/>
  <c r="L22" i="35"/>
  <c r="L24" i="35" s="1"/>
  <c r="K22" i="35"/>
  <c r="K24" i="35" s="1"/>
  <c r="F22" i="35"/>
  <c r="F24" i="35" s="1"/>
  <c r="E22" i="35"/>
  <c r="AA22" i="35"/>
  <c r="AA24" i="35" s="1"/>
  <c r="V22" i="35"/>
  <c r="V24" i="35" s="1"/>
  <c r="U22" i="35"/>
  <c r="U24" i="35" s="1"/>
  <c r="O22" i="35"/>
  <c r="O24" i="35" s="1"/>
  <c r="J22" i="35"/>
  <c r="J24" i="35" s="1"/>
  <c r="I22" i="35"/>
  <c r="I24" i="35" s="1"/>
  <c r="G24" i="35" l="1"/>
  <c r="E24" i="35"/>
  <c r="F23" i="34"/>
  <c r="D23" i="34"/>
  <c r="E20" i="34"/>
  <c r="F20" i="34"/>
  <c r="G20" i="34"/>
  <c r="H20" i="34"/>
  <c r="I20" i="34"/>
  <c r="J20" i="34"/>
  <c r="J22" i="34" s="1"/>
  <c r="J24" i="34" s="1"/>
  <c r="K20" i="34"/>
  <c r="L20" i="34"/>
  <c r="M20" i="34"/>
  <c r="N20" i="34"/>
  <c r="O20" i="34"/>
  <c r="P20" i="34"/>
  <c r="P22" i="34" s="1"/>
  <c r="P24" i="34" s="1"/>
  <c r="Q20" i="34"/>
  <c r="R20" i="34"/>
  <c r="S20" i="34"/>
  <c r="T20" i="34"/>
  <c r="U20" i="34"/>
  <c r="V20" i="34"/>
  <c r="V22" i="34" s="1"/>
  <c r="V24" i="34" s="1"/>
  <c r="W20" i="34"/>
  <c r="X20" i="34"/>
  <c r="Y20" i="34"/>
  <c r="Z20" i="34"/>
  <c r="Z22" i="34" s="1"/>
  <c r="Z24" i="34" s="1"/>
  <c r="AA20" i="34"/>
  <c r="AB20" i="34"/>
  <c r="AB22" i="34" s="1"/>
  <c r="AB24" i="34" s="1"/>
  <c r="AC20" i="34"/>
  <c r="AD20" i="34"/>
  <c r="D20" i="34"/>
  <c r="D22" i="34" s="1"/>
  <c r="D24" i="34" s="1"/>
  <c r="AD24" i="34"/>
  <c r="X24" i="34"/>
  <c r="R24" i="34"/>
  <c r="S23" i="34"/>
  <c r="Q23" i="34"/>
  <c r="O23" i="34"/>
  <c r="M23" i="34"/>
  <c r="K23" i="34"/>
  <c r="I23" i="34"/>
  <c r="H23" i="34"/>
  <c r="G23" i="34"/>
  <c r="E23" i="34"/>
  <c r="AD22" i="34"/>
  <c r="AC22" i="34"/>
  <c r="AC24" i="34" s="1"/>
  <c r="X22" i="34"/>
  <c r="W22" i="34"/>
  <c r="W24" i="34" s="1"/>
  <c r="R22" i="34"/>
  <c r="Q22" i="34"/>
  <c r="Q24" i="34" s="1"/>
  <c r="L22" i="34"/>
  <c r="L24" i="34" s="1"/>
  <c r="K22" i="34"/>
  <c r="K24" i="34" s="1"/>
  <c r="F22" i="34"/>
  <c r="F24" i="34" s="1"/>
  <c r="E22" i="34"/>
  <c r="AA22" i="34"/>
  <c r="AA24" i="34" s="1"/>
  <c r="Y22" i="34"/>
  <c r="Y24" i="34" s="1"/>
  <c r="U22" i="34"/>
  <c r="U24" i="34" s="1"/>
  <c r="T22" i="34"/>
  <c r="T24" i="34" s="1"/>
  <c r="S22" i="34"/>
  <c r="S24" i="34" s="1"/>
  <c r="O22" i="34"/>
  <c r="O24" i="34" s="1"/>
  <c r="N22" i="34"/>
  <c r="N24" i="34" s="1"/>
  <c r="M22" i="34"/>
  <c r="M24" i="34" s="1"/>
  <c r="I22" i="34"/>
  <c r="I24" i="34" s="1"/>
  <c r="H22" i="34"/>
  <c r="H24" i="34" s="1"/>
  <c r="G22" i="34"/>
  <c r="G24" i="34" l="1"/>
  <c r="E24" i="34"/>
  <c r="D23" i="33"/>
  <c r="G23" i="33"/>
  <c r="E23" i="33"/>
  <c r="F23" i="33"/>
  <c r="E23" i="32"/>
  <c r="E20" i="33" l="1"/>
  <c r="F20" i="33"/>
  <c r="G20" i="33"/>
  <c r="H20" i="33"/>
  <c r="H22" i="33" s="1"/>
  <c r="H24" i="33" s="1"/>
  <c r="I20" i="33"/>
  <c r="J20" i="33"/>
  <c r="K20" i="33"/>
  <c r="K22" i="33" s="1"/>
  <c r="K24" i="33" s="1"/>
  <c r="L20" i="33"/>
  <c r="M20" i="33"/>
  <c r="N20" i="33"/>
  <c r="O20" i="33"/>
  <c r="P20" i="33"/>
  <c r="P22" i="33" s="1"/>
  <c r="P24" i="33" s="1"/>
  <c r="Q20" i="33"/>
  <c r="Q22" i="33" s="1"/>
  <c r="Q24" i="33" s="1"/>
  <c r="R20" i="33"/>
  <c r="S20" i="33"/>
  <c r="T20" i="33"/>
  <c r="U20" i="33"/>
  <c r="V20" i="33"/>
  <c r="V22" i="33" s="1"/>
  <c r="V24" i="33" s="1"/>
  <c r="W20" i="33"/>
  <c r="X20" i="33"/>
  <c r="Y20" i="33"/>
  <c r="Z20" i="33"/>
  <c r="Z22" i="33" s="1"/>
  <c r="Z24" i="33" s="1"/>
  <c r="AA20" i="33"/>
  <c r="AB20" i="33"/>
  <c r="AC20" i="33"/>
  <c r="AC22" i="33" s="1"/>
  <c r="AC24" i="33" s="1"/>
  <c r="AD20" i="33"/>
  <c r="D20" i="33"/>
  <c r="S23" i="33"/>
  <c r="Q23" i="33"/>
  <c r="O23" i="33"/>
  <c r="M23" i="33"/>
  <c r="K23" i="33"/>
  <c r="I23" i="33"/>
  <c r="H23" i="33"/>
  <c r="AD22" i="33"/>
  <c r="AD24" i="33" s="1"/>
  <c r="AA22" i="33"/>
  <c r="AA24" i="33" s="1"/>
  <c r="W22" i="33"/>
  <c r="W24" i="33" s="1"/>
  <c r="U22" i="33"/>
  <c r="U24" i="33" s="1"/>
  <c r="O22" i="33"/>
  <c r="O24" i="33" s="1"/>
  <c r="I22" i="33"/>
  <c r="I24" i="33" s="1"/>
  <c r="AB22" i="33"/>
  <c r="AB24" i="33" s="1"/>
  <c r="Y22" i="33"/>
  <c r="Y24" i="33" s="1"/>
  <c r="X22" i="33"/>
  <c r="X24" i="33" s="1"/>
  <c r="T22" i="33"/>
  <c r="T24" i="33" s="1"/>
  <c r="S22" i="33"/>
  <c r="S24" i="33" s="1"/>
  <c r="R22" i="33"/>
  <c r="R24" i="33" s="1"/>
  <c r="N22" i="33"/>
  <c r="N24" i="33" s="1"/>
  <c r="M22" i="33"/>
  <c r="M24" i="33" s="1"/>
  <c r="L22" i="33"/>
  <c r="L24" i="33" s="1"/>
  <c r="J22" i="33"/>
  <c r="J24" i="33" s="1"/>
  <c r="G22" i="33"/>
  <c r="D22" i="33"/>
  <c r="D24" i="33" s="1"/>
  <c r="G24" i="33" l="1"/>
  <c r="E22" i="33"/>
  <c r="E24" i="33" s="1"/>
  <c r="F22" i="33"/>
  <c r="F24" i="33" s="1"/>
  <c r="G20" i="32"/>
  <c r="E20" i="32"/>
  <c r="AB20" i="32" l="1"/>
  <c r="AA20" i="32"/>
  <c r="Z20" i="32"/>
  <c r="Y20" i="32"/>
  <c r="X20" i="32"/>
  <c r="W20" i="32"/>
  <c r="F20" i="32"/>
  <c r="D20" i="32"/>
  <c r="D20" i="31"/>
  <c r="D23" i="32"/>
  <c r="H20" i="32"/>
  <c r="I20" i="32"/>
  <c r="J20" i="32"/>
  <c r="K20" i="32"/>
  <c r="L20" i="32"/>
  <c r="M20" i="32"/>
  <c r="N20" i="32"/>
  <c r="O20" i="32"/>
  <c r="P20" i="32"/>
  <c r="Q20" i="32"/>
  <c r="R20" i="32"/>
  <c r="S20" i="32"/>
  <c r="T20" i="32"/>
  <c r="U20" i="32"/>
  <c r="V20" i="32"/>
  <c r="F23" i="32"/>
  <c r="H22" i="32" l="1"/>
  <c r="H24" i="32" s="1"/>
  <c r="J22" i="32"/>
  <c r="J24" i="32" s="1"/>
  <c r="N22" i="32"/>
  <c r="N24" i="32" s="1"/>
  <c r="P22" i="32"/>
  <c r="P24" i="32" s="1"/>
  <c r="T22" i="32"/>
  <c r="T24" i="32" s="1"/>
  <c r="V22" i="32"/>
  <c r="V24" i="32" s="1"/>
  <c r="D22" i="32"/>
  <c r="D24" i="32" s="1"/>
  <c r="S23" i="32"/>
  <c r="Q23" i="32"/>
  <c r="O23" i="32"/>
  <c r="M23" i="32"/>
  <c r="K23" i="32"/>
  <c r="I23" i="32"/>
  <c r="H23" i="32"/>
  <c r="G23" i="32"/>
  <c r="AB22" i="32"/>
  <c r="AB24" i="32" s="1"/>
  <c r="AA22" i="32"/>
  <c r="AA24" i="32" s="1"/>
  <c r="Z22" i="32"/>
  <c r="Z24" i="32" s="1"/>
  <c r="Y22" i="32"/>
  <c r="Y24" i="32" s="1"/>
  <c r="X22" i="32"/>
  <c r="X24" i="32" s="1"/>
  <c r="W22" i="32"/>
  <c r="W24" i="32" s="1"/>
  <c r="G22" i="32"/>
  <c r="AD22" i="32"/>
  <c r="AD24" i="32" s="1"/>
  <c r="AC22" i="32"/>
  <c r="AC24" i="32" s="1"/>
  <c r="U22" i="32"/>
  <c r="U24" i="32" s="1"/>
  <c r="S22" i="32"/>
  <c r="S24" i="32" s="1"/>
  <c r="R22" i="32"/>
  <c r="R24" i="32" s="1"/>
  <c r="Q22" i="32"/>
  <c r="Q24" i="32" s="1"/>
  <c r="O22" i="32"/>
  <c r="O24" i="32" s="1"/>
  <c r="M22" i="32"/>
  <c r="M24" i="32" s="1"/>
  <c r="L22" i="32"/>
  <c r="L24" i="32" s="1"/>
  <c r="K22" i="32"/>
  <c r="K24" i="32" s="1"/>
  <c r="I22" i="32"/>
  <c r="I24" i="32" s="1"/>
  <c r="F22" i="32"/>
  <c r="F24" i="32" s="1"/>
  <c r="E22" i="32"/>
  <c r="E24" i="32" l="1"/>
  <c r="G24" i="32"/>
  <c r="F20" i="31"/>
  <c r="F23" i="31"/>
  <c r="D23" i="31"/>
  <c r="F21" i="31"/>
  <c r="G21" i="31" s="1"/>
  <c r="Q21" i="31"/>
  <c r="E20" i="31" l="1"/>
  <c r="G20" i="31"/>
  <c r="H20" i="31"/>
  <c r="I20" i="31"/>
  <c r="J20" i="31"/>
  <c r="J22" i="31" s="1"/>
  <c r="J24" i="31" s="1"/>
  <c r="K20" i="31"/>
  <c r="L20" i="31"/>
  <c r="M20" i="31"/>
  <c r="N20" i="31"/>
  <c r="O20" i="31"/>
  <c r="O22" i="31" s="1"/>
  <c r="O24" i="31" s="1"/>
  <c r="P20" i="31"/>
  <c r="Q20" i="31"/>
  <c r="R20" i="31"/>
  <c r="S20" i="31"/>
  <c r="T20" i="31"/>
  <c r="U20" i="31"/>
  <c r="V20" i="31"/>
  <c r="V22" i="31" s="1"/>
  <c r="V24" i="31" s="1"/>
  <c r="AA22" i="31"/>
  <c r="AA24" i="31" s="1"/>
  <c r="AB22" i="31"/>
  <c r="AB24" i="31" s="1"/>
  <c r="AC20" i="31"/>
  <c r="AD20" i="31"/>
  <c r="D22" i="31"/>
  <c r="D24" i="31" s="1"/>
  <c r="S23" i="31"/>
  <c r="Q23" i="31"/>
  <c r="O23" i="31"/>
  <c r="M23" i="31"/>
  <c r="K23" i="31"/>
  <c r="I23" i="31"/>
  <c r="H23" i="31"/>
  <c r="G23" i="31"/>
  <c r="E23" i="31"/>
  <c r="U22" i="31"/>
  <c r="U24" i="31" s="1"/>
  <c r="P22" i="31"/>
  <c r="P24" i="31" s="1"/>
  <c r="I22" i="31"/>
  <c r="I24" i="31" s="1"/>
  <c r="AD22" i="31"/>
  <c r="AD24" i="31" s="1"/>
  <c r="AC22" i="31"/>
  <c r="AC24" i="31" s="1"/>
  <c r="Z22" i="31"/>
  <c r="Z24" i="31" s="1"/>
  <c r="Y22" i="31"/>
  <c r="Y24" i="31" s="1"/>
  <c r="X22" i="31"/>
  <c r="X24" i="31" s="1"/>
  <c r="W22" i="31"/>
  <c r="W24" i="31" s="1"/>
  <c r="T22" i="31"/>
  <c r="T24" i="31" s="1"/>
  <c r="S22" i="31"/>
  <c r="S24" i="31" s="1"/>
  <c r="R22" i="31"/>
  <c r="R24" i="31" s="1"/>
  <c r="Q22" i="31"/>
  <c r="Q24" i="31" s="1"/>
  <c r="N22" i="31"/>
  <c r="N24" i="31" s="1"/>
  <c r="M22" i="31"/>
  <c r="M24" i="31" s="1"/>
  <c r="L22" i="31"/>
  <c r="L24" i="31" s="1"/>
  <c r="K22" i="31"/>
  <c r="K24" i="31" s="1"/>
  <c r="H22" i="31"/>
  <c r="H24" i="31" s="1"/>
  <c r="G22" i="31"/>
  <c r="F22" i="31"/>
  <c r="F24" i="31" s="1"/>
  <c r="E22" i="31"/>
  <c r="G24" i="31" l="1"/>
  <c r="E24" i="31"/>
  <c r="F23" i="30"/>
  <c r="D23" i="30"/>
  <c r="E20" i="30" l="1"/>
  <c r="F20" i="30"/>
  <c r="G20" i="30"/>
  <c r="H20" i="30"/>
  <c r="I20" i="30"/>
  <c r="I22" i="30" s="1"/>
  <c r="I24" i="30" s="1"/>
  <c r="J20" i="30"/>
  <c r="J22" i="30" s="1"/>
  <c r="J24" i="30" s="1"/>
  <c r="K20" i="30"/>
  <c r="L20" i="30"/>
  <c r="M20" i="30"/>
  <c r="N20" i="30"/>
  <c r="N22" i="30" s="1"/>
  <c r="N24" i="30" s="1"/>
  <c r="O20" i="30"/>
  <c r="P20" i="30"/>
  <c r="P22" i="30" s="1"/>
  <c r="P24" i="30" s="1"/>
  <c r="Q20" i="30"/>
  <c r="R20" i="30"/>
  <c r="S20" i="30"/>
  <c r="T20" i="30"/>
  <c r="T22" i="30" s="1"/>
  <c r="T24" i="30" s="1"/>
  <c r="U20" i="30"/>
  <c r="U22" i="30" s="1"/>
  <c r="U24" i="30" s="1"/>
  <c r="V20" i="30"/>
  <c r="V22" i="30" s="1"/>
  <c r="V24" i="30" s="1"/>
  <c r="W20" i="30"/>
  <c r="X20" i="30"/>
  <c r="Y20" i="30"/>
  <c r="Z20" i="30"/>
  <c r="AA20" i="30"/>
  <c r="AA22" i="30" s="1"/>
  <c r="AA24" i="30" s="1"/>
  <c r="AB20" i="30"/>
  <c r="AB22" i="30" s="1"/>
  <c r="AB24" i="30" s="1"/>
  <c r="AC20" i="30"/>
  <c r="AD20" i="30"/>
  <c r="D20" i="30"/>
  <c r="D22" i="30" s="1"/>
  <c r="D24" i="30" s="1"/>
  <c r="S23" i="30"/>
  <c r="Q23" i="30"/>
  <c r="O23" i="30"/>
  <c r="M23" i="30"/>
  <c r="K23" i="30"/>
  <c r="I23" i="30"/>
  <c r="H23" i="30"/>
  <c r="G23" i="30"/>
  <c r="E23" i="30"/>
  <c r="O22" i="30"/>
  <c r="O24" i="30" s="1"/>
  <c r="AD22" i="30"/>
  <c r="AD24" i="30" s="1"/>
  <c r="AC22" i="30"/>
  <c r="AC24" i="30" s="1"/>
  <c r="Z22" i="30"/>
  <c r="Z24" i="30" s="1"/>
  <c r="Y22" i="30"/>
  <c r="Y24" i="30" s="1"/>
  <c r="X22" i="30"/>
  <c r="X24" i="30" s="1"/>
  <c r="W22" i="30"/>
  <c r="W24" i="30" s="1"/>
  <c r="S22" i="30"/>
  <c r="S24" i="30" s="1"/>
  <c r="R22" i="30"/>
  <c r="R24" i="30" s="1"/>
  <c r="Q22" i="30"/>
  <c r="Q24" i="30" s="1"/>
  <c r="M22" i="30"/>
  <c r="M24" i="30" s="1"/>
  <c r="L22" i="30"/>
  <c r="L24" i="30" s="1"/>
  <c r="K22" i="30"/>
  <c r="K24" i="30" s="1"/>
  <c r="H22" i="30"/>
  <c r="H24" i="30" s="1"/>
  <c r="G22" i="30"/>
  <c r="F22" i="30"/>
  <c r="F24" i="30" s="1"/>
  <c r="E22" i="30"/>
  <c r="G24" i="30" l="1"/>
  <c r="E24" i="30"/>
  <c r="D23" i="29"/>
  <c r="F23" i="29"/>
  <c r="D20" i="29" l="1"/>
  <c r="E20" i="29" l="1"/>
  <c r="E22" i="29" s="1"/>
  <c r="F20" i="29"/>
  <c r="G20" i="29"/>
  <c r="H20" i="29"/>
  <c r="I20" i="29"/>
  <c r="J20" i="29"/>
  <c r="K20" i="29"/>
  <c r="K22" i="29" s="1"/>
  <c r="K24" i="29" s="1"/>
  <c r="L20" i="29"/>
  <c r="L22" i="29" s="1"/>
  <c r="L24" i="29" s="1"/>
  <c r="M20" i="29"/>
  <c r="N20" i="29"/>
  <c r="O20" i="29"/>
  <c r="P20" i="29"/>
  <c r="Q20" i="29"/>
  <c r="R20" i="29"/>
  <c r="R22" i="29" s="1"/>
  <c r="R24" i="29" s="1"/>
  <c r="S20" i="29"/>
  <c r="T20" i="29"/>
  <c r="U20" i="29"/>
  <c r="V20" i="29"/>
  <c r="V22" i="29" s="1"/>
  <c r="V24" i="29" s="1"/>
  <c r="W20" i="29"/>
  <c r="W22" i="29" s="1"/>
  <c r="W24" i="29" s="1"/>
  <c r="X20" i="29"/>
  <c r="Y20" i="29"/>
  <c r="Z20" i="29"/>
  <c r="AA20" i="29"/>
  <c r="AB20" i="29"/>
  <c r="AC20" i="29"/>
  <c r="AC22" i="29" s="1"/>
  <c r="AC24" i="29" s="1"/>
  <c r="AD20" i="29"/>
  <c r="AD22" i="29" s="1"/>
  <c r="AD24" i="29" s="1"/>
  <c r="D22" i="29"/>
  <c r="D24" i="29" s="1"/>
  <c r="S23" i="29"/>
  <c r="Q23" i="29"/>
  <c r="O23" i="29"/>
  <c r="M23" i="29"/>
  <c r="K23" i="29"/>
  <c r="I23" i="29"/>
  <c r="H23" i="29"/>
  <c r="G23" i="29"/>
  <c r="E23" i="29"/>
  <c r="Z22" i="29"/>
  <c r="Z24" i="29" s="1"/>
  <c r="Y22" i="29"/>
  <c r="Y24" i="29" s="1"/>
  <c r="T22" i="29"/>
  <c r="T24" i="29" s="1"/>
  <c r="S22" i="29"/>
  <c r="S24" i="29" s="1"/>
  <c r="Q22" i="29"/>
  <c r="Q24" i="29" s="1"/>
  <c r="P22" i="29"/>
  <c r="P24" i="29" s="1"/>
  <c r="N22" i="29"/>
  <c r="N24" i="29" s="1"/>
  <c r="M22" i="29"/>
  <c r="M24" i="29" s="1"/>
  <c r="J22" i="29"/>
  <c r="J24" i="29" s="1"/>
  <c r="H22" i="29"/>
  <c r="H24" i="29" s="1"/>
  <c r="G22" i="29"/>
  <c r="AB22" i="29"/>
  <c r="AB24" i="29" s="1"/>
  <c r="AA22" i="29"/>
  <c r="AA24" i="29" s="1"/>
  <c r="X22" i="29"/>
  <c r="X24" i="29" s="1"/>
  <c r="U22" i="29"/>
  <c r="U24" i="29" s="1"/>
  <c r="O22" i="29"/>
  <c r="O24" i="29" s="1"/>
  <c r="I22" i="29"/>
  <c r="I24" i="29" s="1"/>
  <c r="F22" i="29"/>
  <c r="F24" i="29" s="1"/>
  <c r="G24" i="29" l="1"/>
  <c r="E24" i="29"/>
  <c r="D23" i="28"/>
  <c r="E20" i="28" l="1"/>
  <c r="F20" i="28"/>
  <c r="G20" i="28"/>
  <c r="G22" i="28" s="1"/>
  <c r="H20" i="28"/>
  <c r="I20" i="28"/>
  <c r="J20" i="28"/>
  <c r="J22" i="28" s="1"/>
  <c r="J24" i="28" s="1"/>
  <c r="K20" i="28"/>
  <c r="L20" i="28"/>
  <c r="M20" i="28"/>
  <c r="N20" i="28"/>
  <c r="N22" i="28" s="1"/>
  <c r="N24" i="28" s="1"/>
  <c r="O20" i="28"/>
  <c r="O22" i="28" s="1"/>
  <c r="O24" i="28" s="1"/>
  <c r="P20" i="28"/>
  <c r="P22" i="28" s="1"/>
  <c r="P24" i="28" s="1"/>
  <c r="Q20" i="28"/>
  <c r="R20" i="28"/>
  <c r="S20" i="28"/>
  <c r="S22" i="28" s="1"/>
  <c r="S24" i="28" s="1"/>
  <c r="T20" i="28"/>
  <c r="U20" i="28"/>
  <c r="V20" i="28"/>
  <c r="V22" i="28" s="1"/>
  <c r="V24" i="28" s="1"/>
  <c r="W20" i="28"/>
  <c r="X20" i="28"/>
  <c r="Y20" i="28"/>
  <c r="Z22" i="28"/>
  <c r="Z24" i="28" s="1"/>
  <c r="AA20" i="28"/>
  <c r="AA22" i="28" s="1"/>
  <c r="AA24" i="28" s="1"/>
  <c r="AB20" i="28"/>
  <c r="AB22" i="28" s="1"/>
  <c r="AB24" i="28" s="1"/>
  <c r="AC20" i="28"/>
  <c r="AD20" i="28"/>
  <c r="D20" i="28"/>
  <c r="D22" i="28" s="1"/>
  <c r="D24" i="28" s="1"/>
  <c r="S23" i="28"/>
  <c r="Q23" i="28"/>
  <c r="O23" i="28"/>
  <c r="M23" i="28"/>
  <c r="K23" i="28"/>
  <c r="I23" i="28"/>
  <c r="H23" i="28"/>
  <c r="G23" i="28"/>
  <c r="E23" i="28"/>
  <c r="AC22" i="28"/>
  <c r="AC24" i="28" s="1"/>
  <c r="W22" i="28"/>
  <c r="W24" i="28" s="1"/>
  <c r="U22" i="28"/>
  <c r="U24" i="28" s="1"/>
  <c r="Q22" i="28"/>
  <c r="K22" i="28"/>
  <c r="K24" i="28" s="1"/>
  <c r="I22" i="28"/>
  <c r="I24" i="28" s="1"/>
  <c r="E22" i="28"/>
  <c r="AD22" i="28"/>
  <c r="AD24" i="28" s="1"/>
  <c r="Y22" i="28"/>
  <c r="Y24" i="28" s="1"/>
  <c r="X22" i="28"/>
  <c r="X24" i="28" s="1"/>
  <c r="T22" i="28"/>
  <c r="T24" i="28" s="1"/>
  <c r="R22" i="28"/>
  <c r="R24" i="28" s="1"/>
  <c r="M22" i="28"/>
  <c r="M24" i="28" s="1"/>
  <c r="L22" i="28"/>
  <c r="L24" i="28" s="1"/>
  <c r="H22" i="28"/>
  <c r="H24" i="28" s="1"/>
  <c r="F22" i="28"/>
  <c r="F24" i="28" s="1"/>
  <c r="Q24" i="28" l="1"/>
  <c r="G24" i="28"/>
  <c r="E24" i="28"/>
  <c r="U20" i="27"/>
  <c r="D23" i="27"/>
  <c r="E20" i="27" l="1"/>
  <c r="E22" i="27" s="1"/>
  <c r="F20" i="27"/>
  <c r="G20" i="27"/>
  <c r="H20" i="27"/>
  <c r="I20" i="27"/>
  <c r="J20" i="27"/>
  <c r="K20" i="27"/>
  <c r="K22" i="27" s="1"/>
  <c r="K24" i="27" s="1"/>
  <c r="L20" i="27"/>
  <c r="M20" i="27"/>
  <c r="N20" i="27"/>
  <c r="O20" i="27"/>
  <c r="P20" i="27"/>
  <c r="P22" i="27" s="1"/>
  <c r="P24" i="27" s="1"/>
  <c r="Q20" i="27"/>
  <c r="Q22" i="27" s="1"/>
  <c r="Q24" i="27" s="1"/>
  <c r="R20" i="27"/>
  <c r="S20" i="27"/>
  <c r="T20" i="27"/>
  <c r="V20" i="27"/>
  <c r="W20" i="27"/>
  <c r="W22" i="27" s="1"/>
  <c r="W24" i="27" s="1"/>
  <c r="X20" i="27"/>
  <c r="Y20" i="27"/>
  <c r="Z20" i="27"/>
  <c r="AA20" i="27"/>
  <c r="AB20" i="27"/>
  <c r="AB22" i="27" s="1"/>
  <c r="AB24" i="27" s="1"/>
  <c r="AC20" i="27"/>
  <c r="AC22" i="27" s="1"/>
  <c r="AC24" i="27" s="1"/>
  <c r="AD20" i="27"/>
  <c r="D20" i="27"/>
  <c r="D22" i="27" s="1"/>
  <c r="D24" i="27" s="1"/>
  <c r="S23" i="27"/>
  <c r="Q23" i="27"/>
  <c r="O23" i="27"/>
  <c r="M23" i="27"/>
  <c r="K23" i="27"/>
  <c r="I23" i="27"/>
  <c r="H23" i="27"/>
  <c r="G23" i="27"/>
  <c r="E23" i="27"/>
  <c r="AA22" i="27"/>
  <c r="AA24" i="27" s="1"/>
  <c r="V22" i="27"/>
  <c r="V24" i="27" s="1"/>
  <c r="U22" i="27"/>
  <c r="U24" i="27" s="1"/>
  <c r="O22" i="27"/>
  <c r="O24" i="27" s="1"/>
  <c r="J22" i="27"/>
  <c r="J24" i="27" s="1"/>
  <c r="I22" i="27"/>
  <c r="I24" i="27" s="1"/>
  <c r="AD22" i="27"/>
  <c r="AD24" i="27" s="1"/>
  <c r="Z22" i="27"/>
  <c r="Z24" i="27" s="1"/>
  <c r="Y22" i="27"/>
  <c r="Y24" i="27" s="1"/>
  <c r="X22" i="27"/>
  <c r="X24" i="27" s="1"/>
  <c r="T22" i="27"/>
  <c r="T24" i="27" s="1"/>
  <c r="S22" i="27"/>
  <c r="S24" i="27" s="1"/>
  <c r="R22" i="27"/>
  <c r="R24" i="27" s="1"/>
  <c r="N22" i="27"/>
  <c r="N24" i="27" s="1"/>
  <c r="M22" i="27"/>
  <c r="M24" i="27" s="1"/>
  <c r="L22" i="27"/>
  <c r="L24" i="27" s="1"/>
  <c r="H22" i="27"/>
  <c r="H24" i="27" s="1"/>
  <c r="G22" i="27"/>
  <c r="G24" i="27" s="1"/>
  <c r="E24" i="27" l="1"/>
  <c r="F22" i="27"/>
  <c r="F24" i="27" s="1"/>
  <c r="G23" i="26"/>
  <c r="G20" i="26"/>
  <c r="F20" i="26" l="1"/>
  <c r="D23" i="26"/>
  <c r="U23" i="26"/>
  <c r="E20" i="26" l="1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D20" i="26"/>
  <c r="S23" i="26" l="1"/>
  <c r="Q23" i="26"/>
  <c r="O23" i="26"/>
  <c r="M23" i="26"/>
  <c r="K23" i="26"/>
  <c r="I23" i="26"/>
  <c r="H23" i="26"/>
  <c r="E23" i="26"/>
  <c r="AA22" i="26"/>
  <c r="AA24" i="26" s="1"/>
  <c r="Z22" i="26"/>
  <c r="Z24" i="26" s="1"/>
  <c r="U22" i="26"/>
  <c r="U24" i="26" s="1"/>
  <c r="T22" i="26"/>
  <c r="T24" i="26" s="1"/>
  <c r="O22" i="26"/>
  <c r="O24" i="26" s="1"/>
  <c r="N22" i="26"/>
  <c r="N24" i="26" s="1"/>
  <c r="I22" i="26"/>
  <c r="I24" i="26" s="1"/>
  <c r="H22" i="26"/>
  <c r="H24" i="26" s="1"/>
  <c r="G22" i="26"/>
  <c r="G24" i="26" s="1"/>
  <c r="AD22" i="26"/>
  <c r="AD24" i="26" s="1"/>
  <c r="AC22" i="26"/>
  <c r="AC24" i="26" s="1"/>
  <c r="AB22" i="26"/>
  <c r="AB24" i="26" s="1"/>
  <c r="Y22" i="26"/>
  <c r="Y24" i="26" s="1"/>
  <c r="X22" i="26"/>
  <c r="X24" i="26" s="1"/>
  <c r="W22" i="26"/>
  <c r="W24" i="26" s="1"/>
  <c r="V22" i="26"/>
  <c r="V24" i="26" s="1"/>
  <c r="S22" i="26"/>
  <c r="S24" i="26" s="1"/>
  <c r="R22" i="26"/>
  <c r="R24" i="26" s="1"/>
  <c r="Q22" i="26"/>
  <c r="Q24" i="26" s="1"/>
  <c r="P22" i="26"/>
  <c r="P24" i="26" s="1"/>
  <c r="M22" i="26"/>
  <c r="M24" i="26" s="1"/>
  <c r="L22" i="26"/>
  <c r="L24" i="26" s="1"/>
  <c r="K22" i="26"/>
  <c r="K24" i="26" s="1"/>
  <c r="J22" i="26"/>
  <c r="J24" i="26" s="1"/>
  <c r="F22" i="26"/>
  <c r="F24" i="26" s="1"/>
  <c r="D22" i="26"/>
  <c r="D24" i="26" s="1"/>
  <c r="E22" i="26" l="1"/>
  <c r="E24" i="26" s="1"/>
  <c r="E21" i="25"/>
  <c r="G21" i="25"/>
  <c r="D20" i="25" l="1"/>
  <c r="D22" i="25" s="1"/>
  <c r="D21" i="25"/>
  <c r="D23" i="25"/>
  <c r="F21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Z20" i="25"/>
  <c r="AA20" i="25"/>
  <c r="AB20" i="25"/>
  <c r="AC20" i="25"/>
  <c r="AD20" i="25"/>
  <c r="F22" i="25" l="1"/>
  <c r="F24" i="25" s="1"/>
  <c r="G22" i="25"/>
  <c r="G24" i="25" s="1"/>
  <c r="K22" i="25"/>
  <c r="K24" i="25" s="1"/>
  <c r="L22" i="25"/>
  <c r="L24" i="25" s="1"/>
  <c r="M22" i="25"/>
  <c r="M24" i="25" s="1"/>
  <c r="Q22" i="25"/>
  <c r="Q24" i="25" s="1"/>
  <c r="R22" i="25"/>
  <c r="R24" i="25" s="1"/>
  <c r="S22" i="25"/>
  <c r="S24" i="25" s="1"/>
  <c r="W22" i="25"/>
  <c r="W24" i="25" s="1"/>
  <c r="X22" i="25"/>
  <c r="X24" i="25" s="1"/>
  <c r="Y22" i="25"/>
  <c r="Y24" i="25" s="1"/>
  <c r="AC22" i="25"/>
  <c r="AC24" i="25" s="1"/>
  <c r="AD22" i="25"/>
  <c r="AD24" i="25" s="1"/>
  <c r="D24" i="25"/>
  <c r="S23" i="25"/>
  <c r="Q23" i="25"/>
  <c r="O23" i="25"/>
  <c r="M23" i="25"/>
  <c r="K23" i="25"/>
  <c r="I23" i="25"/>
  <c r="H23" i="25"/>
  <c r="G23" i="25"/>
  <c r="E23" i="25"/>
  <c r="Q21" i="25"/>
  <c r="E22" i="25"/>
  <c r="AB22" i="25"/>
  <c r="AB24" i="25" s="1"/>
  <c r="AA22" i="25"/>
  <c r="AA24" i="25" s="1"/>
  <c r="Z22" i="25"/>
  <c r="Z24" i="25" s="1"/>
  <c r="V22" i="25"/>
  <c r="V24" i="25" s="1"/>
  <c r="U22" i="25"/>
  <c r="U24" i="25" s="1"/>
  <c r="T22" i="25"/>
  <c r="T24" i="25" s="1"/>
  <c r="P22" i="25"/>
  <c r="P24" i="25" s="1"/>
  <c r="O22" i="25"/>
  <c r="O24" i="25" s="1"/>
  <c r="N22" i="25"/>
  <c r="N24" i="25" s="1"/>
  <c r="J22" i="25"/>
  <c r="J24" i="25" s="1"/>
  <c r="I22" i="25"/>
  <c r="I24" i="25" s="1"/>
  <c r="H22" i="25"/>
  <c r="H24" i="25" s="1"/>
  <c r="E24" i="25" l="1"/>
  <c r="D21" i="24"/>
  <c r="E21" i="24" s="1"/>
  <c r="Q21" i="24"/>
  <c r="D23" i="24"/>
  <c r="E20" i="24"/>
  <c r="F20" i="24"/>
  <c r="G20" i="24"/>
  <c r="H20" i="24"/>
  <c r="I20" i="24"/>
  <c r="J20" i="24"/>
  <c r="J22" i="24" s="1"/>
  <c r="J24" i="24" s="1"/>
  <c r="K20" i="24"/>
  <c r="K22" i="24" s="1"/>
  <c r="K24" i="24" s="1"/>
  <c r="L20" i="24"/>
  <c r="M20" i="24"/>
  <c r="N20" i="24"/>
  <c r="O20" i="24"/>
  <c r="P20" i="24"/>
  <c r="Q20" i="24"/>
  <c r="Q22" i="24" s="1"/>
  <c r="Q24" i="24" s="1"/>
  <c r="R20" i="24"/>
  <c r="S20" i="24"/>
  <c r="T20" i="24"/>
  <c r="T22" i="24" s="1"/>
  <c r="T24" i="24" s="1"/>
  <c r="U20" i="24"/>
  <c r="V20" i="24"/>
  <c r="V22" i="24" s="1"/>
  <c r="V24" i="24" s="1"/>
  <c r="W20" i="24"/>
  <c r="W22" i="24" s="1"/>
  <c r="W24" i="24" s="1"/>
  <c r="X20" i="24"/>
  <c r="Y20" i="24"/>
  <c r="Z20" i="24"/>
  <c r="AA20" i="24"/>
  <c r="AB20" i="24"/>
  <c r="AB22" i="24" s="1"/>
  <c r="AB24" i="24" s="1"/>
  <c r="AC20" i="24"/>
  <c r="AC22" i="24" s="1"/>
  <c r="AC24" i="24" s="1"/>
  <c r="AD20" i="24"/>
  <c r="D20" i="24"/>
  <c r="D22" i="24" s="1"/>
  <c r="D24" i="24" s="1"/>
  <c r="S23" i="24"/>
  <c r="Q23" i="24"/>
  <c r="O23" i="24"/>
  <c r="M23" i="24"/>
  <c r="K23" i="24"/>
  <c r="I23" i="24"/>
  <c r="H23" i="24"/>
  <c r="G23" i="24"/>
  <c r="E23" i="24"/>
  <c r="Z22" i="24"/>
  <c r="Z24" i="24" s="1"/>
  <c r="Y22" i="24"/>
  <c r="Y24" i="24" s="1"/>
  <c r="S22" i="24"/>
  <c r="S24" i="24" s="1"/>
  <c r="N22" i="24"/>
  <c r="N24" i="24" s="1"/>
  <c r="M22" i="24"/>
  <c r="M24" i="24" s="1"/>
  <c r="H22" i="24"/>
  <c r="H24" i="24" s="1"/>
  <c r="G22" i="24"/>
  <c r="G24" i="24" s="1"/>
  <c r="AD22" i="24"/>
  <c r="AD24" i="24" s="1"/>
  <c r="AA22" i="24"/>
  <c r="AA24" i="24" s="1"/>
  <c r="X22" i="24"/>
  <c r="X24" i="24" s="1"/>
  <c r="U22" i="24"/>
  <c r="U24" i="24" s="1"/>
  <c r="R22" i="24"/>
  <c r="R24" i="24" s="1"/>
  <c r="P22" i="24"/>
  <c r="P24" i="24" s="1"/>
  <c r="O22" i="24"/>
  <c r="O24" i="24" s="1"/>
  <c r="L22" i="24"/>
  <c r="L24" i="24" s="1"/>
  <c r="I22" i="24"/>
  <c r="I24" i="24" s="1"/>
  <c r="F22" i="24"/>
  <c r="F24" i="24" s="1"/>
  <c r="E22" i="24" l="1"/>
  <c r="E24" i="24" s="1"/>
  <c r="D23" i="23"/>
  <c r="D22" i="23"/>
  <c r="E20" i="23" l="1"/>
  <c r="F20" i="23"/>
  <c r="F22" i="23" s="1"/>
  <c r="F24" i="23" s="1"/>
  <c r="G20" i="23"/>
  <c r="G22" i="23" s="1"/>
  <c r="G24" i="23" s="1"/>
  <c r="H20" i="23"/>
  <c r="I20" i="23"/>
  <c r="J20" i="23"/>
  <c r="K20" i="23"/>
  <c r="L20" i="23"/>
  <c r="L22" i="23" s="1"/>
  <c r="L24" i="23" s="1"/>
  <c r="M20" i="23"/>
  <c r="N20" i="23"/>
  <c r="O20" i="23"/>
  <c r="P20" i="23"/>
  <c r="Q20" i="23"/>
  <c r="Q22" i="23" s="1"/>
  <c r="Q24" i="23" s="1"/>
  <c r="R20" i="23"/>
  <c r="R22" i="23" s="1"/>
  <c r="R24" i="23" s="1"/>
  <c r="S20" i="23"/>
  <c r="S22" i="23" s="1"/>
  <c r="S24" i="23" s="1"/>
  <c r="T20" i="23"/>
  <c r="U20" i="23"/>
  <c r="V20" i="23"/>
  <c r="W20" i="23"/>
  <c r="W22" i="23" s="1"/>
  <c r="W24" i="23" s="1"/>
  <c r="X20" i="23"/>
  <c r="Y20" i="23"/>
  <c r="Z20" i="23"/>
  <c r="AA20" i="23"/>
  <c r="AB20" i="23"/>
  <c r="AC20" i="23"/>
  <c r="AC22" i="23" s="1"/>
  <c r="AC24" i="23" s="1"/>
  <c r="AD20" i="23"/>
  <c r="AD22" i="23" s="1"/>
  <c r="AD24" i="23" s="1"/>
  <c r="D20" i="23"/>
  <c r="S23" i="23"/>
  <c r="Q23" i="23"/>
  <c r="O23" i="23"/>
  <c r="M23" i="23"/>
  <c r="K23" i="23"/>
  <c r="I23" i="23"/>
  <c r="H23" i="23"/>
  <c r="G23" i="23"/>
  <c r="E23" i="23"/>
  <c r="AA22" i="23"/>
  <c r="AA24" i="23" s="1"/>
  <c r="X22" i="23"/>
  <c r="X24" i="23" s="1"/>
  <c r="K22" i="23"/>
  <c r="K24" i="23" s="1"/>
  <c r="AB22" i="23"/>
  <c r="AB24" i="23" s="1"/>
  <c r="Z22" i="23"/>
  <c r="Z24" i="23" s="1"/>
  <c r="Y22" i="23"/>
  <c r="Y24" i="23" s="1"/>
  <c r="V22" i="23"/>
  <c r="V24" i="23" s="1"/>
  <c r="U22" i="23"/>
  <c r="U24" i="23" s="1"/>
  <c r="T22" i="23"/>
  <c r="T24" i="23" s="1"/>
  <c r="P22" i="23"/>
  <c r="P24" i="23" s="1"/>
  <c r="O22" i="23"/>
  <c r="O24" i="23" s="1"/>
  <c r="N22" i="23"/>
  <c r="N24" i="23" s="1"/>
  <c r="M22" i="23"/>
  <c r="M24" i="23" s="1"/>
  <c r="J22" i="23"/>
  <c r="J24" i="23" s="1"/>
  <c r="I22" i="23"/>
  <c r="I24" i="23" s="1"/>
  <c r="H22" i="23"/>
  <c r="H24" i="23" s="1"/>
  <c r="E22" i="23"/>
  <c r="D24" i="23"/>
  <c r="E24" i="23" l="1"/>
  <c r="D25" i="22"/>
  <c r="D23" i="22"/>
  <c r="D20" i="22" l="1"/>
  <c r="D22" i="22" s="1"/>
  <c r="D24" i="22" s="1"/>
  <c r="E20" i="22"/>
  <c r="F20" i="22"/>
  <c r="G20" i="22"/>
  <c r="G22" i="22" s="1"/>
  <c r="G24" i="22" s="1"/>
  <c r="H20" i="22"/>
  <c r="H22" i="22" s="1"/>
  <c r="H24" i="22" s="1"/>
  <c r="I20" i="22"/>
  <c r="J20" i="22"/>
  <c r="K20" i="22"/>
  <c r="K22" i="22" s="1"/>
  <c r="K24" i="22" s="1"/>
  <c r="L20" i="22"/>
  <c r="M20" i="22"/>
  <c r="N20" i="22"/>
  <c r="N22" i="22" s="1"/>
  <c r="N24" i="22" s="1"/>
  <c r="O20" i="22"/>
  <c r="P20" i="22"/>
  <c r="Q20" i="22"/>
  <c r="Q22" i="22" s="1"/>
  <c r="Q24" i="22" s="1"/>
  <c r="R20" i="22"/>
  <c r="S20" i="22"/>
  <c r="S22" i="22" s="1"/>
  <c r="S24" i="22" s="1"/>
  <c r="T20" i="22"/>
  <c r="T22" i="22" s="1"/>
  <c r="T24" i="22" s="1"/>
  <c r="U20" i="22"/>
  <c r="V20" i="22"/>
  <c r="W20" i="22"/>
  <c r="X20" i="22"/>
  <c r="Y20" i="22"/>
  <c r="Y22" i="22" s="1"/>
  <c r="Y24" i="22" s="1"/>
  <c r="Z20" i="22"/>
  <c r="Z22" i="22" s="1"/>
  <c r="Z24" i="22" s="1"/>
  <c r="AB20" i="22"/>
  <c r="AC20" i="22"/>
  <c r="AC22" i="22" s="1"/>
  <c r="AC24" i="22" s="1"/>
  <c r="AD20" i="22"/>
  <c r="AB24" i="22"/>
  <c r="S23" i="22"/>
  <c r="Q23" i="22"/>
  <c r="O23" i="22"/>
  <c r="M23" i="22"/>
  <c r="K23" i="22"/>
  <c r="I23" i="22"/>
  <c r="H23" i="22"/>
  <c r="G23" i="22"/>
  <c r="E23" i="22"/>
  <c r="AB22" i="22"/>
  <c r="W22" i="22"/>
  <c r="W24" i="22" s="1"/>
  <c r="V22" i="22"/>
  <c r="V24" i="22" s="1"/>
  <c r="P22" i="22"/>
  <c r="P24" i="22" s="1"/>
  <c r="J22" i="22"/>
  <c r="J24" i="22" s="1"/>
  <c r="E22" i="22"/>
  <c r="AD22" i="22"/>
  <c r="AD24" i="22" s="1"/>
  <c r="AA22" i="22"/>
  <c r="AA24" i="22" s="1"/>
  <c r="X22" i="22"/>
  <c r="X24" i="22" s="1"/>
  <c r="U22" i="22"/>
  <c r="U24" i="22" s="1"/>
  <c r="R22" i="22"/>
  <c r="R24" i="22" s="1"/>
  <c r="O22" i="22"/>
  <c r="O24" i="22" s="1"/>
  <c r="M22" i="22"/>
  <c r="M24" i="22" s="1"/>
  <c r="L22" i="22"/>
  <c r="L24" i="22" s="1"/>
  <c r="I22" i="22"/>
  <c r="I24" i="22" s="1"/>
  <c r="F22" i="22"/>
  <c r="F24" i="22" s="1"/>
  <c r="E24" i="22" l="1"/>
  <c r="Z20" i="21"/>
  <c r="D25" i="21"/>
  <c r="D23" i="21"/>
  <c r="E23" i="21"/>
  <c r="E20" i="21"/>
  <c r="E22" i="21" s="1"/>
  <c r="F20" i="21"/>
  <c r="G20" i="21"/>
  <c r="H20" i="21"/>
  <c r="I20" i="21"/>
  <c r="J20" i="21"/>
  <c r="K20" i="21"/>
  <c r="K22" i="21" s="1"/>
  <c r="K24" i="21" s="1"/>
  <c r="L20" i="21"/>
  <c r="L22" i="21" s="1"/>
  <c r="L24" i="21" s="1"/>
  <c r="M20" i="21"/>
  <c r="N20" i="21"/>
  <c r="O20" i="21"/>
  <c r="P20" i="21"/>
  <c r="Q20" i="21"/>
  <c r="Q22" i="21" s="1"/>
  <c r="Q24" i="21" s="1"/>
  <c r="R20" i="21"/>
  <c r="S20" i="21"/>
  <c r="T20" i="21"/>
  <c r="T22" i="21" s="1"/>
  <c r="T24" i="21" s="1"/>
  <c r="U20" i="21"/>
  <c r="V20" i="21"/>
  <c r="W20" i="21"/>
  <c r="W22" i="21" s="1"/>
  <c r="W24" i="21" s="1"/>
  <c r="X20" i="21"/>
  <c r="X22" i="21" s="1"/>
  <c r="X24" i="21" s="1"/>
  <c r="Y20" i="21"/>
  <c r="AA20" i="21"/>
  <c r="AB20" i="21"/>
  <c r="AC20" i="21"/>
  <c r="AC22" i="21" s="1"/>
  <c r="AC24" i="21" s="1"/>
  <c r="AD20" i="21"/>
  <c r="D20" i="21"/>
  <c r="D22" i="21" s="1"/>
  <c r="D24" i="21" s="1"/>
  <c r="S23" i="21"/>
  <c r="Q23" i="21"/>
  <c r="O23" i="21"/>
  <c r="M23" i="21"/>
  <c r="K23" i="21"/>
  <c r="I23" i="21"/>
  <c r="H23" i="21"/>
  <c r="G23" i="21"/>
  <c r="AB22" i="21"/>
  <c r="AB24" i="21" s="1"/>
  <c r="AA22" i="21"/>
  <c r="AA24" i="21" s="1"/>
  <c r="Z22" i="21"/>
  <c r="Z24" i="21" s="1"/>
  <c r="V22" i="21"/>
  <c r="V24" i="21" s="1"/>
  <c r="U22" i="21"/>
  <c r="U24" i="21" s="1"/>
  <c r="P22" i="21"/>
  <c r="P24" i="21" s="1"/>
  <c r="O22" i="21"/>
  <c r="O24" i="21" s="1"/>
  <c r="N22" i="21"/>
  <c r="N24" i="21" s="1"/>
  <c r="J22" i="21"/>
  <c r="J24" i="21" s="1"/>
  <c r="I22" i="21"/>
  <c r="I24" i="21" s="1"/>
  <c r="H22" i="21"/>
  <c r="H24" i="21" s="1"/>
  <c r="AD22" i="21"/>
  <c r="AD24" i="21" s="1"/>
  <c r="Y22" i="21"/>
  <c r="Y24" i="21" s="1"/>
  <c r="S22" i="21"/>
  <c r="S24" i="21" s="1"/>
  <c r="R22" i="21"/>
  <c r="R24" i="21" s="1"/>
  <c r="M22" i="21"/>
  <c r="M24" i="21" s="1"/>
  <c r="G22" i="21"/>
  <c r="G24" i="21" s="1"/>
  <c r="F22" i="21"/>
  <c r="F24" i="21" s="1"/>
  <c r="E24" i="21" l="1"/>
  <c r="D23" i="20"/>
  <c r="E20" i="20"/>
  <c r="F20" i="20"/>
  <c r="G20" i="20"/>
  <c r="H20" i="20"/>
  <c r="H22" i="20" s="1"/>
  <c r="H24" i="20" s="1"/>
  <c r="I20" i="20"/>
  <c r="J20" i="20"/>
  <c r="J22" i="20" s="1"/>
  <c r="J24" i="20" s="1"/>
  <c r="K20" i="20"/>
  <c r="L20" i="20"/>
  <c r="M20" i="20"/>
  <c r="N20" i="20"/>
  <c r="N22" i="20" s="1"/>
  <c r="N24" i="20" s="1"/>
  <c r="O20" i="20"/>
  <c r="P20" i="20"/>
  <c r="P22" i="20" s="1"/>
  <c r="P24" i="20" s="1"/>
  <c r="Q20" i="20"/>
  <c r="R20" i="20"/>
  <c r="S20" i="20"/>
  <c r="T20" i="20"/>
  <c r="T22" i="20" s="1"/>
  <c r="T24" i="20" s="1"/>
  <c r="U20" i="20"/>
  <c r="V20" i="20"/>
  <c r="V22" i="20" s="1"/>
  <c r="V24" i="20" s="1"/>
  <c r="X20" i="20"/>
  <c r="Y20" i="20"/>
  <c r="Z20" i="20"/>
  <c r="Z22" i="20" s="1"/>
  <c r="Z24" i="20" s="1"/>
  <c r="AA20" i="20"/>
  <c r="AB20" i="20"/>
  <c r="AB22" i="20" s="1"/>
  <c r="AB24" i="20" s="1"/>
  <c r="AC20" i="20"/>
  <c r="AD20" i="20"/>
  <c r="D20" i="20"/>
  <c r="S23" i="20"/>
  <c r="Q23" i="20"/>
  <c r="O23" i="20"/>
  <c r="M23" i="20"/>
  <c r="K23" i="20"/>
  <c r="I23" i="20"/>
  <c r="H23" i="20"/>
  <c r="G23" i="20"/>
  <c r="E23" i="20"/>
  <c r="AD22" i="20"/>
  <c r="AD24" i="20" s="1"/>
  <c r="AC22" i="20"/>
  <c r="AC24" i="20" s="1"/>
  <c r="AA22" i="20"/>
  <c r="AA24" i="20" s="1"/>
  <c r="Y22" i="20"/>
  <c r="Y24" i="20" s="1"/>
  <c r="X22" i="20"/>
  <c r="X24" i="20" s="1"/>
  <c r="U22" i="20"/>
  <c r="U24" i="20" s="1"/>
  <c r="S22" i="20"/>
  <c r="S24" i="20" s="1"/>
  <c r="R22" i="20"/>
  <c r="R24" i="20" s="1"/>
  <c r="Q22" i="20"/>
  <c r="Q24" i="20" s="1"/>
  <c r="O22" i="20"/>
  <c r="O24" i="20" s="1"/>
  <c r="M22" i="20"/>
  <c r="M24" i="20" s="1"/>
  <c r="L22" i="20"/>
  <c r="L24" i="20" s="1"/>
  <c r="K22" i="20"/>
  <c r="K24" i="20" s="1"/>
  <c r="I22" i="20"/>
  <c r="I24" i="20" s="1"/>
  <c r="G22" i="20"/>
  <c r="G24" i="20" s="1"/>
  <c r="F22" i="20"/>
  <c r="F24" i="20" s="1"/>
  <c r="E22" i="20"/>
  <c r="E24" i="20" s="1"/>
  <c r="D22" i="20"/>
  <c r="D24" i="20" s="1"/>
  <c r="D21" i="19" l="1"/>
  <c r="E21" i="19" s="1"/>
  <c r="Q21" i="19"/>
  <c r="D23" i="19" l="1"/>
  <c r="E20" i="19" l="1"/>
  <c r="F20" i="19"/>
  <c r="F22" i="19" s="1"/>
  <c r="F24" i="19" s="1"/>
  <c r="G20" i="19"/>
  <c r="H20" i="19"/>
  <c r="I20" i="19"/>
  <c r="J20" i="19"/>
  <c r="K20" i="19"/>
  <c r="K22" i="19" s="1"/>
  <c r="K24" i="19" s="1"/>
  <c r="L20" i="19"/>
  <c r="L22" i="19" s="1"/>
  <c r="L24" i="19" s="1"/>
  <c r="M20" i="19"/>
  <c r="N20" i="19"/>
  <c r="O20" i="19"/>
  <c r="O22" i="19" s="1"/>
  <c r="O24" i="19" s="1"/>
  <c r="P20" i="19"/>
  <c r="P22" i="19" s="1"/>
  <c r="P24" i="19" s="1"/>
  <c r="Q20" i="19"/>
  <c r="R20" i="19"/>
  <c r="R22" i="19" s="1"/>
  <c r="R24" i="19" s="1"/>
  <c r="S20" i="19"/>
  <c r="T20" i="19"/>
  <c r="U20" i="19"/>
  <c r="V20" i="19"/>
  <c r="W20" i="19"/>
  <c r="W22" i="19" s="1"/>
  <c r="W24" i="19" s="1"/>
  <c r="W20" i="20" s="1"/>
  <c r="W22" i="20" s="1"/>
  <c r="W24" i="20" s="1"/>
  <c r="X20" i="19"/>
  <c r="X22" i="19" s="1"/>
  <c r="X24" i="19" s="1"/>
  <c r="Y20" i="19"/>
  <c r="Z20" i="19"/>
  <c r="AA20" i="19"/>
  <c r="AA22" i="19" s="1"/>
  <c r="AA24" i="19" s="1"/>
  <c r="AB20" i="19"/>
  <c r="AB22" i="19" s="1"/>
  <c r="AB24" i="19" s="1"/>
  <c r="AC20" i="19"/>
  <c r="AD20" i="19"/>
  <c r="AD22" i="19" s="1"/>
  <c r="AD24" i="19" s="1"/>
  <c r="D20" i="19"/>
  <c r="S23" i="19"/>
  <c r="Q23" i="19"/>
  <c r="O23" i="19"/>
  <c r="M23" i="19"/>
  <c r="K23" i="19"/>
  <c r="I23" i="19"/>
  <c r="H23" i="19"/>
  <c r="G23" i="19"/>
  <c r="E23" i="19"/>
  <c r="AC22" i="19"/>
  <c r="AC24" i="19" s="1"/>
  <c r="Y22" i="19"/>
  <c r="Y24" i="19" s="1"/>
  <c r="S22" i="19"/>
  <c r="S24" i="19" s="1"/>
  <c r="Q22" i="19"/>
  <c r="M22" i="19"/>
  <c r="M24" i="19" s="1"/>
  <c r="G22" i="19"/>
  <c r="G24" i="19" s="1"/>
  <c r="E22" i="19"/>
  <c r="Z22" i="19"/>
  <c r="Z24" i="19" s="1"/>
  <c r="V22" i="19"/>
  <c r="V24" i="19" s="1"/>
  <c r="U22" i="19"/>
  <c r="U24" i="19" s="1"/>
  <c r="T22" i="19"/>
  <c r="T24" i="19" s="1"/>
  <c r="N22" i="19"/>
  <c r="N24" i="19" s="1"/>
  <c r="J22" i="19"/>
  <c r="J24" i="19" s="1"/>
  <c r="I22" i="19"/>
  <c r="I24" i="19" s="1"/>
  <c r="H22" i="19"/>
  <c r="H24" i="19" s="1"/>
  <c r="D22" i="19"/>
  <c r="D24" i="19" s="1"/>
  <c r="Q24" i="19" l="1"/>
  <c r="E24" i="19"/>
  <c r="D23" i="18"/>
  <c r="E23" i="18"/>
  <c r="D23" i="17"/>
  <c r="S23" i="18"/>
  <c r="Q23" i="18"/>
  <c r="O23" i="18"/>
  <c r="M23" i="18"/>
  <c r="K23" i="18"/>
  <c r="I23" i="18"/>
  <c r="H23" i="18"/>
  <c r="G23" i="18"/>
  <c r="S23" i="17"/>
  <c r="Q23" i="17"/>
  <c r="O23" i="17"/>
  <c r="M23" i="17"/>
  <c r="K23" i="17"/>
  <c r="I23" i="17"/>
  <c r="H23" i="17"/>
  <c r="G23" i="17"/>
  <c r="E23" i="17"/>
  <c r="D20" i="17"/>
  <c r="E20" i="17" l="1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J22" i="17" l="1"/>
  <c r="J24" i="17" s="1"/>
  <c r="J20" i="18" s="1"/>
  <c r="J22" i="18" s="1"/>
  <c r="J24" i="18" s="1"/>
  <c r="K22" i="17"/>
  <c r="K24" i="17" s="1"/>
  <c r="K20" i="18" s="1"/>
  <c r="K22" i="18" s="1"/>
  <c r="K24" i="18" s="1"/>
  <c r="N22" i="17"/>
  <c r="N24" i="17" s="1"/>
  <c r="N20" i="18" s="1"/>
  <c r="N22" i="18" s="1"/>
  <c r="N24" i="18" s="1"/>
  <c r="V22" i="17"/>
  <c r="V24" i="17" s="1"/>
  <c r="V20" i="18" s="1"/>
  <c r="V22" i="18" s="1"/>
  <c r="V24" i="18" s="1"/>
  <c r="W22" i="17"/>
  <c r="W24" i="17" s="1"/>
  <c r="W20" i="18" s="1"/>
  <c r="W22" i="18" s="1"/>
  <c r="W24" i="18" s="1"/>
  <c r="AB22" i="17"/>
  <c r="AB24" i="17" s="1"/>
  <c r="AB20" i="18" s="1"/>
  <c r="AB22" i="18" s="1"/>
  <c r="AB24" i="18" s="1"/>
  <c r="AC22" i="17"/>
  <c r="AC24" i="17" s="1"/>
  <c r="AC20" i="18" s="1"/>
  <c r="AC22" i="18" s="1"/>
  <c r="AC24" i="18" s="1"/>
  <c r="D22" i="17"/>
  <c r="D24" i="17" s="1"/>
  <c r="D20" i="18" s="1"/>
  <c r="Z22" i="17"/>
  <c r="Z24" i="17" s="1"/>
  <c r="Z20" i="18" s="1"/>
  <c r="Z22" i="18" s="1"/>
  <c r="Z24" i="18" s="1"/>
  <c r="T22" i="17"/>
  <c r="T24" i="17" s="1"/>
  <c r="T20" i="18" s="1"/>
  <c r="T22" i="18" s="1"/>
  <c r="T24" i="18" s="1"/>
  <c r="Q22" i="17"/>
  <c r="Q24" i="17" s="1"/>
  <c r="Q20" i="18" s="1"/>
  <c r="Q22" i="18" s="1"/>
  <c r="Q24" i="18" s="1"/>
  <c r="H22" i="17"/>
  <c r="H24" i="17" s="1"/>
  <c r="H20" i="18" s="1"/>
  <c r="H22" i="18" s="1"/>
  <c r="H24" i="18" s="1"/>
  <c r="AD22" i="17"/>
  <c r="AD24" i="17" s="1"/>
  <c r="AD20" i="18" s="1"/>
  <c r="AD22" i="18" s="1"/>
  <c r="AD24" i="18" s="1"/>
  <c r="AA22" i="17"/>
  <c r="AA24" i="17" s="1"/>
  <c r="AA20" i="18" s="1"/>
  <c r="AA22" i="18" s="1"/>
  <c r="AA24" i="18" s="1"/>
  <c r="Y22" i="17"/>
  <c r="Y24" i="17" s="1"/>
  <c r="Y20" i="18" s="1"/>
  <c r="Y22" i="18" s="1"/>
  <c r="Y24" i="18" s="1"/>
  <c r="X22" i="17"/>
  <c r="X24" i="17" s="1"/>
  <c r="X20" i="18" s="1"/>
  <c r="X22" i="18" s="1"/>
  <c r="X24" i="18" s="1"/>
  <c r="U22" i="17"/>
  <c r="U24" i="17" s="1"/>
  <c r="U20" i="18" s="1"/>
  <c r="U22" i="18" s="1"/>
  <c r="U24" i="18" s="1"/>
  <c r="S22" i="17"/>
  <c r="S24" i="17" s="1"/>
  <c r="S20" i="18" s="1"/>
  <c r="S22" i="18" s="1"/>
  <c r="S24" i="18" s="1"/>
  <c r="R22" i="17"/>
  <c r="R24" i="17" s="1"/>
  <c r="R20" i="18" s="1"/>
  <c r="R22" i="18" s="1"/>
  <c r="R24" i="18" s="1"/>
  <c r="P22" i="17"/>
  <c r="P24" i="17" s="1"/>
  <c r="P20" i="18" s="1"/>
  <c r="P22" i="18" s="1"/>
  <c r="P24" i="18" s="1"/>
  <c r="O22" i="17"/>
  <c r="O24" i="17" s="1"/>
  <c r="O20" i="18" s="1"/>
  <c r="O22" i="18" s="1"/>
  <c r="O24" i="18" s="1"/>
  <c r="M22" i="17"/>
  <c r="M24" i="17" s="1"/>
  <c r="M20" i="18" s="1"/>
  <c r="M22" i="18" s="1"/>
  <c r="M24" i="18" s="1"/>
  <c r="L22" i="17"/>
  <c r="L24" i="17" s="1"/>
  <c r="L20" i="18" s="1"/>
  <c r="L22" i="18" s="1"/>
  <c r="L24" i="18" s="1"/>
  <c r="I22" i="17"/>
  <c r="I24" i="17" s="1"/>
  <c r="I20" i="18" s="1"/>
  <c r="I22" i="18" s="1"/>
  <c r="I24" i="18" s="1"/>
  <c r="G22" i="17"/>
  <c r="G24" i="17" s="1"/>
  <c r="G20" i="18" s="1"/>
  <c r="G22" i="18" s="1"/>
  <c r="G24" i="18" s="1"/>
  <c r="F22" i="17"/>
  <c r="F24" i="17" s="1"/>
  <c r="F20" i="18" s="1"/>
  <c r="F22" i="18" s="1"/>
  <c r="F24" i="18" s="1"/>
  <c r="D22" i="18" l="1"/>
  <c r="D24" i="18" s="1"/>
  <c r="E22" i="17"/>
  <c r="E24" i="17" s="1"/>
  <c r="E20" i="18" s="1"/>
  <c r="E22" i="18" s="1"/>
  <c r="E24" i="18" s="1"/>
  <c r="AA20" i="16"/>
  <c r="AB20" i="16"/>
  <c r="Z20" i="16"/>
  <c r="Y20" i="16"/>
  <c r="X20" i="16"/>
  <c r="W20" i="16" l="1"/>
  <c r="G20" i="16"/>
  <c r="F20" i="16"/>
  <c r="F23" i="16"/>
  <c r="F22" i="16" l="1"/>
  <c r="F21" i="16"/>
  <c r="G23" i="16"/>
  <c r="E20" i="16"/>
  <c r="H20" i="16"/>
  <c r="I20" i="16"/>
  <c r="J20" i="16"/>
  <c r="J22" i="16" s="1"/>
  <c r="J24" i="16" s="1"/>
  <c r="K20" i="16"/>
  <c r="K22" i="16" s="1"/>
  <c r="K24" i="16" s="1"/>
  <c r="L20" i="16"/>
  <c r="M20" i="16"/>
  <c r="M22" i="16" s="1"/>
  <c r="M24" i="16" s="1"/>
  <c r="N20" i="16"/>
  <c r="O20" i="16"/>
  <c r="P20" i="16"/>
  <c r="Q20" i="16"/>
  <c r="R20" i="16"/>
  <c r="R22" i="16" s="1"/>
  <c r="R24" i="16" s="1"/>
  <c r="S20" i="16"/>
  <c r="S22" i="16" s="1"/>
  <c r="S24" i="16" s="1"/>
  <c r="T20" i="16"/>
  <c r="U20" i="16"/>
  <c r="V20" i="16"/>
  <c r="W22" i="16"/>
  <c r="W24" i="16" s="1"/>
  <c r="X22" i="16"/>
  <c r="X24" i="16" s="1"/>
  <c r="Y22" i="16"/>
  <c r="Y24" i="16" s="1"/>
  <c r="AC20" i="16"/>
  <c r="AD20" i="16"/>
  <c r="AD22" i="16" s="1"/>
  <c r="AD24" i="16" s="1"/>
  <c r="D20" i="16"/>
  <c r="D23" i="16"/>
  <c r="E23" i="16" s="1"/>
  <c r="Q21" i="16"/>
  <c r="Q22" i="16" s="1"/>
  <c r="Q24" i="16" s="1"/>
  <c r="D21" i="16"/>
  <c r="E21" i="16" s="1"/>
  <c r="E22" i="16" s="1"/>
  <c r="G21" i="16"/>
  <c r="S23" i="16"/>
  <c r="Q23" i="16"/>
  <c r="O23" i="16"/>
  <c r="M23" i="16"/>
  <c r="K23" i="16"/>
  <c r="I23" i="16"/>
  <c r="H23" i="16"/>
  <c r="AC22" i="16"/>
  <c r="AC24" i="16" s="1"/>
  <c r="AB22" i="16"/>
  <c r="AB24" i="16" s="1"/>
  <c r="V22" i="16"/>
  <c r="V24" i="16" s="1"/>
  <c r="P22" i="16"/>
  <c r="P24" i="16" s="1"/>
  <c r="L22" i="16"/>
  <c r="L24" i="16" s="1"/>
  <c r="AA22" i="16"/>
  <c r="AA24" i="16" s="1"/>
  <c r="Z22" i="16"/>
  <c r="Z24" i="16" s="1"/>
  <c r="U22" i="16"/>
  <c r="U24" i="16" s="1"/>
  <c r="T22" i="16"/>
  <c r="T24" i="16" s="1"/>
  <c r="O22" i="16"/>
  <c r="O24" i="16" s="1"/>
  <c r="N22" i="16"/>
  <c r="N24" i="16" s="1"/>
  <c r="I22" i="16"/>
  <c r="I24" i="16" s="1"/>
  <c r="H22" i="16"/>
  <c r="H24" i="16" s="1"/>
  <c r="F24" i="16" l="1"/>
  <c r="E24" i="16"/>
  <c r="D22" i="16"/>
  <c r="D24" i="16" s="1"/>
  <c r="G22" i="16"/>
  <c r="G24" i="16" s="1"/>
  <c r="F23" i="15"/>
  <c r="E20" i="15" l="1"/>
  <c r="F20" i="15"/>
  <c r="F22" i="15" s="1"/>
  <c r="F24" i="15" s="1"/>
  <c r="G20" i="15"/>
  <c r="H20" i="15"/>
  <c r="I20" i="15"/>
  <c r="J20" i="15"/>
  <c r="K20" i="15"/>
  <c r="K22" i="15" s="1"/>
  <c r="K24" i="15" s="1"/>
  <c r="L20" i="15"/>
  <c r="M20" i="15"/>
  <c r="M22" i="15" s="1"/>
  <c r="M24" i="15" s="1"/>
  <c r="N20" i="15"/>
  <c r="O20" i="15"/>
  <c r="P20" i="15"/>
  <c r="Q20" i="15"/>
  <c r="R20" i="15"/>
  <c r="R22" i="15" s="1"/>
  <c r="R24" i="15" s="1"/>
  <c r="S20" i="15"/>
  <c r="S22" i="15" s="1"/>
  <c r="S24" i="15" s="1"/>
  <c r="T20" i="15"/>
  <c r="U20" i="15"/>
  <c r="V20" i="15"/>
  <c r="V22" i="15" s="1"/>
  <c r="V24" i="15" s="1"/>
  <c r="W20" i="15"/>
  <c r="X20" i="15"/>
  <c r="X22" i="15" s="1"/>
  <c r="X24" i="15" s="1"/>
  <c r="Y20" i="15"/>
  <c r="Z20" i="15"/>
  <c r="AA20" i="15"/>
  <c r="AB20" i="15"/>
  <c r="AC20" i="15"/>
  <c r="AC22" i="15" s="1"/>
  <c r="AC24" i="15" s="1"/>
  <c r="AD20" i="15"/>
  <c r="D20" i="15"/>
  <c r="D22" i="15" s="1"/>
  <c r="D24" i="15" s="1"/>
  <c r="S23" i="15"/>
  <c r="Q23" i="15"/>
  <c r="O23" i="15"/>
  <c r="M23" i="15"/>
  <c r="K23" i="15"/>
  <c r="I23" i="15"/>
  <c r="H23" i="15"/>
  <c r="G23" i="15"/>
  <c r="E23" i="15"/>
  <c r="AD22" i="15"/>
  <c r="AD24" i="15" s="1"/>
  <c r="Y22" i="15"/>
  <c r="Y24" i="15" s="1"/>
  <c r="L22" i="15"/>
  <c r="L24" i="15" s="1"/>
  <c r="G22" i="15"/>
  <c r="AB22" i="15"/>
  <c r="AB24" i="15" s="1"/>
  <c r="AA22" i="15"/>
  <c r="AA24" i="15" s="1"/>
  <c r="Z22" i="15"/>
  <c r="Z24" i="15" s="1"/>
  <c r="W22" i="15"/>
  <c r="W24" i="15" s="1"/>
  <c r="U22" i="15"/>
  <c r="U24" i="15" s="1"/>
  <c r="T22" i="15"/>
  <c r="T24" i="15" s="1"/>
  <c r="Q22" i="15"/>
  <c r="Q24" i="15" s="1"/>
  <c r="P22" i="15"/>
  <c r="P24" i="15" s="1"/>
  <c r="O22" i="15"/>
  <c r="O24" i="15" s="1"/>
  <c r="N22" i="15"/>
  <c r="N24" i="15" s="1"/>
  <c r="J22" i="15"/>
  <c r="J24" i="15" s="1"/>
  <c r="I22" i="15"/>
  <c r="I24" i="15" s="1"/>
  <c r="H22" i="15"/>
  <c r="H24" i="15" s="1"/>
  <c r="E22" i="15"/>
  <c r="E24" i="15" s="1"/>
  <c r="G24" i="15" l="1"/>
  <c r="F23" i="14"/>
  <c r="E20" i="14" l="1"/>
  <c r="F20" i="14"/>
  <c r="G20" i="14"/>
  <c r="H20" i="14"/>
  <c r="I20" i="14"/>
  <c r="J20" i="14"/>
  <c r="J22" i="14" s="1"/>
  <c r="J24" i="14" s="1"/>
  <c r="K20" i="14"/>
  <c r="K22" i="14" s="1"/>
  <c r="K24" i="14" s="1"/>
  <c r="L20" i="14"/>
  <c r="L22" i="14" s="1"/>
  <c r="L24" i="14" s="1"/>
  <c r="M20" i="14"/>
  <c r="N20" i="14"/>
  <c r="O20" i="14"/>
  <c r="P20" i="14"/>
  <c r="Q20" i="14"/>
  <c r="Q22" i="14" s="1"/>
  <c r="Q24" i="14" s="1"/>
  <c r="R20" i="14"/>
  <c r="R22" i="14" s="1"/>
  <c r="R24" i="14" s="1"/>
  <c r="S20" i="14"/>
  <c r="T20" i="14"/>
  <c r="U20" i="14"/>
  <c r="V20" i="14"/>
  <c r="V22" i="14" s="1"/>
  <c r="V24" i="14" s="1"/>
  <c r="W20" i="14"/>
  <c r="X20" i="14"/>
  <c r="Y20" i="14"/>
  <c r="Z20" i="14"/>
  <c r="AA20" i="14"/>
  <c r="AB20" i="14"/>
  <c r="AB22" i="14" s="1"/>
  <c r="AB24" i="14" s="1"/>
  <c r="AC20" i="14"/>
  <c r="AC22" i="14" s="1"/>
  <c r="AC24" i="14" s="1"/>
  <c r="AD20" i="14"/>
  <c r="AD22" i="14" s="1"/>
  <c r="AD24" i="14" s="1"/>
  <c r="D20" i="14"/>
  <c r="D22" i="14" s="1"/>
  <c r="D24" i="14" s="1"/>
  <c r="S23" i="14"/>
  <c r="Q23" i="14"/>
  <c r="O23" i="14"/>
  <c r="M23" i="14"/>
  <c r="K23" i="14"/>
  <c r="I23" i="14"/>
  <c r="H23" i="14"/>
  <c r="G23" i="14"/>
  <c r="E23" i="14"/>
  <c r="Z22" i="14"/>
  <c r="Z24" i="14" s="1"/>
  <c r="X22" i="14"/>
  <c r="X24" i="14" s="1"/>
  <c r="U22" i="14"/>
  <c r="U24" i="14" s="1"/>
  <c r="O22" i="14"/>
  <c r="O24" i="14" s="1"/>
  <c r="I22" i="14"/>
  <c r="I24" i="14" s="1"/>
  <c r="F22" i="14"/>
  <c r="F24" i="14" s="1"/>
  <c r="AA22" i="14"/>
  <c r="AA24" i="14" s="1"/>
  <c r="Y22" i="14"/>
  <c r="Y24" i="14" s="1"/>
  <c r="W22" i="14"/>
  <c r="W24" i="14" s="1"/>
  <c r="T22" i="14"/>
  <c r="T24" i="14" s="1"/>
  <c r="S22" i="14"/>
  <c r="S24" i="14" s="1"/>
  <c r="P22" i="14"/>
  <c r="P24" i="14" s="1"/>
  <c r="N22" i="14"/>
  <c r="N24" i="14" s="1"/>
  <c r="M22" i="14"/>
  <c r="M24" i="14" s="1"/>
  <c r="H22" i="14"/>
  <c r="H24" i="14" s="1"/>
  <c r="G22" i="14"/>
  <c r="E22" i="14"/>
  <c r="E24" i="14" s="1"/>
  <c r="G24" i="14" l="1"/>
  <c r="F20" i="13"/>
  <c r="F22" i="13" s="1"/>
  <c r="F24" i="13" s="1"/>
  <c r="E20" i="13"/>
  <c r="G20" i="13"/>
  <c r="H20" i="13"/>
  <c r="I20" i="13"/>
  <c r="J20" i="13"/>
  <c r="K20" i="13"/>
  <c r="K22" i="13" s="1"/>
  <c r="K24" i="13" s="1"/>
  <c r="L20" i="13"/>
  <c r="L22" i="13" s="1"/>
  <c r="L24" i="13" s="1"/>
  <c r="M20" i="13"/>
  <c r="M22" i="13" s="1"/>
  <c r="M24" i="13" s="1"/>
  <c r="N20" i="13"/>
  <c r="O20" i="13"/>
  <c r="P20" i="13"/>
  <c r="P22" i="13" s="1"/>
  <c r="Q20" i="13"/>
  <c r="R20" i="13"/>
  <c r="S20" i="13"/>
  <c r="S22" i="13" s="1"/>
  <c r="S24" i="13" s="1"/>
  <c r="T20" i="13"/>
  <c r="U20" i="13"/>
  <c r="V20" i="13"/>
  <c r="W20" i="13"/>
  <c r="W22" i="13" s="1"/>
  <c r="W24" i="13" s="1"/>
  <c r="X20" i="13"/>
  <c r="X22" i="13" s="1"/>
  <c r="X24" i="13" s="1"/>
  <c r="Y20" i="13"/>
  <c r="Y22" i="13" s="1"/>
  <c r="Y24" i="13" s="1"/>
  <c r="AA20" i="13"/>
  <c r="AB20" i="13"/>
  <c r="AB22" i="13" s="1"/>
  <c r="AB24" i="13" s="1"/>
  <c r="AC20" i="13"/>
  <c r="AD20" i="13"/>
  <c r="AD22" i="13" s="1"/>
  <c r="AD24" i="13" s="1"/>
  <c r="D20" i="13"/>
  <c r="S23" i="13"/>
  <c r="O23" i="13"/>
  <c r="M23" i="13"/>
  <c r="K23" i="13"/>
  <c r="I23" i="13"/>
  <c r="H23" i="13"/>
  <c r="G23" i="13"/>
  <c r="E23" i="13"/>
  <c r="AC22" i="13"/>
  <c r="AC24" i="13" s="1"/>
  <c r="AA22" i="13"/>
  <c r="AA24" i="13" s="1"/>
  <c r="Z22" i="13"/>
  <c r="Z24" i="13" s="1"/>
  <c r="U22" i="13"/>
  <c r="U24" i="13" s="1"/>
  <c r="T22" i="13"/>
  <c r="T24" i="13" s="1"/>
  <c r="R22" i="13"/>
  <c r="R24" i="13" s="1"/>
  <c r="Q22" i="13"/>
  <c r="N22" i="13"/>
  <c r="N24" i="13" s="1"/>
  <c r="H22" i="13"/>
  <c r="H24" i="13" s="1"/>
  <c r="E22" i="13"/>
  <c r="E24" i="13" s="1"/>
  <c r="D22" i="13"/>
  <c r="D24" i="13" s="1"/>
  <c r="V22" i="13"/>
  <c r="V24" i="13" s="1"/>
  <c r="O22" i="13"/>
  <c r="O24" i="13" s="1"/>
  <c r="J22" i="13"/>
  <c r="J24" i="13" s="1"/>
  <c r="I22" i="13"/>
  <c r="I24" i="13" s="1"/>
  <c r="P24" i="13" l="1"/>
  <c r="Q24" i="13"/>
  <c r="G22" i="13"/>
  <c r="G24" i="13" s="1"/>
  <c r="Q23" i="13"/>
  <c r="P23" i="12"/>
  <c r="Q23" i="12"/>
  <c r="Z20" i="12"/>
  <c r="Q20" i="12"/>
  <c r="G23" i="12"/>
  <c r="G21" i="12"/>
  <c r="G20" i="12"/>
  <c r="E20" i="12"/>
  <c r="E23" i="12"/>
  <c r="F21" i="12"/>
  <c r="F23" i="12"/>
  <c r="E22" i="12" l="1"/>
  <c r="F20" i="12"/>
  <c r="G22" i="12"/>
  <c r="H20" i="12"/>
  <c r="I20" i="12"/>
  <c r="J20" i="12"/>
  <c r="J22" i="12" s="1"/>
  <c r="J24" i="12" s="1"/>
  <c r="K20" i="12"/>
  <c r="K22" i="12" s="1"/>
  <c r="K24" i="12" s="1"/>
  <c r="L20" i="12"/>
  <c r="M20" i="12"/>
  <c r="N20" i="12"/>
  <c r="O20" i="12"/>
  <c r="O22" i="12" s="1"/>
  <c r="O24" i="12" s="1"/>
  <c r="R20" i="12"/>
  <c r="S20" i="12"/>
  <c r="S22" i="12" s="1"/>
  <c r="S24" i="12" s="1"/>
  <c r="T20" i="12"/>
  <c r="U20" i="12"/>
  <c r="U22" i="12" s="1"/>
  <c r="U24" i="12" s="1"/>
  <c r="V20" i="12"/>
  <c r="W20" i="12"/>
  <c r="W22" i="12" s="1"/>
  <c r="W24" i="12" s="1"/>
  <c r="X20" i="12"/>
  <c r="Y20" i="12"/>
  <c r="Y22" i="12" s="1"/>
  <c r="Y24" i="12" s="1"/>
  <c r="AA20" i="12"/>
  <c r="AB20" i="12"/>
  <c r="AB22" i="12" s="1"/>
  <c r="AB24" i="12" s="1"/>
  <c r="AC20" i="12"/>
  <c r="AC22" i="12" s="1"/>
  <c r="AC24" i="12" s="1"/>
  <c r="AD20" i="12"/>
  <c r="D22" i="12"/>
  <c r="D24" i="12" s="1"/>
  <c r="S23" i="12"/>
  <c r="O23" i="12"/>
  <c r="M23" i="12"/>
  <c r="K23" i="12"/>
  <c r="I23" i="12"/>
  <c r="H23" i="12"/>
  <c r="AD22" i="12"/>
  <c r="AD24" i="12" s="1"/>
  <c r="X22" i="12"/>
  <c r="X24" i="12" s="1"/>
  <c r="R22" i="12"/>
  <c r="R24" i="12" s="1"/>
  <c r="M22" i="12"/>
  <c r="M24" i="12" s="1"/>
  <c r="L22" i="12"/>
  <c r="L24" i="12" s="1"/>
  <c r="F22" i="12"/>
  <c r="F24" i="12" s="1"/>
  <c r="AA22" i="12"/>
  <c r="AA24" i="12" s="1"/>
  <c r="Z22" i="12"/>
  <c r="Z24" i="12" s="1"/>
  <c r="V22" i="12"/>
  <c r="V24" i="12" s="1"/>
  <c r="T22" i="12"/>
  <c r="T24" i="12" s="1"/>
  <c r="Q22" i="12"/>
  <c r="P22" i="12"/>
  <c r="P24" i="12" s="1"/>
  <c r="N22" i="12"/>
  <c r="N24" i="12" s="1"/>
  <c r="I22" i="12"/>
  <c r="I24" i="12" s="1"/>
  <c r="H22" i="12"/>
  <c r="H24" i="12" s="1"/>
  <c r="Q24" i="12" l="1"/>
  <c r="G24" i="12"/>
  <c r="E24" i="12"/>
  <c r="D20" i="11"/>
  <c r="E20" i="11" l="1"/>
  <c r="F20" i="11"/>
  <c r="G20" i="11"/>
  <c r="G22" i="11" s="1"/>
  <c r="H20" i="11"/>
  <c r="H22" i="11" s="1"/>
  <c r="H24" i="11" s="1"/>
  <c r="I20" i="11"/>
  <c r="J20" i="11"/>
  <c r="J22" i="11" s="1"/>
  <c r="J24" i="11" s="1"/>
  <c r="K20" i="11"/>
  <c r="L20" i="11"/>
  <c r="L22" i="11" s="1"/>
  <c r="L24" i="11" s="1"/>
  <c r="M20" i="11"/>
  <c r="N20" i="11"/>
  <c r="N22" i="11" s="1"/>
  <c r="N24" i="11" s="1"/>
  <c r="O20" i="11"/>
  <c r="O22" i="11" s="1"/>
  <c r="O24" i="11" s="1"/>
  <c r="P20" i="11"/>
  <c r="P22" i="11" s="1"/>
  <c r="P24" i="11" s="1"/>
  <c r="Q20" i="11"/>
  <c r="R20" i="11"/>
  <c r="S20" i="11"/>
  <c r="T20" i="11"/>
  <c r="U20" i="11"/>
  <c r="U22" i="11" s="1"/>
  <c r="U24" i="11" s="1"/>
  <c r="V20" i="11"/>
  <c r="V22" i="11" s="1"/>
  <c r="V24" i="11" s="1"/>
  <c r="W20" i="11"/>
  <c r="X20" i="11"/>
  <c r="Y20" i="11"/>
  <c r="Y22" i="11" s="1"/>
  <c r="Y24" i="11" s="1"/>
  <c r="Z20" i="11"/>
  <c r="Z22" i="11" s="1"/>
  <c r="Z24" i="11" s="1"/>
  <c r="AA20" i="11"/>
  <c r="AB20" i="11"/>
  <c r="AB22" i="11" s="1"/>
  <c r="AB24" i="11" s="1"/>
  <c r="AC20" i="11"/>
  <c r="AD20" i="11"/>
  <c r="AD22" i="11" s="1"/>
  <c r="AD24" i="11" s="1"/>
  <c r="D22" i="11"/>
  <c r="D24" i="11" s="1"/>
  <c r="S23" i="11"/>
  <c r="Q23" i="11"/>
  <c r="O23" i="11"/>
  <c r="M23" i="11"/>
  <c r="K23" i="11"/>
  <c r="I23" i="11"/>
  <c r="H23" i="11"/>
  <c r="G23" i="11"/>
  <c r="E23" i="11"/>
  <c r="AC22" i="11"/>
  <c r="AC24" i="11" s="1"/>
  <c r="X22" i="11"/>
  <c r="X24" i="11" s="1"/>
  <c r="W22" i="11"/>
  <c r="W24" i="11" s="1"/>
  <c r="R22" i="11"/>
  <c r="R24" i="11" s="1"/>
  <c r="Q22" i="11"/>
  <c r="K22" i="11"/>
  <c r="K24" i="11" s="1"/>
  <c r="F22" i="11"/>
  <c r="F24" i="11" s="1"/>
  <c r="E22" i="11"/>
  <c r="AA22" i="11"/>
  <c r="AA24" i="11" s="1"/>
  <c r="T22" i="11"/>
  <c r="T24" i="11" s="1"/>
  <c r="S22" i="11"/>
  <c r="S24" i="11" s="1"/>
  <c r="M22" i="11"/>
  <c r="M24" i="11" s="1"/>
  <c r="I22" i="11"/>
  <c r="I24" i="11" s="1"/>
  <c r="Q24" i="11" l="1"/>
  <c r="G24" i="11"/>
  <c r="E24" i="11"/>
  <c r="Z20" i="10"/>
  <c r="E23" i="10" l="1"/>
  <c r="E20" i="10" l="1"/>
  <c r="F20" i="10"/>
  <c r="G20" i="10"/>
  <c r="H20" i="10"/>
  <c r="H22" i="10" s="1"/>
  <c r="H24" i="10" s="1"/>
  <c r="I20" i="10"/>
  <c r="J20" i="10"/>
  <c r="J22" i="10" s="1"/>
  <c r="J24" i="10" s="1"/>
  <c r="K20" i="10"/>
  <c r="L20" i="10"/>
  <c r="M20" i="10"/>
  <c r="N20" i="10"/>
  <c r="O20" i="10"/>
  <c r="P20" i="10"/>
  <c r="P22" i="10" s="1"/>
  <c r="P24" i="10" s="1"/>
  <c r="Q20" i="10"/>
  <c r="R20" i="10"/>
  <c r="S20" i="10"/>
  <c r="T20" i="10"/>
  <c r="U20" i="10"/>
  <c r="V20" i="10"/>
  <c r="V22" i="10" s="1"/>
  <c r="V24" i="10" s="1"/>
  <c r="W20" i="10"/>
  <c r="X20" i="10"/>
  <c r="Y20" i="10"/>
  <c r="Z22" i="10"/>
  <c r="Z24" i="10" s="1"/>
  <c r="AA20" i="10"/>
  <c r="AB20" i="10"/>
  <c r="AB22" i="10" s="1"/>
  <c r="AB24" i="10" s="1"/>
  <c r="AC20" i="10"/>
  <c r="AD20" i="10"/>
  <c r="D20" i="10"/>
  <c r="D22" i="10" s="1"/>
  <c r="D24" i="10" s="1"/>
  <c r="S23" i="10"/>
  <c r="Q23" i="10"/>
  <c r="O23" i="10"/>
  <c r="M23" i="10"/>
  <c r="K23" i="10"/>
  <c r="I23" i="10"/>
  <c r="H23" i="10"/>
  <c r="G23" i="10"/>
  <c r="T22" i="10"/>
  <c r="T24" i="10" s="1"/>
  <c r="N22" i="10"/>
  <c r="N24" i="10" s="1"/>
  <c r="AD22" i="10"/>
  <c r="AD24" i="10" s="1"/>
  <c r="AC22" i="10"/>
  <c r="AC24" i="10" s="1"/>
  <c r="AA22" i="10"/>
  <c r="AA24" i="10" s="1"/>
  <c r="Y22" i="10"/>
  <c r="Y24" i="10" s="1"/>
  <c r="X22" i="10"/>
  <c r="X24" i="10" s="1"/>
  <c r="W22" i="10"/>
  <c r="W24" i="10" s="1"/>
  <c r="U22" i="10"/>
  <c r="U24" i="10" s="1"/>
  <c r="S22" i="10"/>
  <c r="S24" i="10" s="1"/>
  <c r="R22" i="10"/>
  <c r="R24" i="10" s="1"/>
  <c r="Q22" i="10"/>
  <c r="Q24" i="10" s="1"/>
  <c r="O22" i="10"/>
  <c r="O24" i="10" s="1"/>
  <c r="M22" i="10"/>
  <c r="M24" i="10" s="1"/>
  <c r="L22" i="10"/>
  <c r="L24" i="10" s="1"/>
  <c r="K22" i="10"/>
  <c r="K24" i="10" s="1"/>
  <c r="I22" i="10"/>
  <c r="I24" i="10" s="1"/>
  <c r="G22" i="10"/>
  <c r="G24" i="10" s="1"/>
  <c r="F22" i="10"/>
  <c r="F24" i="10" s="1"/>
  <c r="E22" i="10"/>
  <c r="E24" i="10" l="1"/>
  <c r="F23" i="9"/>
  <c r="F20" i="9" l="1"/>
  <c r="D20" i="9"/>
  <c r="E20" i="9" l="1"/>
  <c r="E22" i="9" s="1"/>
  <c r="E24" i="9" s="1"/>
  <c r="F22" i="9"/>
  <c r="F24" i="9" s="1"/>
  <c r="G20" i="9"/>
  <c r="H20" i="9"/>
  <c r="H22" i="9" s="1"/>
  <c r="H24" i="9" s="1"/>
  <c r="I20" i="9"/>
  <c r="J20" i="9"/>
  <c r="K20" i="9"/>
  <c r="L20" i="9"/>
  <c r="L22" i="9" s="1"/>
  <c r="L24" i="9" s="1"/>
  <c r="M20" i="9"/>
  <c r="M22" i="9" s="1"/>
  <c r="M24" i="9" s="1"/>
  <c r="N20" i="9"/>
  <c r="O20" i="9"/>
  <c r="P20" i="9"/>
  <c r="Q20" i="9"/>
  <c r="R20" i="9"/>
  <c r="R22" i="9" s="1"/>
  <c r="R24" i="9" s="1"/>
  <c r="S20" i="9"/>
  <c r="S22" i="9" s="1"/>
  <c r="S24" i="9" s="1"/>
  <c r="T20" i="9"/>
  <c r="T22" i="9" s="1"/>
  <c r="T24" i="9" s="1"/>
  <c r="U20" i="9"/>
  <c r="V20" i="9"/>
  <c r="W20" i="9"/>
  <c r="X20" i="9"/>
  <c r="Y20" i="9"/>
  <c r="Y22" i="9" s="1"/>
  <c r="Y24" i="9" s="1"/>
  <c r="Z20" i="9"/>
  <c r="Z22" i="9" s="1"/>
  <c r="Z24" i="9" s="1"/>
  <c r="AA20" i="9"/>
  <c r="AB20" i="9"/>
  <c r="AB22" i="9" s="1"/>
  <c r="AB24" i="9" s="1"/>
  <c r="AC20" i="9"/>
  <c r="AC22" i="9" s="1"/>
  <c r="AC24" i="9" s="1"/>
  <c r="AD20" i="9"/>
  <c r="D22" i="9"/>
  <c r="D24" i="9" s="1"/>
  <c r="S23" i="9"/>
  <c r="Q23" i="9"/>
  <c r="O23" i="9"/>
  <c r="M23" i="9"/>
  <c r="K23" i="9"/>
  <c r="I23" i="9"/>
  <c r="H23" i="9"/>
  <c r="G23" i="9"/>
  <c r="E23" i="9"/>
  <c r="AA22" i="9"/>
  <c r="AA24" i="9" s="1"/>
  <c r="U22" i="9"/>
  <c r="U24" i="9" s="1"/>
  <c r="O22" i="9"/>
  <c r="O24" i="9" s="1"/>
  <c r="I22" i="9"/>
  <c r="I24" i="9" s="1"/>
  <c r="AD22" i="9"/>
  <c r="AD24" i="9" s="1"/>
  <c r="X22" i="9"/>
  <c r="X24" i="9" s="1"/>
  <c r="W22" i="9"/>
  <c r="W24" i="9" s="1"/>
  <c r="V22" i="9"/>
  <c r="V24" i="9" s="1"/>
  <c r="Q22" i="9"/>
  <c r="P22" i="9"/>
  <c r="P24" i="9" s="1"/>
  <c r="N22" i="9"/>
  <c r="N24" i="9" s="1"/>
  <c r="K22" i="9"/>
  <c r="K24" i="9" s="1"/>
  <c r="J22" i="9"/>
  <c r="J24" i="9" s="1"/>
  <c r="G22" i="9"/>
  <c r="Q24" i="9" l="1"/>
  <c r="G24" i="9"/>
  <c r="P21" i="8"/>
  <c r="F20" i="7"/>
  <c r="F20" i="6"/>
  <c r="D20" i="8"/>
  <c r="F21" i="8"/>
  <c r="Q21" i="8"/>
  <c r="Q22" i="8" s="1"/>
  <c r="Q24" i="8" s="1"/>
  <c r="E21" i="8"/>
  <c r="E22" i="8" s="1"/>
  <c r="E24" i="8" s="1"/>
  <c r="E20" i="8"/>
  <c r="G20" i="8"/>
  <c r="H20" i="8"/>
  <c r="I20" i="8"/>
  <c r="J20" i="8"/>
  <c r="J22" i="8" s="1"/>
  <c r="J24" i="8" s="1"/>
  <c r="K20" i="8"/>
  <c r="K22" i="8" s="1"/>
  <c r="K24" i="8" s="1"/>
  <c r="L20" i="8"/>
  <c r="L22" i="8" s="1"/>
  <c r="L24" i="8" s="1"/>
  <c r="M20" i="8"/>
  <c r="M22" i="8" s="1"/>
  <c r="M24" i="8" s="1"/>
  <c r="N20" i="8"/>
  <c r="O20" i="8"/>
  <c r="P20" i="8"/>
  <c r="Q20" i="8"/>
  <c r="R20" i="8"/>
  <c r="S20" i="8"/>
  <c r="S22" i="8" s="1"/>
  <c r="S24" i="8" s="1"/>
  <c r="T20" i="8"/>
  <c r="U20" i="8"/>
  <c r="V20" i="8"/>
  <c r="V22" i="8" s="1"/>
  <c r="V24" i="8" s="1"/>
  <c r="W20" i="8"/>
  <c r="W22" i="8" s="1"/>
  <c r="W24" i="8" s="1"/>
  <c r="X20" i="8"/>
  <c r="X22" i="8" s="1"/>
  <c r="X24" i="8" s="1"/>
  <c r="Y20" i="8"/>
  <c r="Y22" i="8" s="1"/>
  <c r="Y24" i="8" s="1"/>
  <c r="Z20" i="8"/>
  <c r="AA20" i="8"/>
  <c r="AB20" i="8"/>
  <c r="AC22" i="8"/>
  <c r="AC24" i="8" s="1"/>
  <c r="AD20" i="8"/>
  <c r="S23" i="8"/>
  <c r="Q23" i="8"/>
  <c r="O23" i="8"/>
  <c r="M23" i="8"/>
  <c r="K23" i="8"/>
  <c r="I23" i="8"/>
  <c r="H23" i="8"/>
  <c r="G23" i="8"/>
  <c r="E23" i="8"/>
  <c r="AB22" i="8"/>
  <c r="AB24" i="8" s="1"/>
  <c r="AA22" i="8"/>
  <c r="AA24" i="8" s="1"/>
  <c r="U22" i="8"/>
  <c r="U24" i="8" s="1"/>
  <c r="O22" i="8"/>
  <c r="O24" i="8" s="1"/>
  <c r="I22" i="8"/>
  <c r="I24" i="8" s="1"/>
  <c r="AD22" i="8"/>
  <c r="AD24" i="8" s="1"/>
  <c r="Z22" i="8"/>
  <c r="Z24" i="8" s="1"/>
  <c r="T22" i="8"/>
  <c r="T24" i="8" s="1"/>
  <c r="R22" i="8"/>
  <c r="R24" i="8" s="1"/>
  <c r="N22" i="8"/>
  <c r="N24" i="8" s="1"/>
  <c r="H22" i="8"/>
  <c r="H24" i="8" s="1"/>
  <c r="E20" i="7"/>
  <c r="E22" i="7" s="1"/>
  <c r="E24" i="7" s="1"/>
  <c r="G20" i="7"/>
  <c r="H20" i="7"/>
  <c r="I20" i="7"/>
  <c r="J20" i="7"/>
  <c r="K20" i="7"/>
  <c r="L20" i="7"/>
  <c r="M20" i="7"/>
  <c r="N20" i="7"/>
  <c r="N22" i="7" s="1"/>
  <c r="N24" i="7" s="1"/>
  <c r="O20" i="7"/>
  <c r="P20" i="7"/>
  <c r="Q20" i="7"/>
  <c r="Q22" i="7" s="1"/>
  <c r="Q24" i="7" s="1"/>
  <c r="R20" i="7"/>
  <c r="S20" i="7"/>
  <c r="T20" i="7"/>
  <c r="T22" i="7" s="1"/>
  <c r="T24" i="7" s="1"/>
  <c r="U20" i="7"/>
  <c r="V20" i="7"/>
  <c r="V22" i="7" s="1"/>
  <c r="V24" i="7" s="1"/>
  <c r="W20" i="7"/>
  <c r="W22" i="7" s="1"/>
  <c r="W24" i="7" s="1"/>
  <c r="X20" i="7"/>
  <c r="Y20" i="7"/>
  <c r="Y22" i="7" s="1"/>
  <c r="Y24" i="7" s="1"/>
  <c r="Z20" i="7"/>
  <c r="AA20" i="7"/>
  <c r="AB20" i="7"/>
  <c r="AB22" i="7" s="1"/>
  <c r="AB24" i="7" s="1"/>
  <c r="AD20" i="7"/>
  <c r="D20" i="7"/>
  <c r="S23" i="7"/>
  <c r="Q23" i="7"/>
  <c r="O23" i="7"/>
  <c r="M23" i="7"/>
  <c r="K23" i="7"/>
  <c r="I23" i="7"/>
  <c r="H23" i="7"/>
  <c r="G23" i="7"/>
  <c r="E23" i="7"/>
  <c r="AD22" i="7"/>
  <c r="AD24" i="7" s="1"/>
  <c r="X22" i="7"/>
  <c r="X24" i="7" s="1"/>
  <c r="S22" i="7"/>
  <c r="S24" i="7" s="1"/>
  <c r="R22" i="7"/>
  <c r="R24" i="7" s="1"/>
  <c r="M22" i="7"/>
  <c r="M24" i="7" s="1"/>
  <c r="L22" i="7"/>
  <c r="L24" i="7" s="1"/>
  <c r="G22" i="7"/>
  <c r="G24" i="7" s="1"/>
  <c r="AA22" i="7"/>
  <c r="AA24" i="7" s="1"/>
  <c r="Z22" i="7"/>
  <c r="Z24" i="7" s="1"/>
  <c r="U22" i="7"/>
  <c r="U24" i="7" s="1"/>
  <c r="P22" i="7"/>
  <c r="P24" i="7" s="1"/>
  <c r="O22" i="7"/>
  <c r="O24" i="7" s="1"/>
  <c r="K22" i="7"/>
  <c r="K24" i="7" s="1"/>
  <c r="J22" i="7"/>
  <c r="J24" i="7" s="1"/>
  <c r="I22" i="7"/>
  <c r="I24" i="7" s="1"/>
  <c r="H22" i="7"/>
  <c r="H24" i="7" s="1"/>
  <c r="D22" i="7"/>
  <c r="D24" i="7" s="1"/>
  <c r="Q20" i="5"/>
  <c r="Q23" i="4"/>
  <c r="D20" i="4"/>
  <c r="D24" i="4"/>
  <c r="D20" i="5"/>
  <c r="Q23" i="5"/>
  <c r="Q23" i="6"/>
  <c r="Q23" i="3"/>
  <c r="Q23" i="2"/>
  <c r="Q24" i="1"/>
  <c r="Q23" i="1"/>
  <c r="Q21" i="1"/>
  <c r="Q20" i="1"/>
  <c r="E20" i="6"/>
  <c r="F22" i="6"/>
  <c r="F24" i="6" s="1"/>
  <c r="G20" i="6"/>
  <c r="G22" i="6" s="1"/>
  <c r="G24" i="6" s="1"/>
  <c r="H20" i="6"/>
  <c r="I20" i="6"/>
  <c r="J20" i="6"/>
  <c r="K20" i="6"/>
  <c r="L20" i="6"/>
  <c r="L22" i="6" s="1"/>
  <c r="L24" i="6" s="1"/>
  <c r="M20" i="6"/>
  <c r="M22" i="6" s="1"/>
  <c r="M24" i="6" s="1"/>
  <c r="N20" i="6"/>
  <c r="O20" i="6"/>
  <c r="P20" i="6"/>
  <c r="R20" i="6"/>
  <c r="R22" i="6" s="1"/>
  <c r="R24" i="6" s="1"/>
  <c r="S20" i="6"/>
  <c r="S22" i="6" s="1"/>
  <c r="S24" i="6" s="1"/>
  <c r="T20" i="6"/>
  <c r="U20" i="6"/>
  <c r="V20" i="6"/>
  <c r="W20" i="6"/>
  <c r="X20" i="6"/>
  <c r="X22" i="6" s="1"/>
  <c r="X24" i="6" s="1"/>
  <c r="Y20" i="6"/>
  <c r="Y22" i="6" s="1"/>
  <c r="Y24" i="6" s="1"/>
  <c r="Z20" i="6"/>
  <c r="Z22" i="6" s="1"/>
  <c r="Z24" i="6" s="1"/>
  <c r="AA20" i="6"/>
  <c r="AB20" i="6"/>
  <c r="AD20" i="6"/>
  <c r="AD22" i="6" s="1"/>
  <c r="AD24" i="6" s="1"/>
  <c r="S23" i="6"/>
  <c r="O23" i="6"/>
  <c r="M23" i="6"/>
  <c r="K23" i="6"/>
  <c r="I23" i="6"/>
  <c r="H23" i="6"/>
  <c r="G23" i="6"/>
  <c r="E23" i="6"/>
  <c r="AB22" i="6"/>
  <c r="AB24" i="6" s="1"/>
  <c r="AA22" i="6"/>
  <c r="AA24" i="6" s="1"/>
  <c r="W22" i="6"/>
  <c r="W24" i="6" s="1"/>
  <c r="V22" i="6"/>
  <c r="V24" i="6" s="1"/>
  <c r="T22" i="6"/>
  <c r="T24" i="6" s="1"/>
  <c r="P22" i="6"/>
  <c r="P24" i="6" s="1"/>
  <c r="O22" i="6"/>
  <c r="O24" i="6" s="1"/>
  <c r="N22" i="6"/>
  <c r="N24" i="6" s="1"/>
  <c r="K22" i="6"/>
  <c r="K24" i="6" s="1"/>
  <c r="J22" i="6"/>
  <c r="J24" i="6" s="1"/>
  <c r="I22" i="6"/>
  <c r="I24" i="6" s="1"/>
  <c r="H22" i="6"/>
  <c r="H24" i="6" s="1"/>
  <c r="E22" i="6"/>
  <c r="E24" i="6" s="1"/>
  <c r="U22" i="6"/>
  <c r="U24" i="6" s="1"/>
  <c r="F22" i="7" l="1"/>
  <c r="F24" i="7" s="1"/>
  <c r="F20" i="8" s="1"/>
  <c r="F22" i="8" s="1"/>
  <c r="F24" i="8" s="1"/>
  <c r="G21" i="8"/>
  <c r="P22" i="8"/>
  <c r="P24" i="8" s="1"/>
  <c r="D22" i="8"/>
  <c r="D24" i="8" s="1"/>
  <c r="G22" i="8"/>
  <c r="G24" i="8" s="1"/>
  <c r="U20" i="5"/>
  <c r="P20" i="5"/>
  <c r="F20" i="5"/>
  <c r="V24" i="5" l="1"/>
  <c r="T24" i="5"/>
  <c r="N24" i="5"/>
  <c r="J24" i="5"/>
  <c r="H24" i="5"/>
  <c r="S23" i="5"/>
  <c r="O23" i="5"/>
  <c r="M23" i="5"/>
  <c r="K23" i="5"/>
  <c r="I23" i="5"/>
  <c r="H23" i="5"/>
  <c r="G23" i="5"/>
  <c r="E23" i="5"/>
  <c r="AD22" i="5"/>
  <c r="AD24" i="5" s="1"/>
  <c r="AC22" i="5"/>
  <c r="AC24" i="5" s="1"/>
  <c r="AC20" i="6" s="1"/>
  <c r="AC22" i="6" s="1"/>
  <c r="AC24" i="6" s="1"/>
  <c r="AC20" i="7" s="1"/>
  <c r="AC22" i="7" s="1"/>
  <c r="AC24" i="7" s="1"/>
  <c r="AA22" i="5"/>
  <c r="AA24" i="5" s="1"/>
  <c r="W22" i="5"/>
  <c r="W24" i="5" s="1"/>
  <c r="V22" i="5"/>
  <c r="U22" i="5"/>
  <c r="U24" i="5" s="1"/>
  <c r="T22" i="5"/>
  <c r="S22" i="5"/>
  <c r="S24" i="5" s="1"/>
  <c r="R22" i="5"/>
  <c r="R24" i="5" s="1"/>
  <c r="Q22" i="5"/>
  <c r="Q24" i="5" s="1"/>
  <c r="O22" i="5"/>
  <c r="O24" i="5" s="1"/>
  <c r="N22" i="5"/>
  <c r="M22" i="5"/>
  <c r="M24" i="5" s="1"/>
  <c r="L22" i="5"/>
  <c r="L24" i="5" s="1"/>
  <c r="K22" i="5"/>
  <c r="K24" i="5" s="1"/>
  <c r="J22" i="5"/>
  <c r="I22" i="5"/>
  <c r="I24" i="5" s="1"/>
  <c r="H22" i="5"/>
  <c r="G22" i="5"/>
  <c r="F22" i="5"/>
  <c r="F24" i="5" s="1"/>
  <c r="E22" i="5"/>
  <c r="AB22" i="5"/>
  <c r="AB24" i="5" s="1"/>
  <c r="Z22" i="5"/>
  <c r="Z24" i="5" s="1"/>
  <c r="Y22" i="5"/>
  <c r="Y24" i="5" s="1"/>
  <c r="X22" i="5"/>
  <c r="X24" i="5" s="1"/>
  <c r="P22" i="5"/>
  <c r="P24" i="5" s="1"/>
  <c r="D22" i="5"/>
  <c r="D24" i="5" s="1"/>
  <c r="D20" i="6" s="1"/>
  <c r="D22" i="6" s="1"/>
  <c r="D24" i="6" s="1"/>
  <c r="Q20" i="6" l="1"/>
  <c r="Q22" i="6" s="1"/>
  <c r="Q24" i="6" s="1"/>
  <c r="G24" i="5"/>
  <c r="E24" i="5"/>
  <c r="E23" i="4"/>
  <c r="AB20" i="4"/>
  <c r="AA20" i="4"/>
  <c r="Z20" i="4"/>
  <c r="Y20" i="4"/>
  <c r="X20" i="4"/>
  <c r="W20" i="4"/>
  <c r="P20" i="4"/>
  <c r="F20" i="4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P21" i="1"/>
  <c r="F23" i="1"/>
  <c r="G23" i="1"/>
  <c r="F21" i="1"/>
  <c r="F20" i="1"/>
  <c r="E23" i="3"/>
  <c r="E23" i="1"/>
  <c r="E21" i="1"/>
  <c r="E20" i="1"/>
  <c r="D21" i="1"/>
  <c r="D20" i="1"/>
  <c r="D23" i="2"/>
  <c r="D23" i="1"/>
  <c r="AB23" i="4"/>
  <c r="AA23" i="4"/>
  <c r="Z23" i="4"/>
  <c r="Y23" i="4"/>
  <c r="W23" i="4"/>
  <c r="P23" i="4"/>
  <c r="F23" i="4"/>
  <c r="S23" i="4"/>
  <c r="O23" i="4"/>
  <c r="M23" i="4"/>
  <c r="K23" i="4"/>
  <c r="I23" i="4"/>
  <c r="H23" i="4"/>
  <c r="G23" i="4"/>
  <c r="Z23" i="3"/>
  <c r="Y23" i="3"/>
  <c r="AA23" i="3"/>
  <c r="W23" i="3"/>
  <c r="F23" i="3"/>
  <c r="G23" i="3" s="1"/>
  <c r="F21" i="3"/>
  <c r="G21" i="3" s="1"/>
  <c r="Q21" i="3"/>
  <c r="E21" i="3"/>
  <c r="S23" i="3"/>
  <c r="O23" i="3"/>
  <c r="M23" i="3"/>
  <c r="K23" i="3"/>
  <c r="I23" i="3"/>
  <c r="H23" i="3"/>
  <c r="P23" i="2" l="1"/>
  <c r="P23" i="1" l="1"/>
  <c r="L24" i="2"/>
  <c r="L20" i="3" s="1"/>
  <c r="L22" i="3" s="1"/>
  <c r="L24" i="3" s="1"/>
  <c r="L22" i="4" s="1"/>
  <c r="L24" i="4" s="1"/>
  <c r="S23" i="2"/>
  <c r="O23" i="2"/>
  <c r="M23" i="2"/>
  <c r="K23" i="2"/>
  <c r="I23" i="2"/>
  <c r="H23" i="2"/>
  <c r="G23" i="2"/>
  <c r="E23" i="2"/>
  <c r="AD22" i="2"/>
  <c r="AD24" i="2" s="1"/>
  <c r="AD20" i="3" s="1"/>
  <c r="AD22" i="3" s="1"/>
  <c r="AD24" i="3" s="1"/>
  <c r="AD22" i="4" s="1"/>
  <c r="AD24" i="4" s="1"/>
  <c r="AC22" i="2"/>
  <c r="AC24" i="2" s="1"/>
  <c r="AC20" i="3" s="1"/>
  <c r="AC22" i="3" s="1"/>
  <c r="AC24" i="3" s="1"/>
  <c r="AC22" i="4" s="1"/>
  <c r="AC24" i="4" s="1"/>
  <c r="AB22" i="2"/>
  <c r="AB24" i="2" s="1"/>
  <c r="AB20" i="3" s="1"/>
  <c r="AB22" i="3" s="1"/>
  <c r="AB24" i="3" s="1"/>
  <c r="AB22" i="4" s="1"/>
  <c r="AB24" i="4" s="1"/>
  <c r="AA22" i="2"/>
  <c r="AA24" i="2" s="1"/>
  <c r="AA20" i="3" s="1"/>
  <c r="AA22" i="3" s="1"/>
  <c r="AA24" i="3" s="1"/>
  <c r="AA22" i="4" s="1"/>
  <c r="AA24" i="4" s="1"/>
  <c r="Z22" i="2"/>
  <c r="Z24" i="2" s="1"/>
  <c r="Z20" i="3" s="1"/>
  <c r="Z22" i="3" s="1"/>
  <c r="Z24" i="3" s="1"/>
  <c r="Z22" i="4" s="1"/>
  <c r="Z24" i="4" s="1"/>
  <c r="Y22" i="2"/>
  <c r="Y24" i="2" s="1"/>
  <c r="Y20" i="3" s="1"/>
  <c r="Y22" i="3" s="1"/>
  <c r="Y24" i="3" s="1"/>
  <c r="Y22" i="4" s="1"/>
  <c r="Y24" i="4" s="1"/>
  <c r="X22" i="2"/>
  <c r="X24" i="2" s="1"/>
  <c r="X20" i="3" s="1"/>
  <c r="X22" i="3" s="1"/>
  <c r="X24" i="3" s="1"/>
  <c r="X22" i="4" s="1"/>
  <c r="X24" i="4" s="1"/>
  <c r="W22" i="2"/>
  <c r="W24" i="2" s="1"/>
  <c r="W20" i="3" s="1"/>
  <c r="W22" i="3" s="1"/>
  <c r="W24" i="3" s="1"/>
  <c r="W22" i="4" s="1"/>
  <c r="W24" i="4" s="1"/>
  <c r="S22" i="2"/>
  <c r="S24" i="2" s="1"/>
  <c r="S20" i="3" s="1"/>
  <c r="S22" i="3" s="1"/>
  <c r="S24" i="3" s="1"/>
  <c r="S22" i="4" s="1"/>
  <c r="S24" i="4" s="1"/>
  <c r="R22" i="2"/>
  <c r="R24" i="2" s="1"/>
  <c r="R20" i="3" s="1"/>
  <c r="R22" i="3" s="1"/>
  <c r="R24" i="3" s="1"/>
  <c r="R22" i="4" s="1"/>
  <c r="R24" i="4" s="1"/>
  <c r="O22" i="2"/>
  <c r="O24" i="2" s="1"/>
  <c r="O20" i="3" s="1"/>
  <c r="O22" i="3" s="1"/>
  <c r="O24" i="3" s="1"/>
  <c r="O22" i="4" s="1"/>
  <c r="O24" i="4" s="1"/>
  <c r="N22" i="2"/>
  <c r="N24" i="2" s="1"/>
  <c r="N20" i="3" s="1"/>
  <c r="N22" i="3" s="1"/>
  <c r="N24" i="3" s="1"/>
  <c r="N22" i="4" s="1"/>
  <c r="N24" i="4" s="1"/>
  <c r="M22" i="2"/>
  <c r="M24" i="2" s="1"/>
  <c r="M20" i="3" s="1"/>
  <c r="M22" i="3" s="1"/>
  <c r="M24" i="3" s="1"/>
  <c r="M22" i="4" s="1"/>
  <c r="M24" i="4" s="1"/>
  <c r="L22" i="2"/>
  <c r="J22" i="2"/>
  <c r="J24" i="2" s="1"/>
  <c r="J20" i="3" s="1"/>
  <c r="J22" i="3" s="1"/>
  <c r="J24" i="3" s="1"/>
  <c r="J22" i="4" s="1"/>
  <c r="J24" i="4" s="1"/>
  <c r="I22" i="2"/>
  <c r="I24" i="2" s="1"/>
  <c r="I20" i="3" s="1"/>
  <c r="I22" i="3" s="1"/>
  <c r="I24" i="3" s="1"/>
  <c r="I22" i="4" s="1"/>
  <c r="I24" i="4" s="1"/>
  <c r="H22" i="2"/>
  <c r="H24" i="2" s="1"/>
  <c r="H20" i="3" s="1"/>
  <c r="H22" i="3" s="1"/>
  <c r="H24" i="3" s="1"/>
  <c r="H22" i="4" s="1"/>
  <c r="H24" i="4" s="1"/>
  <c r="P22" i="2"/>
  <c r="P24" i="2" s="1"/>
  <c r="P20" i="3" s="1"/>
  <c r="P22" i="3" s="1"/>
  <c r="P24" i="3" s="1"/>
  <c r="P22" i="4" s="1"/>
  <c r="P24" i="4" s="1"/>
  <c r="V22" i="2"/>
  <c r="V24" i="2" s="1"/>
  <c r="V20" i="3" s="1"/>
  <c r="V22" i="3" s="1"/>
  <c r="V24" i="3" s="1"/>
  <c r="V22" i="4" s="1"/>
  <c r="V24" i="4" s="1"/>
  <c r="U22" i="2"/>
  <c r="U24" i="2" s="1"/>
  <c r="U20" i="3" s="1"/>
  <c r="U22" i="3" s="1"/>
  <c r="U24" i="3" s="1"/>
  <c r="U22" i="4" s="1"/>
  <c r="U24" i="4" s="1"/>
  <c r="T22" i="2"/>
  <c r="T24" i="2" s="1"/>
  <c r="T20" i="3" s="1"/>
  <c r="T22" i="3" s="1"/>
  <c r="T24" i="3" s="1"/>
  <c r="T22" i="4" s="1"/>
  <c r="T24" i="4" s="1"/>
  <c r="K22" i="2"/>
  <c r="K24" i="2" s="1"/>
  <c r="K20" i="3" s="1"/>
  <c r="K22" i="3" s="1"/>
  <c r="K24" i="3" s="1"/>
  <c r="K22" i="4" s="1"/>
  <c r="K24" i="4" s="1"/>
  <c r="F22" i="2"/>
  <c r="F24" i="2" s="1"/>
  <c r="F20" i="3" s="1"/>
  <c r="F22" i="3" s="1"/>
  <c r="F24" i="3" s="1"/>
  <c r="F22" i="4" s="1"/>
  <c r="F24" i="4" s="1"/>
  <c r="Q22" i="1"/>
  <c r="P22" i="1"/>
  <c r="F22" i="1"/>
  <c r="G22" i="1"/>
  <c r="H22" i="1"/>
  <c r="I22" i="1"/>
  <c r="J22" i="1"/>
  <c r="K22" i="1"/>
  <c r="L22" i="1"/>
  <c r="M22" i="1"/>
  <c r="N22" i="1"/>
  <c r="O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D22" i="1"/>
  <c r="G21" i="1"/>
  <c r="E22" i="1"/>
  <c r="G20" i="1"/>
  <c r="U20" i="1"/>
  <c r="Q20" i="2" l="1"/>
  <c r="Q22" i="2" s="1"/>
  <c r="Q24" i="2" s="1"/>
  <c r="Q20" i="3" s="1"/>
  <c r="Q22" i="3" s="1"/>
  <c r="Q24" i="3" s="1"/>
  <c r="Q22" i="4" s="1"/>
  <c r="Q24" i="4" s="1"/>
  <c r="G22" i="2"/>
  <c r="G24" i="2" s="1"/>
  <c r="G20" i="3" s="1"/>
  <c r="G22" i="3" s="1"/>
  <c r="G24" i="3" s="1"/>
  <c r="G22" i="4" s="1"/>
  <c r="G24" i="4" s="1"/>
  <c r="AB24" i="1" l="1"/>
  <c r="Y24" i="1"/>
  <c r="S23" i="1" l="1"/>
  <c r="O23" i="1"/>
  <c r="M23" i="1"/>
  <c r="K23" i="1"/>
  <c r="I23" i="1"/>
  <c r="H23" i="1"/>
  <c r="AD24" i="1"/>
  <c r="AC24" i="1"/>
  <c r="Z24" i="1"/>
  <c r="X24" i="1"/>
  <c r="U24" i="1"/>
  <c r="R24" i="1"/>
  <c r="P24" i="1"/>
  <c r="L24" i="1"/>
  <c r="J24" i="1"/>
  <c r="D24" i="1"/>
  <c r="D22" i="2" s="1"/>
  <c r="D24" i="2" s="1"/>
  <c r="V20" i="1"/>
  <c r="V24" i="1" s="1"/>
  <c r="T20" i="1"/>
  <c r="T24" i="1" s="1"/>
  <c r="S20" i="1"/>
  <c r="O20" i="1"/>
  <c r="N20" i="1"/>
  <c r="N24" i="1" s="1"/>
  <c r="M20" i="1"/>
  <c r="K20" i="1"/>
  <c r="I20" i="1"/>
  <c r="H20" i="1"/>
  <c r="D20" i="3" l="1"/>
  <c r="D22" i="3" s="1"/>
  <c r="D24" i="3" s="1"/>
  <c r="D22" i="4" s="1"/>
  <c r="W24" i="1"/>
  <c r="S24" i="1"/>
  <c r="I24" i="1"/>
  <c r="K24" i="1"/>
  <c r="M24" i="1"/>
  <c r="E24" i="1"/>
  <c r="E22" i="2" s="1"/>
  <c r="E24" i="2" s="1"/>
  <c r="E20" i="3" s="1"/>
  <c r="E22" i="3" s="1"/>
  <c r="E24" i="3" s="1"/>
  <c r="E22" i="4" s="1"/>
  <c r="E24" i="4" s="1"/>
  <c r="AA24" i="1"/>
  <c r="H24" i="1"/>
  <c r="F24" i="1"/>
  <c r="O24" i="1"/>
  <c r="G24" i="1"/>
  <c r="P22" i="60" l="1"/>
  <c r="P24" i="60" s="1"/>
</calcChain>
</file>

<file path=xl/comments1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5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6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7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8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9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0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1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2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3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4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5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6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7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8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29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0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1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2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3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4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5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6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7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8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39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0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1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2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3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4.xml><?xml version="1.0" encoding="utf-8"?>
<comments xmlns="http://schemas.openxmlformats.org/spreadsheetml/2006/main">
  <authors>
    <author>Airene B. Tabotabo</author>
  </authors>
  <commentList>
    <comment ref="Y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5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6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7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8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49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0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1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2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3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4.xml><?xml version="1.0" encoding="utf-8"?>
<comments xmlns="http://schemas.openxmlformats.org/spreadsheetml/2006/main">
  <authors>
    <author>Airene B. Tabotabo</author>
  </authors>
  <commentList>
    <comment ref="AA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5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1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2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3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4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5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6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7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8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69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0.xml><?xml version="1.0" encoding="utf-8"?>
<comments xmlns="http://schemas.openxmlformats.org/spreadsheetml/2006/main">
  <authors>
    <author>Airene B. Tabotabo</author>
  </authors>
  <commentList>
    <comment ref="AC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1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2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3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4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5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6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7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8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79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0.xml><?xml version="1.0" encoding="utf-8"?>
<comments xmlns="http://schemas.openxmlformats.org/spreadsheetml/2006/main">
  <authors>
    <author>Airene B. Tabotabo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1.xml><?xml version="1.0" encoding="utf-8"?>
<comments xmlns="http://schemas.openxmlformats.org/spreadsheetml/2006/main">
  <authors>
    <author>Airene B. Tabotabo</author>
  </authors>
  <commentList>
    <comment ref="AF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2.xml><?xml version="1.0" encoding="utf-8"?>
<comments xmlns="http://schemas.openxmlformats.org/spreadsheetml/2006/main">
  <authors>
    <author>Airene B. Tabotabo</author>
  </authors>
  <commentList>
    <comment ref="AF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3.xml><?xml version="1.0" encoding="utf-8"?>
<comments xmlns="http://schemas.openxmlformats.org/spreadsheetml/2006/main">
  <authors>
    <author>Airene B. Tabotabo</author>
  </authors>
  <commentList>
    <comment ref="AF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4.xml><?xml version="1.0" encoding="utf-8"?>
<comments xmlns="http://schemas.openxmlformats.org/spreadsheetml/2006/main">
  <authors>
    <author>Airene B. Tabotabo</author>
  </authors>
  <commentList>
    <comment ref="AF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5.xml><?xml version="1.0" encoding="utf-8"?>
<comments xmlns="http://schemas.openxmlformats.org/spreadsheetml/2006/main">
  <authors>
    <author>Airene B. Tabotabo</author>
  </authors>
  <commentList>
    <comment ref="AF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6.xml><?xml version="1.0" encoding="utf-8"?>
<comments xmlns="http://schemas.openxmlformats.org/spreadsheetml/2006/main">
  <authors>
    <author>Airene B. Tabotabo</author>
  </authors>
  <commentList>
    <comment ref="AF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7.xml><?xml version="1.0" encoding="utf-8"?>
<comments xmlns="http://schemas.openxmlformats.org/spreadsheetml/2006/main">
  <authors>
    <author>Airene B. Tabotabo</author>
  </authors>
  <commentList>
    <comment ref="AF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8.xml><?xml version="1.0" encoding="utf-8"?>
<comments xmlns="http://schemas.openxmlformats.org/spreadsheetml/2006/main">
  <authors>
    <author>Airene B. Tabotabo</author>
  </authors>
  <commentList>
    <comment ref="AF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89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0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1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2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3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4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5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6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7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8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99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0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1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2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3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4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5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6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7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8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09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0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1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2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3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4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5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6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7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8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19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0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1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2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3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4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5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6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7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8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29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0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1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2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3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4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5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6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7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8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39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0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1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2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3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4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5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6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7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comments148.xml><?xml version="1.0" encoding="utf-8"?>
<comments xmlns="http://schemas.openxmlformats.org/spreadsheetml/2006/main">
  <authors>
    <author>Airene B. Tabotabo</author>
  </authors>
  <commentList>
    <comment ref="AJ20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gikuhaan nku ug 5k para naog sa UG kay na short na ang underground</t>
        </r>
      </text>
    </comment>
  </commentList>
</comments>
</file>

<file path=xl/sharedStrings.xml><?xml version="1.0" encoding="utf-8"?>
<sst xmlns="http://schemas.openxmlformats.org/spreadsheetml/2006/main" count="14192" uniqueCount="231">
  <si>
    <t>SUPPLIER</t>
  </si>
  <si>
    <t>MT. ROCK</t>
  </si>
  <si>
    <t>DATE</t>
  </si>
  <si>
    <t>DESCRIPTION</t>
  </si>
  <si>
    <t>EMULSION</t>
  </si>
  <si>
    <t>Dyna</t>
  </si>
  <si>
    <t>Pentex</t>
  </si>
  <si>
    <t>Anfo</t>
  </si>
  <si>
    <t>S/Fuse</t>
  </si>
  <si>
    <t>OBC</t>
  </si>
  <si>
    <t>SUPREME</t>
  </si>
  <si>
    <t>SHOCKSTAR</t>
  </si>
  <si>
    <t>Billwire</t>
  </si>
  <si>
    <t>EBC</t>
  </si>
  <si>
    <t>Spider</t>
  </si>
  <si>
    <t>(savings)</t>
  </si>
  <si>
    <t>Super Power</t>
  </si>
  <si>
    <t>Superdyne</t>
  </si>
  <si>
    <t>EMULEX</t>
  </si>
  <si>
    <t>Senatel/Pulsar</t>
  </si>
  <si>
    <t>Pcs</t>
  </si>
  <si>
    <t>Kls</t>
  </si>
  <si>
    <t>Mtrs</t>
  </si>
  <si>
    <t xml:space="preserve">Beginning Balance </t>
  </si>
  <si>
    <t>-</t>
  </si>
  <si>
    <t xml:space="preserve">Entry From Consignee Magazine </t>
  </si>
  <si>
    <t>Total Stock On Hand</t>
  </si>
  <si>
    <t>Less: Total Weekly Consumption</t>
  </si>
  <si>
    <t>Remaining Stock Balance</t>
  </si>
  <si>
    <t>Prepared by:</t>
  </si>
  <si>
    <t>Certified correct by:</t>
  </si>
  <si>
    <t>ENGR. EDWIN B. BATAL</t>
  </si>
  <si>
    <t>Mine Explosive Asst. Manager</t>
  </si>
  <si>
    <t>Mount Rock Powder Corp.</t>
  </si>
  <si>
    <t>Mine Explosives Manager</t>
  </si>
  <si>
    <t>AUGUST 1-7,2023</t>
  </si>
  <si>
    <t>TIGERWAY DECLINE PROJECT - WEEKLY CONSUMPTION</t>
  </si>
  <si>
    <t>Neogel 901</t>
  </si>
  <si>
    <t>Emulex</t>
  </si>
  <si>
    <t>Netro EM</t>
  </si>
  <si>
    <t>NEOCORD</t>
  </si>
  <si>
    <t>DETCORD</t>
  </si>
  <si>
    <t>MR. JUN RAY C. ENDICO</t>
  </si>
  <si>
    <t>ENGR. JOHN PAUHL T. NAVARRO</t>
  </si>
  <si>
    <t>Drill and Blast Engineer</t>
  </si>
  <si>
    <t xml:space="preserve">Tigerway  Project Manager </t>
  </si>
  <si>
    <t>PHILSAGA MINING CORPORATION</t>
  </si>
  <si>
    <t>Blaster License: FPDJ10-090819-04922</t>
  </si>
  <si>
    <t>Confirmed by:</t>
  </si>
  <si>
    <t>Review and Noted by:</t>
  </si>
  <si>
    <t>MR. RAFFY D. TORRES</t>
  </si>
  <si>
    <t>Blaster License: FKB15 - 080917- 04562</t>
  </si>
  <si>
    <t>AUGUST 8-14, 2023</t>
  </si>
  <si>
    <t>AUGUST 15-21, 2023</t>
  </si>
  <si>
    <t>AUGUST 22-31, 2023</t>
  </si>
  <si>
    <t>SEPTEMBER 22-30,2023</t>
  </si>
  <si>
    <t>Checked by:</t>
  </si>
  <si>
    <t>Certified Correct by:</t>
  </si>
  <si>
    <t>EXPLOSIVES WEEKLY CONSUMPTION - TIGERWAY DECLINE PROJECT</t>
  </si>
  <si>
    <t>SEPTEMBER 1-7,2023</t>
  </si>
  <si>
    <t>SEPTEMBER 8-14,2023</t>
  </si>
  <si>
    <t>SEPTEMBER 15-21,2023</t>
  </si>
  <si>
    <t>OCTOBER 1-8,2023</t>
  </si>
  <si>
    <t>MR. EDWIN B. BATAL</t>
  </si>
  <si>
    <t>Mine Explosives Asst. Manager</t>
  </si>
  <si>
    <t>Blaster License: FKB15 - 080917- 04561</t>
  </si>
  <si>
    <t>OCTOBER 9-15,2023</t>
  </si>
  <si>
    <t>OCTOBER 16-22,2023</t>
  </si>
  <si>
    <t>OCTOBER 23-31,2023</t>
  </si>
  <si>
    <t>NOVEMBER 1-5,2023</t>
  </si>
  <si>
    <t>NOVEMBER 6-12,2023</t>
  </si>
  <si>
    <t>NOVEMBER 13-19,2023</t>
  </si>
  <si>
    <t>NOVEMBER 20-26,2023</t>
  </si>
  <si>
    <t>NOVEMBER 27-DECEMBER 3,2023</t>
  </si>
  <si>
    <t>DECEMBER 4-10,2023</t>
  </si>
  <si>
    <t>DECEMBER 11-17,2023</t>
  </si>
  <si>
    <t>DECEMBER 18-24,2023</t>
  </si>
  <si>
    <t>DECEMBER 25-31,2023</t>
  </si>
  <si>
    <t>JANUARY 1-7,2024</t>
  </si>
  <si>
    <t>JANUARY 8-14,2024</t>
  </si>
  <si>
    <t>JANUARY 15-21,2024</t>
  </si>
  <si>
    <t>MR. VINREY C. VERCIDE</t>
  </si>
  <si>
    <t>Blaster License: FDJ10-081821-0637</t>
  </si>
  <si>
    <t>JANUARY 22-28,2024</t>
  </si>
  <si>
    <t>JANUARY 29 - FEBRUARY 4,2024</t>
  </si>
  <si>
    <t>FEBRUARY 5-11,2024</t>
  </si>
  <si>
    <t>FEBRUARY 12-18,2024</t>
  </si>
  <si>
    <t>FEBRUARY 19-25,2024</t>
  </si>
  <si>
    <t>FEBRUARY 26 - MARCH 3,2024</t>
  </si>
  <si>
    <t>MARCH 4-10,2024</t>
  </si>
  <si>
    <t>MARCH 11-17,2024</t>
  </si>
  <si>
    <t>MARCH 18-24,2024</t>
  </si>
  <si>
    <t>MARCH 25-31,2024</t>
  </si>
  <si>
    <t>APRIL 1-7,2024</t>
  </si>
  <si>
    <t>Mine Asst. Explosives Manager</t>
  </si>
  <si>
    <t>APRIL 8-14,2024</t>
  </si>
  <si>
    <t>APRIL 15-21,2024</t>
  </si>
  <si>
    <t>Superpower 90</t>
  </si>
  <si>
    <t>APRIL 22-28,2024</t>
  </si>
  <si>
    <t>APRIL 29 - MAY 5,2024</t>
  </si>
  <si>
    <t>MAY 6-12,2024</t>
  </si>
  <si>
    <t>MAY 13-19,2024</t>
  </si>
  <si>
    <t>MAY 20-26,2024</t>
  </si>
  <si>
    <t>MAY 27-JUNE 2,2024</t>
  </si>
  <si>
    <t>JUNE 3-9, 2024</t>
  </si>
  <si>
    <t>JUNE 10-16, 2024</t>
  </si>
  <si>
    <t>JUNE 17-23, 2024</t>
  </si>
  <si>
    <t>ENGR. RAFFY D. TORRES</t>
  </si>
  <si>
    <t>JUNE 24-30, 2024</t>
  </si>
  <si>
    <t>JULY 1-7, 2024</t>
  </si>
  <si>
    <t>JULY 8-14, 2024</t>
  </si>
  <si>
    <t>MR. ARGYNE LEO B. LIBAO JR.</t>
  </si>
  <si>
    <t>Blaster License: FPDJ10-240424-1116</t>
  </si>
  <si>
    <t>JULY 15-21, 2024</t>
  </si>
  <si>
    <t>JULY 22-28, 2024</t>
  </si>
  <si>
    <t>JULY 29 - AUGUST 4, 2024</t>
  </si>
  <si>
    <t>AUGUST 5-11, 2024</t>
  </si>
  <si>
    <t>ENGR. RIVA B. GUIBELONDO</t>
  </si>
  <si>
    <t>Project Management Manager - TIGERWAY</t>
  </si>
  <si>
    <t>AUGUST 12-18, 2024</t>
  </si>
  <si>
    <t xml:space="preserve">Asst. Mines Manager </t>
  </si>
  <si>
    <t>AUGUST 19-25, 2024</t>
  </si>
  <si>
    <t>AUGUST 26-SEPTEMBER 1, 2024</t>
  </si>
  <si>
    <t>SEPTEMBER 2-8, 2024</t>
  </si>
  <si>
    <t>SEPTEMBER 9-15, 2024</t>
  </si>
  <si>
    <t>SEPTEMBER 16-22, 2024</t>
  </si>
  <si>
    <t>SEPTEMBER 23-29, 2024</t>
  </si>
  <si>
    <t>SEPTEMBER 30-OCTOBER 6, 2024</t>
  </si>
  <si>
    <t>OCTOBER 7-13, 2024</t>
  </si>
  <si>
    <t>OCTOBER 14-20, 2024</t>
  </si>
  <si>
    <t>OCTOBER 21-27, 2024</t>
  </si>
  <si>
    <t>OCTOBER 28-NOVEMBER 3, 2024</t>
  </si>
  <si>
    <t>NOVEMBER 4-10, 2024</t>
  </si>
  <si>
    <t>SENATEL PULSAR</t>
  </si>
  <si>
    <t>25x200</t>
  </si>
  <si>
    <t>NOVEMBER 11-17, 2024</t>
  </si>
  <si>
    <t>NOVEMBER 18-24, 2024</t>
  </si>
  <si>
    <t>NOVEMBER 25-DECEMBER 1, 2024</t>
  </si>
  <si>
    <t>DECEMBER 2-8, 2024</t>
  </si>
  <si>
    <t>DECEMBER 9-15, 2024</t>
  </si>
  <si>
    <t>DECEMBER 16-22, 2024</t>
  </si>
  <si>
    <t>DECEMBER 23-29, 2024</t>
  </si>
  <si>
    <t>DECEMBER 30-JANUARY 5, 2025</t>
  </si>
  <si>
    <t>JANUARY 6-12, 2025</t>
  </si>
  <si>
    <t>JANUARY 13-19, 2025</t>
  </si>
  <si>
    <t>JANUARY 20-26 2025</t>
  </si>
  <si>
    <t>JANUARY 27-FEBRUARY 2, 2025</t>
  </si>
  <si>
    <t>FEBRUARY 3-9, 2025</t>
  </si>
  <si>
    <t>FEBRUARY 10-16, 2025</t>
  </si>
  <si>
    <t>FEBRUARY 17-23, 2025</t>
  </si>
  <si>
    <t>FEBRUARY 24-MARCH 2, 2025</t>
  </si>
  <si>
    <t>MARCH 3-9, 2025</t>
  </si>
  <si>
    <t>MARCH 10-16, 2025</t>
  </si>
  <si>
    <t>MARCH 17-23, 2025</t>
  </si>
  <si>
    <t>MARCH 24-30, 2025</t>
  </si>
  <si>
    <t>MARCH 31-APRIL 6, 2025</t>
  </si>
  <si>
    <t>APRIL 7-13, 2025</t>
  </si>
  <si>
    <t>APRIL 14-20, 2025</t>
  </si>
  <si>
    <t xml:space="preserve">NEOGEL </t>
  </si>
  <si>
    <t>APRIL 21-27, 2025</t>
  </si>
  <si>
    <t>APRIL 28-MAY 4, 2025</t>
  </si>
  <si>
    <t>MAY 5-11, 2025</t>
  </si>
  <si>
    <t>MAY 12-18, 2025</t>
  </si>
  <si>
    <t>MAY 19-25, 2025</t>
  </si>
  <si>
    <t>Blaster License: FPDJ10-021225-0015</t>
  </si>
  <si>
    <t>Blaster License:  FKB15 - 080917- 04561</t>
  </si>
  <si>
    <t>MAY 26-JUNE 1, 2025</t>
  </si>
  <si>
    <t>JUNE 2-8, 2025</t>
  </si>
  <si>
    <t>MR. MARK JAY E. CASTILLON</t>
  </si>
  <si>
    <t>JUNE 9-15, 2025</t>
  </si>
  <si>
    <t>JUNE 16-22, 2025</t>
  </si>
  <si>
    <t>JUNE 23-29, 2025</t>
  </si>
  <si>
    <t>ENGR. JAN JEFFERSON S. FLAUTA</t>
  </si>
  <si>
    <t>Tigerway Tunnel Operations Engineer - OIC</t>
  </si>
  <si>
    <t>JUNE 30-JULY 6, 2025</t>
  </si>
  <si>
    <t>JULY 7-13, 2025</t>
  </si>
  <si>
    <t>JULY 14-20, 2025</t>
  </si>
  <si>
    <t>JULY 21-27, 2025</t>
  </si>
  <si>
    <t>JULY 28-AUGUST 3, 2025</t>
  </si>
  <si>
    <t>AUGUST 4-10, 2025</t>
  </si>
  <si>
    <t>AUGUST 11-17, 2025</t>
  </si>
  <si>
    <t>AUGUST 18-24, 2025</t>
  </si>
  <si>
    <t>AUGUST 25-31, 2025</t>
  </si>
  <si>
    <t>SEPTEMBER 1-7, 2025</t>
  </si>
  <si>
    <t>SEPTEMBER 8-14, 2025</t>
  </si>
  <si>
    <t>SEPTEMBER 15-21, 2025</t>
  </si>
  <si>
    <t>SEPTEMBER 22-28, 2025</t>
  </si>
  <si>
    <t>SEPTEMBER 29-OCTOBER 5, 2025</t>
  </si>
  <si>
    <t>OCTOBER 6-12, 2025</t>
  </si>
  <si>
    <t>OCTOBER 13-19, 2025</t>
  </si>
  <si>
    <t>OCTOBER 20-26, 2025</t>
  </si>
  <si>
    <t>OCTOBER 27-NOVEMBER 2, 2025</t>
  </si>
  <si>
    <t>NOVEMBER 3-9, 2025</t>
  </si>
  <si>
    <t>NOVEMBER 10-16, 2025</t>
  </si>
  <si>
    <t>NOVEMBER 17-23, 2025</t>
  </si>
  <si>
    <t>NOVEMBER 24-30, 2025</t>
  </si>
  <si>
    <t>DECEMBER 1-7, 2025</t>
  </si>
  <si>
    <t>DECEMBER 8-14, 2025</t>
  </si>
  <si>
    <t>DECEMBER 15-21, 2025</t>
  </si>
  <si>
    <t>DECEMBER 22-28 , 2025</t>
  </si>
  <si>
    <t>DECEMBER 29-JANUARY 4, 2026</t>
  </si>
  <si>
    <t>JANUARY 5-11, 2026</t>
  </si>
  <si>
    <t>JANUARY 12-18, 2026</t>
  </si>
  <si>
    <t>JANUARY 19-25, 2026</t>
  </si>
  <si>
    <t>JANUARY 26-FEBRUARY 1, 2026</t>
  </si>
  <si>
    <t>FEBRUARY 2-8, 2026</t>
  </si>
  <si>
    <t>NEO PRIME</t>
  </si>
  <si>
    <t>FEBRUARY 9-15, 2026</t>
  </si>
  <si>
    <t>FEBRUARY 16-22, 2026</t>
  </si>
  <si>
    <t>FEBRUARY 23-MARCH 1, 2026</t>
  </si>
  <si>
    <t>MARCH 2-8, 2026</t>
  </si>
  <si>
    <t xml:space="preserve">ENGR. JOHN MARTIN R. CIRIO </t>
  </si>
  <si>
    <t>Long Range Mine Development Manager</t>
  </si>
  <si>
    <t>MARCH 9-15, 2026</t>
  </si>
  <si>
    <t>67/4.5M</t>
  </si>
  <si>
    <t>SUPREME TLD</t>
  </si>
  <si>
    <t>RIONEL IHD</t>
  </si>
  <si>
    <t>500MS/6M</t>
  </si>
  <si>
    <t>MARCH 16-22, 2026</t>
  </si>
  <si>
    <t>MARCH 23-29, 2026</t>
  </si>
  <si>
    <t>MARCH 30-APRIL 5, 2026</t>
  </si>
  <si>
    <t>APRIL 6-12, 2026</t>
  </si>
  <si>
    <t>APRIL 13-19, 2026</t>
  </si>
  <si>
    <t>17MS/25MS/42MS</t>
  </si>
  <si>
    <t>APRIL 20-26, 2026</t>
  </si>
  <si>
    <t>APRIL 27-MAY 3, 2026</t>
  </si>
  <si>
    <t>MAY 4-10, 2026</t>
  </si>
  <si>
    <t>MAY 11-17, 2026</t>
  </si>
  <si>
    <t>MAY 18-24, 2026</t>
  </si>
  <si>
    <t>MAY 25-31, 2026</t>
  </si>
  <si>
    <t>JUNE 1-7,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</si>
</sst>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#,##0_ ;\-#,##0\ "/>
    <numFmt numFmtId="167" formatCode="#,##0.0;\-#,##0.0"/>
    <numFmt numFmtId="168" formatCode="#,##0.00_ ;\-#,##0.00\ "/>
    <numFmt numFmtId="169" formatCode="#,##0;[Red]#,##0"/>
    <numFmt numFmtId="170" formatCode="#,##0.00;[Red]#,##0.00"/>
    <numFmt numFmtId="171" formatCode="#,##0.0;[Red]#,##0.0"/>
    <numFmt numFmtId="172" formatCode="[$-409]dd\-mmm\-yy;@"/>
    <numFmt numFmtId="173" formatCode="#,##0.0_ ;\-#,##0.0\ "/>
    <numFmt numFmtId="174" formatCode="#,##0.0_);\(#,##0.0\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8"/>
      <name val="Times New Roman"/>
      <family val="1"/>
    </font>
    <font>
      <b/>
      <sz val="17"/>
      <name val="Times New Roman"/>
      <family val="1"/>
    </font>
    <font>
      <sz val="10"/>
      <name val="Arial"/>
      <family val="2"/>
    </font>
    <font>
      <b/>
      <sz val="19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u/>
      <sz val="18"/>
      <name val="Times New Roman"/>
      <family val="1"/>
    </font>
    <font>
      <sz val="17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20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</cellStyleXfs>
  <cellXfs count="356">
    <xf numFmtId="0" fontId="0" fillId="0" borderId="0" xfId="0"/>
    <xf numFmtId="0" fontId="4" fillId="0" borderId="0" xfId="0" applyFont="1"/>
    <xf numFmtId="1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6" fontId="6" fillId="0" borderId="19" xfId="1" applyNumberFormat="1" applyFont="1" applyBorder="1" applyAlignment="1">
      <alignment horizontal="center" vertical="center" wrapText="1"/>
    </xf>
    <xf numFmtId="37" fontId="4" fillId="0" borderId="20" xfId="2" applyNumberFormat="1" applyFont="1" applyBorder="1" applyAlignment="1">
      <alignment horizontal="center" vertical="center"/>
    </xf>
    <xf numFmtId="37" fontId="4" fillId="0" borderId="19" xfId="2" applyNumberFormat="1" applyFont="1" applyBorder="1" applyAlignment="1">
      <alignment horizontal="center" vertical="center"/>
    </xf>
    <xf numFmtId="39" fontId="4" fillId="0" borderId="20" xfId="2" applyNumberFormat="1" applyFont="1" applyBorder="1" applyAlignment="1">
      <alignment horizontal="center" vertical="center"/>
    </xf>
    <xf numFmtId="167" fontId="4" fillId="0" borderId="19" xfId="2" applyNumberFormat="1" applyFont="1" applyBorder="1" applyAlignment="1">
      <alignment horizontal="center" vertical="center"/>
    </xf>
    <xf numFmtId="167" fontId="4" fillId="0" borderId="20" xfId="2" applyNumberFormat="1" applyFont="1" applyBorder="1" applyAlignment="1">
      <alignment horizontal="center" vertical="center"/>
    </xf>
    <xf numFmtId="39" fontId="4" fillId="0" borderId="19" xfId="2" applyNumberFormat="1" applyFont="1" applyBorder="1" applyAlignment="1">
      <alignment horizontal="center" vertical="center"/>
    </xf>
    <xf numFmtId="168" fontId="4" fillId="0" borderId="0" xfId="0" applyNumberFormat="1" applyFont="1"/>
    <xf numFmtId="37" fontId="4" fillId="0" borderId="0" xfId="0" applyNumberFormat="1" applyFont="1"/>
    <xf numFmtId="169" fontId="4" fillId="0" borderId="20" xfId="2" applyNumberFormat="1" applyFont="1" applyBorder="1" applyAlignment="1">
      <alignment horizontal="center" vertical="center"/>
    </xf>
    <xf numFmtId="37" fontId="4" fillId="3" borderId="19" xfId="2" applyNumberFormat="1" applyFont="1" applyFill="1" applyBorder="1" applyAlignment="1">
      <alignment horizontal="center" vertical="center"/>
    </xf>
    <xf numFmtId="37" fontId="4" fillId="3" borderId="33" xfId="2" applyNumberFormat="1" applyFont="1" applyFill="1" applyBorder="1" applyAlignment="1">
      <alignment horizontal="center" vertical="center"/>
    </xf>
    <xf numFmtId="170" fontId="4" fillId="0" borderId="0" xfId="0" applyNumberFormat="1" applyFont="1"/>
    <xf numFmtId="37" fontId="4" fillId="4" borderId="19" xfId="2" applyNumberFormat="1" applyFont="1" applyFill="1" applyBorder="1" applyAlignment="1">
      <alignment horizontal="center" vertical="center"/>
    </xf>
    <xf numFmtId="3" fontId="6" fillId="0" borderId="24" xfId="2" applyNumberFormat="1" applyFont="1" applyBorder="1" applyAlignment="1">
      <alignment horizontal="center" vertical="center" wrapText="1"/>
    </xf>
    <xf numFmtId="171" fontId="4" fillId="0" borderId="20" xfId="2" applyNumberFormat="1" applyFont="1" applyBorder="1" applyAlignment="1">
      <alignment horizontal="center" vertical="center"/>
    </xf>
    <xf numFmtId="170" fontId="4" fillId="0" borderId="20" xfId="2" applyNumberFormat="1" applyFont="1" applyBorder="1" applyAlignment="1">
      <alignment horizontal="center" vertical="center"/>
    </xf>
    <xf numFmtId="37" fontId="4" fillId="0" borderId="21" xfId="2" applyNumberFormat="1" applyFont="1" applyBorder="1" applyAlignment="1">
      <alignment horizontal="center" vertical="center"/>
    </xf>
    <xf numFmtId="172" fontId="6" fillId="2" borderId="8" xfId="2" applyNumberFormat="1" applyFont="1" applyFill="1" applyBorder="1" applyAlignment="1">
      <alignment horizontal="center" vertical="center"/>
    </xf>
    <xf numFmtId="37" fontId="4" fillId="2" borderId="9" xfId="2" applyNumberFormat="1" applyFont="1" applyFill="1" applyBorder="1" applyAlignment="1">
      <alignment horizontal="center" vertical="center"/>
    </xf>
    <xf numFmtId="167" fontId="4" fillId="2" borderId="9" xfId="2" applyNumberFormat="1" applyFont="1" applyFill="1" applyBorder="1" applyAlignment="1">
      <alignment horizontal="center" vertical="center"/>
    </xf>
    <xf numFmtId="39" fontId="4" fillId="2" borderId="9" xfId="2" applyNumberFormat="1" applyFont="1" applyFill="1" applyBorder="1" applyAlignment="1">
      <alignment horizontal="center" vertical="center"/>
    </xf>
    <xf numFmtId="39" fontId="4" fillId="2" borderId="9" xfId="2" applyNumberFormat="1" applyFont="1" applyFill="1" applyBorder="1" applyAlignment="1">
      <alignment vertical="center"/>
    </xf>
    <xf numFmtId="167" fontId="4" fillId="2" borderId="10" xfId="2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37" fontId="7" fillId="0" borderId="0" xfId="0" applyNumberFormat="1" applyFont="1"/>
    <xf numFmtId="0" fontId="8" fillId="0" borderId="0" xfId="0" applyFont="1" applyAlignment="1">
      <alignment vertical="center"/>
    </xf>
    <xf numFmtId="171" fontId="7" fillId="0" borderId="0" xfId="0" applyNumberFormat="1" applyFont="1"/>
    <xf numFmtId="0" fontId="9" fillId="0" borderId="0" xfId="0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horizontal="left"/>
    </xf>
    <xf numFmtId="2" fontId="8" fillId="0" borderId="0" xfId="0" applyNumberFormat="1" applyFont="1"/>
    <xf numFmtId="0" fontId="7" fillId="0" borderId="0" xfId="0" applyFont="1" applyAlignment="1">
      <alignment horizontal="left"/>
    </xf>
    <xf numFmtId="0" fontId="10" fillId="0" borderId="0" xfId="0" applyFont="1"/>
    <xf numFmtId="165" fontId="6" fillId="0" borderId="32" xfId="2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3" fontId="6" fillId="0" borderId="19" xfId="1" applyNumberFormat="1" applyFont="1" applyBorder="1" applyAlignment="1">
      <alignment horizontal="center" vertical="center" wrapText="1"/>
    </xf>
    <xf numFmtId="168" fontId="6" fillId="0" borderId="19" xfId="1" applyNumberFormat="1" applyFont="1" applyBorder="1" applyAlignment="1">
      <alignment horizontal="center" vertical="center" wrapText="1"/>
    </xf>
    <xf numFmtId="39" fontId="4" fillId="4" borderId="19" xfId="2" applyNumberFormat="1" applyFont="1" applyFill="1" applyBorder="1" applyAlignment="1">
      <alignment horizontal="center" vertical="center"/>
    </xf>
    <xf numFmtId="168" fontId="4" fillId="0" borderId="20" xfId="2" applyNumberFormat="1" applyFont="1" applyBorder="1" applyAlignment="1">
      <alignment horizontal="center" vertical="center"/>
    </xf>
    <xf numFmtId="168" fontId="4" fillId="4" borderId="19" xfId="2" applyNumberFormat="1" applyFont="1" applyFill="1" applyBorder="1" applyAlignment="1">
      <alignment horizontal="center" vertical="center"/>
    </xf>
    <xf numFmtId="168" fontId="4" fillId="2" borderId="9" xfId="2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0" xfId="0" applyNumberFormat="1" applyFont="1"/>
    <xf numFmtId="0" fontId="4" fillId="0" borderId="6" xfId="0" applyFont="1" applyBorder="1" applyAlignment="1">
      <alignment horizontal="center" vertical="center"/>
    </xf>
    <xf numFmtId="166" fontId="4" fillId="0" borderId="20" xfId="2" applyNumberFormat="1" applyFont="1" applyBorder="1" applyAlignment="1">
      <alignment horizontal="center" vertical="center"/>
    </xf>
    <xf numFmtId="166" fontId="4" fillId="4" borderId="19" xfId="2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7" fontId="4" fillId="0" borderId="35" xfId="2" applyNumberFormat="1" applyFont="1" applyBorder="1" applyAlignment="1">
      <alignment horizontal="center" vertical="center"/>
    </xf>
    <xf numFmtId="167" fontId="4" fillId="0" borderId="0" xfId="2" applyNumberFormat="1" applyFont="1" applyBorder="1" applyAlignment="1">
      <alignment horizontal="center" vertical="center"/>
    </xf>
    <xf numFmtId="37" fontId="4" fillId="0" borderId="0" xfId="2" applyNumberFormat="1" applyFont="1" applyBorder="1" applyAlignment="1">
      <alignment horizontal="center" vertical="center"/>
    </xf>
    <xf numFmtId="39" fontId="4" fillId="0" borderId="0" xfId="2" applyNumberFormat="1" applyFont="1" applyBorder="1" applyAlignment="1">
      <alignment horizontal="center" vertical="center"/>
    </xf>
    <xf numFmtId="169" fontId="4" fillId="0" borderId="0" xfId="2" applyNumberFormat="1" applyFont="1" applyBorder="1" applyAlignment="1">
      <alignment horizontal="center" vertical="center"/>
    </xf>
    <xf numFmtId="171" fontId="4" fillId="0" borderId="0" xfId="2" applyNumberFormat="1" applyFont="1" applyBorder="1" applyAlignment="1">
      <alignment horizontal="center" vertical="center"/>
    </xf>
    <xf numFmtId="170" fontId="4" fillId="0" borderId="0" xfId="2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4" fontId="4" fillId="2" borderId="9" xfId="2" applyNumberFormat="1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3" fontId="6" fillId="0" borderId="19" xfId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7" fontId="4" fillId="4" borderId="19" xfId="2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9" fontId="4" fillId="0" borderId="19" xfId="2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7" fontId="8" fillId="0" borderId="0" xfId="0" applyNumberFormat="1" applyFont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73" fontId="7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2" fontId="14" fillId="0" borderId="0" xfId="0" applyNumberFormat="1" applyFont="1"/>
    <xf numFmtId="0" fontId="15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6" fontId="6" fillId="0" borderId="33" xfId="1" applyNumberFormat="1" applyFont="1" applyBorder="1" applyAlignment="1">
      <alignment horizontal="center" vertical="center" wrapText="1"/>
    </xf>
    <xf numFmtId="37" fontId="4" fillId="4" borderId="33" xfId="2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3" fillId="0" borderId="0" xfId="0" applyFont="1" applyAlignment="1"/>
    <xf numFmtId="15" fontId="3" fillId="0" borderId="0" xfId="0" applyNumberFormat="1" applyFont="1" applyAlignment="1"/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73" fontId="4" fillId="0" borderId="0" xfId="0" applyNumberFormat="1" applyFont="1"/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5" fontId="3" fillId="0" borderId="0" xfId="0" applyNumberFormat="1" applyFont="1" applyAlignment="1">
      <alignment horizontal="center"/>
    </xf>
    <xf numFmtId="164" fontId="4" fillId="2" borderId="1" xfId="2" applyFont="1" applyFill="1" applyBorder="1" applyAlignment="1">
      <alignment horizontal="center" vertical="center"/>
    </xf>
    <xf numFmtId="164" fontId="4" fillId="2" borderId="2" xfId="2" applyFont="1" applyFill="1" applyBorder="1" applyAlignment="1">
      <alignment horizontal="center" vertical="center"/>
    </xf>
    <xf numFmtId="164" fontId="4" fillId="2" borderId="3" xfId="2" applyFont="1" applyFill="1" applyBorder="1" applyAlignment="1">
      <alignment horizontal="center" vertical="center"/>
    </xf>
    <xf numFmtId="164" fontId="4" fillId="2" borderId="22" xfId="2" applyFont="1" applyFill="1" applyBorder="1" applyAlignment="1">
      <alignment horizontal="center" vertical="center"/>
    </xf>
    <xf numFmtId="164" fontId="4" fillId="2" borderId="0" xfId="2" applyFont="1" applyFill="1" applyBorder="1" applyAlignment="1">
      <alignment horizontal="center" vertical="center"/>
    </xf>
    <xf numFmtId="164" fontId="4" fillId="2" borderId="34" xfId="2" applyFont="1" applyFill="1" applyBorder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22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5" xfId="2" applyFont="1" applyBorder="1" applyAlignment="1">
      <alignment horizontal="center" vertical="center"/>
    </xf>
    <xf numFmtId="164" fontId="4" fillId="0" borderId="20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6" fillId="2" borderId="30" xfId="2" applyFont="1" applyFill="1" applyBorder="1" applyAlignment="1">
      <alignment horizontal="center" vertical="center"/>
    </xf>
    <xf numFmtId="164" fontId="6" fillId="2" borderId="29" xfId="2" applyFont="1" applyFill="1" applyBorder="1" applyAlignment="1">
      <alignment horizontal="center" vertical="center"/>
    </xf>
    <xf numFmtId="164" fontId="6" fillId="0" borderId="16" xfId="2" applyFont="1" applyBorder="1" applyAlignment="1">
      <alignment horizontal="center" vertical="center" wrapText="1"/>
    </xf>
    <xf numFmtId="164" fontId="6" fillId="0" borderId="15" xfId="2" applyFont="1" applyBorder="1" applyAlignment="1">
      <alignment horizontal="center" vertical="center" wrapText="1"/>
    </xf>
    <xf numFmtId="165" fontId="6" fillId="0" borderId="28" xfId="2" applyNumberFormat="1" applyFont="1" applyBorder="1" applyAlignment="1">
      <alignment horizontal="center" vertical="center" wrapText="1"/>
    </xf>
    <xf numFmtId="165" fontId="6" fillId="0" borderId="26" xfId="2" applyNumberFormat="1" applyFont="1" applyBorder="1" applyAlignment="1">
      <alignment horizontal="center" vertical="center" wrapText="1"/>
    </xf>
    <xf numFmtId="165" fontId="6" fillId="0" borderId="24" xfId="2" applyNumberFormat="1" applyFont="1" applyBorder="1" applyAlignment="1">
      <alignment horizontal="center" vertical="center" wrapText="1"/>
    </xf>
    <xf numFmtId="165" fontId="6" fillId="4" borderId="28" xfId="2" applyNumberFormat="1" applyFont="1" applyFill="1" applyBorder="1" applyAlignment="1">
      <alignment horizontal="center" vertical="center"/>
    </xf>
    <xf numFmtId="165" fontId="6" fillId="4" borderId="26" xfId="2" applyNumberFormat="1" applyFont="1" applyFill="1" applyBorder="1" applyAlignment="1">
      <alignment horizontal="center" vertical="center"/>
    </xf>
    <xf numFmtId="165" fontId="6" fillId="4" borderId="24" xfId="2" applyNumberFormat="1" applyFont="1" applyFill="1" applyBorder="1" applyAlignment="1">
      <alignment horizontal="center" vertical="center"/>
    </xf>
    <xf numFmtId="164" fontId="6" fillId="0" borderId="28" xfId="2" applyFont="1" applyBorder="1" applyAlignment="1">
      <alignment horizontal="left" vertical="center" wrapText="1"/>
    </xf>
    <xf numFmtId="164" fontId="6" fillId="0" borderId="26" xfId="2" applyFont="1" applyBorder="1" applyAlignment="1">
      <alignment horizontal="left" vertical="center" wrapText="1"/>
    </xf>
    <xf numFmtId="164" fontId="6" fillId="0" borderId="24" xfId="2" applyFont="1" applyBorder="1" applyAlignment="1">
      <alignment horizontal="left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">
    <cellStyle name="Comma" xfId="1" builtinId="3"/>
    <cellStyle name="Comma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30</xdr:col>
      <xdr:colOff>195385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427211" cy="19172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29</xdr:col>
      <xdr:colOff>525096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146345" cy="19172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29</xdr:col>
      <xdr:colOff>525096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165395" cy="18847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29</xdr:col>
      <xdr:colOff>439615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165395" cy="18847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29</xdr:col>
      <xdr:colOff>573942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781345" cy="19172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28</xdr:col>
      <xdr:colOff>769327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154160" cy="18847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28</xdr:col>
      <xdr:colOff>732692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154160" cy="18847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28</xdr:col>
      <xdr:colOff>573942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154160" cy="18847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29</xdr:col>
      <xdr:colOff>378558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166616" cy="18847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29</xdr:col>
      <xdr:colOff>378558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161732" cy="18847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195384</xdr:rowOff>
    </xdr:from>
    <xdr:to>
      <xdr:col>29</xdr:col>
      <xdr:colOff>183173</xdr:colOff>
      <xdr:row>7</xdr:row>
      <xdr:rowOff>146538</xdr:rowOff>
    </xdr:to>
    <xdr:pic>
      <xdr:nvPicPr>
        <xdr:cNvPr id="2" name="Picture 1" descr="Text&#10;&#10;Description automatically generated with medium confidence">
          <a:extLst>
            <a:ext uri="{FF2B5EF4-FFF2-40B4-BE49-F238E27FC236}">
              <a16:creationId xmlns:a16="http://schemas.microsoft.com/office/drawing/2014/main" xmlns="" id="{99CC6BBA-DEA3-44C4-84EE-7AC05F08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5384"/>
          <a:ext cx="18161732" cy="18847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586153</xdr:colOff>
      <xdr:row>7</xdr:row>
      <xdr:rowOff>170961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865"/>
          <a:ext cx="18549326" cy="18561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586153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69353" cy="182831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586153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69353" cy="182831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586153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69353" cy="182831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586153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69353" cy="18283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500672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69353" cy="182831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69597" cy="182831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427403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305288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2528" cy="182831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305288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4238" cy="182831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305288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4238" cy="182831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305288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4238" cy="182831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30</xdr:col>
      <xdr:colOff>158749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74238" cy="182831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256441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80099" cy="182831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525095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82541" cy="182831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525095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84495" cy="182831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525095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84495" cy="182831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525095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84495" cy="182831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525095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8584495" cy="182831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34</xdr:col>
      <xdr:colOff>708269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865"/>
          <a:ext cx="19001154" cy="185615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34</xdr:col>
      <xdr:colOff>708269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4369" cy="182831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4369" cy="182831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744904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33</xdr:col>
      <xdr:colOff>48846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42429" cy="182831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1111250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51221" cy="182831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1111250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7300" cy="182831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1111250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7300" cy="182831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7300" cy="182831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842596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910632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5346" cy="1828311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32</xdr:col>
      <xdr:colOff>910632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19036707" cy="1828311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32</xdr:col>
      <xdr:colOff>910632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9035346" cy="1885461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32</xdr:col>
      <xdr:colOff>910632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9036707" cy="1914036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37</xdr:col>
      <xdr:colOff>27213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1036642" cy="1885461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37</xdr:col>
      <xdr:colOff>27213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1029838" cy="1914036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37</xdr:col>
      <xdr:colOff>27213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1029838" cy="1914036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37</xdr:col>
      <xdr:colOff>27213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1029838" cy="1914036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38</xdr:col>
      <xdr:colOff>326571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1029838" cy="1914036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38</xdr:col>
      <xdr:colOff>68035</xdr:colOff>
      <xdr:row>7</xdr:row>
      <xdr:rowOff>170961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1014871" cy="1914036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85821" cy="188546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2689" cy="1914036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2689" cy="1914036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2689" cy="1914036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2689" cy="1914036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2689" cy="1914036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2689" cy="1914036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2689" cy="1914036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272142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2689" cy="1914036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272142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9492" cy="1914036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272142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9492" cy="1914036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272142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9492" cy="1914036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272142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9492" cy="1914036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272142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9492" cy="1914036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272142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9492" cy="1914036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136072</xdr:rowOff>
    </xdr:from>
    <xdr:to>
      <xdr:col>39</xdr:col>
      <xdr:colOff>272142</xdr:colOff>
      <xdr:row>7</xdr:row>
      <xdr:rowOff>116533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72"/>
          <a:ext cx="17169492" cy="1914036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414796" cy="1885461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43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41</xdr:col>
      <xdr:colOff>1143001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78057" cy="1914036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41</xdr:col>
      <xdr:colOff>1061358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93025" cy="1914036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41</xdr:col>
      <xdr:colOff>1061358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97107" cy="1914036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41</xdr:col>
      <xdr:colOff>1061358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97107" cy="1914036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46</xdr:col>
      <xdr:colOff>13608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97107" cy="1914036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44</xdr:col>
      <xdr:colOff>326572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87582" cy="1914036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44</xdr:col>
      <xdr:colOff>190501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95746" cy="1914036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44</xdr:col>
      <xdr:colOff>190501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93025" cy="1914036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44</xdr:col>
      <xdr:colOff>190501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93025" cy="1914036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44</xdr:col>
      <xdr:colOff>190501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93025" cy="1914036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45</xdr:col>
      <xdr:colOff>775608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93025" cy="1914036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45</xdr:col>
      <xdr:colOff>775608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87582" cy="1914036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149679</xdr:rowOff>
    </xdr:from>
    <xdr:to>
      <xdr:col>44</xdr:col>
      <xdr:colOff>190501</xdr:colOff>
      <xdr:row>7</xdr:row>
      <xdr:rowOff>130140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149679"/>
          <a:ext cx="20387582" cy="1914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4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4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8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9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5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5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5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53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5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7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8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9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60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61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62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63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64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5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6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7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8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9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70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71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72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73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74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5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6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7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8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9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80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81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82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83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84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5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6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7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7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8.vml"/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8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9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0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90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91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2.vml"/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92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93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4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5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96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97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98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99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100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101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102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103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4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5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06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07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8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Relationship Id="rId4" Type="http://schemas.openxmlformats.org/officeDocument/2006/relationships/comments" Target="../comments108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Relationship Id="rId4" Type="http://schemas.openxmlformats.org/officeDocument/2006/relationships/comments" Target="../comments109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Relationship Id="rId4" Type="http://schemas.openxmlformats.org/officeDocument/2006/relationships/comments" Target="../comments110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1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Relationship Id="rId4" Type="http://schemas.openxmlformats.org/officeDocument/2006/relationships/comments" Target="../comments111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Relationship Id="rId4" Type="http://schemas.openxmlformats.org/officeDocument/2006/relationships/comments" Target="../comments112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Relationship Id="rId4" Type="http://schemas.openxmlformats.org/officeDocument/2006/relationships/comments" Target="../comments113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Relationship Id="rId4" Type="http://schemas.openxmlformats.org/officeDocument/2006/relationships/comments" Target="../comments114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Relationship Id="rId4" Type="http://schemas.openxmlformats.org/officeDocument/2006/relationships/comments" Target="../comments115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Relationship Id="rId4" Type="http://schemas.openxmlformats.org/officeDocument/2006/relationships/comments" Target="../comments116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Relationship Id="rId4" Type="http://schemas.openxmlformats.org/officeDocument/2006/relationships/comments" Target="../comments117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Relationship Id="rId4" Type="http://schemas.openxmlformats.org/officeDocument/2006/relationships/comments" Target="../comments118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Relationship Id="rId4" Type="http://schemas.openxmlformats.org/officeDocument/2006/relationships/comments" Target="../comments119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Relationship Id="rId4" Type="http://schemas.openxmlformats.org/officeDocument/2006/relationships/comments" Target="../comments120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Relationship Id="rId4" Type="http://schemas.openxmlformats.org/officeDocument/2006/relationships/comments" Target="../comments121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2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Relationship Id="rId4" Type="http://schemas.openxmlformats.org/officeDocument/2006/relationships/comments" Target="../comments122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Relationship Id="rId4" Type="http://schemas.openxmlformats.org/officeDocument/2006/relationships/comments" Target="../comments123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4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Relationship Id="rId4" Type="http://schemas.openxmlformats.org/officeDocument/2006/relationships/comments" Target="../comments124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Relationship Id="rId4" Type="http://schemas.openxmlformats.org/officeDocument/2006/relationships/comments" Target="../comments125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Relationship Id="rId4" Type="http://schemas.openxmlformats.org/officeDocument/2006/relationships/comments" Target="../comments126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7.vml"/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Relationship Id="rId4" Type="http://schemas.openxmlformats.org/officeDocument/2006/relationships/comments" Target="../comments127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8.vml"/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Relationship Id="rId4" Type="http://schemas.openxmlformats.org/officeDocument/2006/relationships/comments" Target="../comments128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9.vml"/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Relationship Id="rId4" Type="http://schemas.openxmlformats.org/officeDocument/2006/relationships/comments" Target="../comments129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0.vml"/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Relationship Id="rId4" Type="http://schemas.openxmlformats.org/officeDocument/2006/relationships/comments" Target="../comments130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1.vml"/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Relationship Id="rId4" Type="http://schemas.openxmlformats.org/officeDocument/2006/relationships/comments" Target="../comments131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2.vml"/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Relationship Id="rId4" Type="http://schemas.openxmlformats.org/officeDocument/2006/relationships/comments" Target="../comments132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3.vml"/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Relationship Id="rId4" Type="http://schemas.openxmlformats.org/officeDocument/2006/relationships/comments" Target="../comments133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4.vml"/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Relationship Id="rId4" Type="http://schemas.openxmlformats.org/officeDocument/2006/relationships/comments" Target="../comments134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5.vml"/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Relationship Id="rId4" Type="http://schemas.openxmlformats.org/officeDocument/2006/relationships/comments" Target="../comments135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6.vml"/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Relationship Id="rId4" Type="http://schemas.openxmlformats.org/officeDocument/2006/relationships/comments" Target="../comments136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7.vml"/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Relationship Id="rId4" Type="http://schemas.openxmlformats.org/officeDocument/2006/relationships/comments" Target="../comments137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8.vml"/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Relationship Id="rId4" Type="http://schemas.openxmlformats.org/officeDocument/2006/relationships/comments" Target="../comments138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9.vml"/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Relationship Id="rId4" Type="http://schemas.openxmlformats.org/officeDocument/2006/relationships/comments" Target="../comments139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0.vml"/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Relationship Id="rId4" Type="http://schemas.openxmlformats.org/officeDocument/2006/relationships/comments" Target="../comments140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1.vml"/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Relationship Id="rId4" Type="http://schemas.openxmlformats.org/officeDocument/2006/relationships/comments" Target="../comments141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2.vml"/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Relationship Id="rId4" Type="http://schemas.openxmlformats.org/officeDocument/2006/relationships/comments" Target="../comments142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3.vml"/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Relationship Id="rId4" Type="http://schemas.openxmlformats.org/officeDocument/2006/relationships/comments" Target="../comments143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4.vml"/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Relationship Id="rId4" Type="http://schemas.openxmlformats.org/officeDocument/2006/relationships/comments" Target="../comments144.xm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5.vml"/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Relationship Id="rId4" Type="http://schemas.openxmlformats.org/officeDocument/2006/relationships/comments" Target="../comments145.xm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6.vml"/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Relationship Id="rId4" Type="http://schemas.openxmlformats.org/officeDocument/2006/relationships/comments" Target="../comments146.xml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7.vml"/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Relationship Id="rId4" Type="http://schemas.openxmlformats.org/officeDocument/2006/relationships/comments" Target="../comments147.xml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8.vml"/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Relationship Id="rId4" Type="http://schemas.openxmlformats.org/officeDocument/2006/relationships/comments" Target="../comments1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0"/>
  </sheetPr>
  <dimension ref="A10:AF47"/>
  <sheetViews>
    <sheetView topLeftCell="A4" zoomScale="78" zoomScaleNormal="78" workbookViewId="0">
      <selection activeCell="D21" sqref="D21:AD21"/>
    </sheetView>
  </sheetViews>
  <sheetFormatPr defaultRowHeight="21.75" x14ac:dyDescent="0.3"/>
  <cols>
    <col min="1" max="1" width="18.5703125" style="1" customWidth="1"/>
    <col min="2" max="3" width="18.7109375" style="1" customWidth="1"/>
    <col min="4" max="4" width="18.28515625" style="1" customWidth="1"/>
    <col min="5" max="5" width="11.7109375" style="1" customWidth="1"/>
    <col min="6" max="6" width="11.42578125" style="1" customWidth="1"/>
    <col min="7" max="7" width="15.1406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36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35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4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45139</v>
      </c>
      <c r="B20" s="338" t="s">
        <v>23</v>
      </c>
      <c r="C20" s="339"/>
      <c r="D20" s="21">
        <f>57*62</f>
        <v>3534</v>
      </c>
      <c r="E20" s="22">
        <f>D20/62*25</f>
        <v>1425</v>
      </c>
      <c r="F20" s="23">
        <f>45*36</f>
        <v>1620</v>
      </c>
      <c r="G20" s="24">
        <f>F20/36*25</f>
        <v>1125</v>
      </c>
      <c r="H20" s="25" t="e">
        <f>#REF!</f>
        <v>#REF!</v>
      </c>
      <c r="I20" s="25" t="e">
        <f>#REF!</f>
        <v>#REF!</v>
      </c>
      <c r="J20" s="25">
        <v>0</v>
      </c>
      <c r="K20" s="26">
        <f>J20/208*25</f>
        <v>0</v>
      </c>
      <c r="L20" s="25">
        <v>0</v>
      </c>
      <c r="M20" s="26">
        <f>L20/150*25</f>
        <v>0</v>
      </c>
      <c r="N20" s="25" t="e">
        <f>#REF!</f>
        <v>#REF!</v>
      </c>
      <c r="O20" s="25" t="e">
        <f>#REF!</f>
        <v>#REF!</v>
      </c>
      <c r="P20" s="23">
        <v>0</v>
      </c>
      <c r="Q20" s="26">
        <f>P20/91*25</f>
        <v>0</v>
      </c>
      <c r="R20" s="25">
        <v>0</v>
      </c>
      <c r="S20" s="26">
        <f>R20/135*25</f>
        <v>0</v>
      </c>
      <c r="T20" s="25" t="e">
        <f>#REF!</f>
        <v>#REF!</v>
      </c>
      <c r="U20" s="25">
        <f>39*25</f>
        <v>975</v>
      </c>
      <c r="V20" s="25" t="e">
        <f>#REF!</f>
        <v>#REF!</v>
      </c>
      <c r="W20" s="27">
        <v>2040</v>
      </c>
      <c r="X20" s="23">
        <v>182</v>
      </c>
      <c r="Y20" s="23">
        <v>1818</v>
      </c>
      <c r="Z20" s="25">
        <v>1007</v>
      </c>
      <c r="AA20" s="25">
        <v>1970</v>
      </c>
      <c r="AB20" s="25">
        <v>1460</v>
      </c>
      <c r="AC20" s="23">
        <v>300</v>
      </c>
      <c r="AD20" s="32">
        <v>0</v>
      </c>
      <c r="AE20" s="28"/>
    </row>
    <row r="21" spans="1:32" ht="48" customHeight="1" x14ac:dyDescent="0.3">
      <c r="A21" s="340" t="s">
        <v>25</v>
      </c>
      <c r="B21" s="341"/>
      <c r="C21" s="342"/>
      <c r="D21" s="23">
        <f>60*62</f>
        <v>3720</v>
      </c>
      <c r="E21" s="22">
        <f>D21/62*25</f>
        <v>1500</v>
      </c>
      <c r="F21" s="23">
        <f>160*36</f>
        <v>5760</v>
      </c>
      <c r="G21" s="24">
        <f>F21/36*25</f>
        <v>4000</v>
      </c>
      <c r="H21" s="23"/>
      <c r="I21" s="23"/>
      <c r="J21" s="30"/>
      <c r="K21" s="26"/>
      <c r="L21" s="30"/>
      <c r="M21" s="26"/>
      <c r="N21" s="30"/>
      <c r="O21" s="26"/>
      <c r="P21" s="23">
        <f>20*92</f>
        <v>1840</v>
      </c>
      <c r="Q21" s="26">
        <f>P21/91*25</f>
        <v>505.49450549450546</v>
      </c>
      <c r="R21" s="23"/>
      <c r="S21" s="26"/>
      <c r="T21" s="23"/>
      <c r="U21" s="23">
        <v>0</v>
      </c>
      <c r="V21" s="23"/>
      <c r="W21" s="23">
        <v>1000</v>
      </c>
      <c r="X21" s="23">
        <v>100</v>
      </c>
      <c r="Y21" s="23">
        <v>2302</v>
      </c>
      <c r="Z21" s="23">
        <v>2200</v>
      </c>
      <c r="AA21" s="31">
        <v>2000</v>
      </c>
      <c r="AB21" s="31">
        <v>1500</v>
      </c>
      <c r="AC21" s="23">
        <v>0</v>
      </c>
      <c r="AD21" s="32">
        <v>0</v>
      </c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7254</v>
      </c>
      <c r="E22" s="34">
        <f t="shared" ref="E22:AD22" si="0">E20+E21</f>
        <v>2925</v>
      </c>
      <c r="F22" s="34">
        <f t="shared" si="0"/>
        <v>7380</v>
      </c>
      <c r="G22" s="34">
        <f t="shared" si="0"/>
        <v>5125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1840</v>
      </c>
      <c r="Q22" s="34">
        <f t="shared" si="0"/>
        <v>505.49450549450546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3040</v>
      </c>
      <c r="X22" s="34">
        <f t="shared" si="0"/>
        <v>282</v>
      </c>
      <c r="Y22" s="34">
        <f t="shared" si="0"/>
        <v>4120</v>
      </c>
      <c r="Z22" s="34">
        <f t="shared" si="0"/>
        <v>3207</v>
      </c>
      <c r="AA22" s="34">
        <f t="shared" si="0"/>
        <v>3970</v>
      </c>
      <c r="AB22" s="34">
        <f t="shared" si="0"/>
        <v>2960</v>
      </c>
      <c r="AC22" s="34">
        <f t="shared" si="0"/>
        <v>300</v>
      </c>
      <c r="AD22" s="34">
        <f t="shared" si="0"/>
        <v>0</v>
      </c>
    </row>
    <row r="23" spans="1:32" ht="75.75" customHeight="1" x14ac:dyDescent="0.3">
      <c r="A23" s="346" t="s">
        <v>27</v>
      </c>
      <c r="B23" s="347"/>
      <c r="C23" s="348"/>
      <c r="D23" s="35">
        <f>7*62</f>
        <v>434</v>
      </c>
      <c r="E23" s="22">
        <f>D23/62*25</f>
        <v>175</v>
      </c>
      <c r="F23" s="22">
        <f>38*36</f>
        <v>1368</v>
      </c>
      <c r="G23" s="24">
        <f>F23/36*25</f>
        <v>950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3*92</f>
        <v>276</v>
      </c>
      <c r="Q23" s="24">
        <f>P23/91*25</f>
        <v>75.824175824175825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100</v>
      </c>
      <c r="X23" s="22">
        <v>24</v>
      </c>
      <c r="Y23" s="22">
        <v>255</v>
      </c>
      <c r="Z23" s="30">
        <v>112</v>
      </c>
      <c r="AA23" s="30">
        <v>360</v>
      </c>
      <c r="AB23" s="30">
        <v>200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45145</v>
      </c>
      <c r="B24" s="336" t="s">
        <v>28</v>
      </c>
      <c r="C24" s="337"/>
      <c r="D24" s="40">
        <f>D22-D23</f>
        <v>6820</v>
      </c>
      <c r="E24" s="40">
        <f t="shared" ref="E24:V24" si="1">E22-E23</f>
        <v>2750</v>
      </c>
      <c r="F24" s="40">
        <f>F22-F23</f>
        <v>6012</v>
      </c>
      <c r="G24" s="40">
        <f t="shared" si="1"/>
        <v>4175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1564</v>
      </c>
      <c r="Q24" s="42">
        <f>Q22-Q23</f>
        <v>429.67032967032964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ref="W24:AB24" si="5">W22-W23</f>
        <v>2940</v>
      </c>
      <c r="X24" s="40">
        <f t="shared" si="5"/>
        <v>258</v>
      </c>
      <c r="Y24" s="40">
        <f t="shared" si="5"/>
        <v>3865</v>
      </c>
      <c r="Z24" s="41">
        <f t="shared" si="5"/>
        <v>3095</v>
      </c>
      <c r="AA24" s="41">
        <f t="shared" si="5"/>
        <v>3610</v>
      </c>
      <c r="AB24" s="41">
        <f t="shared" si="5"/>
        <v>2760</v>
      </c>
      <c r="AC24" s="40">
        <f t="shared" ref="AC24" si="6">AC22-AC23</f>
        <v>300</v>
      </c>
      <c r="AD24" s="44">
        <f>AD22-AD23</f>
        <v>0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48</v>
      </c>
      <c r="O27" s="46"/>
      <c r="R27" s="45" t="s">
        <v>30</v>
      </c>
      <c r="W27" s="45" t="s">
        <v>49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4:C24"/>
    <mergeCell ref="B20:C20"/>
    <mergeCell ref="A21:C21"/>
    <mergeCell ref="A22:C22"/>
    <mergeCell ref="A23:C23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0"/>
  </sheetPr>
  <dimension ref="A10:AF47"/>
  <sheetViews>
    <sheetView topLeftCell="A4" zoomScale="78" zoomScaleNormal="78" workbookViewId="0">
      <selection activeCell="Q23" sqref="Q23"/>
    </sheetView>
  </sheetViews>
  <sheetFormatPr defaultRowHeight="21.75" x14ac:dyDescent="0.3"/>
  <cols>
    <col min="1" max="1" width="18.5703125" style="1" customWidth="1"/>
    <col min="2" max="3" width="18.7109375" style="1" customWidth="1"/>
    <col min="4" max="4" width="18.28515625" style="1" customWidth="1"/>
    <col min="5" max="5" width="11.7109375" style="1" customWidth="1"/>
    <col min="6" max="6" width="11.42578125" style="1" customWidth="1"/>
    <col min="7" max="7" width="15.1406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36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52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4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45146</v>
      </c>
      <c r="B20" s="338" t="s">
        <v>23</v>
      </c>
      <c r="C20" s="339"/>
      <c r="D20" s="21">
        <f>'8-1-7,2023'!D24</f>
        <v>6820</v>
      </c>
      <c r="E20" s="21">
        <f>'8-1-7,2023'!E24</f>
        <v>2750</v>
      </c>
      <c r="F20" s="21">
        <f>'8-1-7,2023'!F24</f>
        <v>6012</v>
      </c>
      <c r="G20" s="21">
        <f>'8-1-7,2023'!G24</f>
        <v>4175</v>
      </c>
      <c r="H20" s="21" t="e">
        <f>'8-1-7,2023'!H24</f>
        <v>#REF!</v>
      </c>
      <c r="I20" s="21" t="e">
        <f>'8-1-7,2023'!I24</f>
        <v>#REF!</v>
      </c>
      <c r="J20" s="21">
        <f>'8-1-7,2023'!J24</f>
        <v>0</v>
      </c>
      <c r="K20" s="21">
        <f>'8-1-7,2023'!K24</f>
        <v>0</v>
      </c>
      <c r="L20" s="21">
        <f>'8-1-7,2023'!L24</f>
        <v>0</v>
      </c>
      <c r="M20" s="21">
        <f>'8-1-7,2023'!M24</f>
        <v>0</v>
      </c>
      <c r="N20" s="21" t="e">
        <f>'8-1-7,2023'!N24</f>
        <v>#REF!</v>
      </c>
      <c r="O20" s="21" t="e">
        <f>'8-1-7,2023'!O24</f>
        <v>#REF!</v>
      </c>
      <c r="P20" s="21">
        <f>'8-1-7,2023'!P24</f>
        <v>1564</v>
      </c>
      <c r="Q20" s="21">
        <f>'8-1-7,2023'!Q24</f>
        <v>429.67032967032964</v>
      </c>
      <c r="R20" s="21">
        <f>'8-1-7,2023'!R24</f>
        <v>0</v>
      </c>
      <c r="S20" s="21">
        <f>'8-1-7,2023'!S24</f>
        <v>0</v>
      </c>
      <c r="T20" s="21" t="e">
        <f>'8-1-7,2023'!T24</f>
        <v>#REF!</v>
      </c>
      <c r="U20" s="21">
        <f>'8-1-7,2023'!U24</f>
        <v>975</v>
      </c>
      <c r="V20" s="21" t="e">
        <f>'8-1-7,2023'!V24</f>
        <v>#REF!</v>
      </c>
      <c r="W20" s="21">
        <f>'8-1-7,2023'!W24</f>
        <v>2940</v>
      </c>
      <c r="X20" s="21">
        <f>'8-1-7,2023'!X24</f>
        <v>258</v>
      </c>
      <c r="Y20" s="21">
        <f>'8-1-7,2023'!Y24</f>
        <v>3865</v>
      </c>
      <c r="Z20" s="21">
        <f>'8-1-7,2023'!Z24</f>
        <v>3095</v>
      </c>
      <c r="AA20" s="21">
        <f>'8-1-7,2023'!AA24</f>
        <v>3610</v>
      </c>
      <c r="AB20" s="21">
        <f>'8-1-7,2023'!AB24</f>
        <v>2760</v>
      </c>
      <c r="AC20" s="21">
        <f>'8-1-7,2023'!AC24</f>
        <v>300</v>
      </c>
      <c r="AD20" s="21">
        <f>'8-1-7,2023'!AD24</f>
        <v>0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6820</v>
      </c>
      <c r="E22" s="34">
        <f t="shared" ref="E22:AD22" si="0">E20+E21</f>
        <v>2750</v>
      </c>
      <c r="F22" s="34">
        <f t="shared" si="0"/>
        <v>6012</v>
      </c>
      <c r="G22" s="34">
        <f t="shared" si="0"/>
        <v>4175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1564</v>
      </c>
      <c r="Q22" s="34">
        <f t="shared" si="0"/>
        <v>429.67032967032964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2940</v>
      </c>
      <c r="X22" s="34">
        <f t="shared" si="0"/>
        <v>258</v>
      </c>
      <c r="Y22" s="34">
        <f t="shared" si="0"/>
        <v>3865</v>
      </c>
      <c r="Z22" s="34">
        <f t="shared" si="0"/>
        <v>3095</v>
      </c>
      <c r="AA22" s="34">
        <f t="shared" si="0"/>
        <v>3610</v>
      </c>
      <c r="AB22" s="34">
        <f t="shared" si="0"/>
        <v>2760</v>
      </c>
      <c r="AC22" s="34">
        <f t="shared" si="0"/>
        <v>300</v>
      </c>
      <c r="AD22" s="34">
        <f t="shared" si="0"/>
        <v>0</v>
      </c>
    </row>
    <row r="23" spans="1:32" ht="75.75" customHeight="1" x14ac:dyDescent="0.3">
      <c r="A23" s="346" t="s">
        <v>27</v>
      </c>
      <c r="B23" s="347"/>
      <c r="C23" s="348"/>
      <c r="D23" s="35">
        <f>5*62</f>
        <v>310</v>
      </c>
      <c r="E23" s="22">
        <f>D23/92*25</f>
        <v>84.239130434782609</v>
      </c>
      <c r="F23" s="22">
        <v>1800</v>
      </c>
      <c r="G23" s="24">
        <f>F23/36*25</f>
        <v>1250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92*4</f>
        <v>368</v>
      </c>
      <c r="Q23" s="24">
        <f>P23/91*25</f>
        <v>101.09890109890109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175</v>
      </c>
      <c r="X23" s="22">
        <v>47</v>
      </c>
      <c r="Y23" s="22">
        <v>672</v>
      </c>
      <c r="Z23" s="30">
        <v>214</v>
      </c>
      <c r="AA23" s="30">
        <v>505</v>
      </c>
      <c r="AB23" s="30">
        <v>350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45152</v>
      </c>
      <c r="B24" s="336" t="s">
        <v>28</v>
      </c>
      <c r="C24" s="337"/>
      <c r="D24" s="40">
        <f>D22-D23</f>
        <v>6510</v>
      </c>
      <c r="E24" s="40">
        <f t="shared" ref="E24:AC24" si="1">E22-E23</f>
        <v>2665.7608695652175</v>
      </c>
      <c r="F24" s="40">
        <f>F22-F23</f>
        <v>4212</v>
      </c>
      <c r="G24" s="40">
        <f t="shared" si="1"/>
        <v>2925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1196</v>
      </c>
      <c r="Q24" s="42">
        <f>Q22-Q23</f>
        <v>328.57142857142856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2765</v>
      </c>
      <c r="X24" s="40">
        <f t="shared" si="1"/>
        <v>211</v>
      </c>
      <c r="Y24" s="40">
        <f t="shared" si="1"/>
        <v>3193</v>
      </c>
      <c r="Z24" s="41">
        <f t="shared" si="1"/>
        <v>2881</v>
      </c>
      <c r="AA24" s="41">
        <f t="shared" si="1"/>
        <v>3105</v>
      </c>
      <c r="AB24" s="41">
        <f t="shared" si="1"/>
        <v>2410</v>
      </c>
      <c r="AC24" s="40">
        <f t="shared" si="1"/>
        <v>300</v>
      </c>
      <c r="AD24" s="44">
        <f>AD22-AD23</f>
        <v>0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48</v>
      </c>
      <c r="O27" s="46"/>
      <c r="R27" s="45" t="s">
        <v>30</v>
      </c>
      <c r="W27" s="45" t="s">
        <v>49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/>
  </sheetPr>
  <dimension ref="A10:AF47"/>
  <sheetViews>
    <sheetView topLeftCell="A4" zoomScale="78" zoomScaleNormal="78" workbookViewId="0">
      <selection activeCell="Q23" sqref="Q23"/>
    </sheetView>
  </sheetViews>
  <sheetFormatPr defaultRowHeight="21.75" x14ac:dyDescent="0.3"/>
  <cols>
    <col min="1" max="1" width="18.5703125" style="1" customWidth="1"/>
    <col min="2" max="3" width="18.7109375" style="1" customWidth="1"/>
    <col min="4" max="4" width="18.28515625" style="1" customWidth="1"/>
    <col min="5" max="5" width="11.7109375" style="1" customWidth="1"/>
    <col min="6" max="6" width="11.42578125" style="1" customWidth="1"/>
    <col min="7" max="7" width="15.1406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36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53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59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45146</v>
      </c>
      <c r="B20" s="338" t="s">
        <v>23</v>
      </c>
      <c r="C20" s="339"/>
      <c r="D20" s="21">
        <f>'8-8-14,2023'!D24</f>
        <v>6510</v>
      </c>
      <c r="E20" s="21">
        <f>'8-8-14,2023'!E24</f>
        <v>2665.7608695652175</v>
      </c>
      <c r="F20" s="21">
        <f>'8-8-14,2023'!F24</f>
        <v>4212</v>
      </c>
      <c r="G20" s="21">
        <f>'8-8-14,2023'!G24</f>
        <v>2925</v>
      </c>
      <c r="H20" s="21" t="e">
        <f>'8-8-14,2023'!H24</f>
        <v>#REF!</v>
      </c>
      <c r="I20" s="21" t="e">
        <f>'8-8-14,2023'!I24</f>
        <v>#REF!</v>
      </c>
      <c r="J20" s="21">
        <f>'8-8-14,2023'!J24</f>
        <v>0</v>
      </c>
      <c r="K20" s="21">
        <f>'8-8-14,2023'!K24</f>
        <v>0</v>
      </c>
      <c r="L20" s="21">
        <f>'8-8-14,2023'!L24</f>
        <v>0</v>
      </c>
      <c r="M20" s="21">
        <f>'8-8-14,2023'!M24</f>
        <v>0</v>
      </c>
      <c r="N20" s="21" t="e">
        <f>'8-8-14,2023'!N24</f>
        <v>#REF!</v>
      </c>
      <c r="O20" s="21" t="e">
        <f>'8-8-14,2023'!O24</f>
        <v>#REF!</v>
      </c>
      <c r="P20" s="21">
        <f>'8-8-14,2023'!P24</f>
        <v>1196</v>
      </c>
      <c r="Q20" s="21">
        <f>'8-8-14,2023'!Q24</f>
        <v>328.57142857142856</v>
      </c>
      <c r="R20" s="21">
        <f>'8-8-14,2023'!R24</f>
        <v>0</v>
      </c>
      <c r="S20" s="21">
        <f>'8-8-14,2023'!S24</f>
        <v>0</v>
      </c>
      <c r="T20" s="21" t="e">
        <f>'8-8-14,2023'!T24</f>
        <v>#REF!</v>
      </c>
      <c r="U20" s="21">
        <f>'8-8-14,2023'!U24</f>
        <v>975</v>
      </c>
      <c r="V20" s="21" t="e">
        <f>'8-8-14,2023'!V24</f>
        <v>#REF!</v>
      </c>
      <c r="W20" s="21">
        <f>'8-8-14,2023'!W24</f>
        <v>2765</v>
      </c>
      <c r="X20" s="21">
        <f>'8-8-14,2023'!X24</f>
        <v>211</v>
      </c>
      <c r="Y20" s="21">
        <f>'8-8-14,2023'!Y24</f>
        <v>3193</v>
      </c>
      <c r="Z20" s="21">
        <f>'8-8-14,2023'!Z24</f>
        <v>2881</v>
      </c>
      <c r="AA20" s="21">
        <f>'8-8-14,2023'!AA24</f>
        <v>3105</v>
      </c>
      <c r="AB20" s="21">
        <f>'8-8-14,2023'!AB24</f>
        <v>2410</v>
      </c>
      <c r="AC20" s="21">
        <f>'8-8-14,2023'!AC24</f>
        <v>300</v>
      </c>
      <c r="AD20" s="21">
        <f>'8-8-14,2023'!AD24</f>
        <v>0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>
        <f>D21/92*25</f>
        <v>0</v>
      </c>
      <c r="F21" s="23">
        <f>605*36</f>
        <v>21780</v>
      </c>
      <c r="G21" s="24">
        <f>F21/36*25</f>
        <v>15125</v>
      </c>
      <c r="H21" s="23"/>
      <c r="I21" s="23"/>
      <c r="J21" s="30"/>
      <c r="K21" s="26"/>
      <c r="L21" s="30"/>
      <c r="M21" s="26"/>
      <c r="N21" s="30"/>
      <c r="O21" s="26"/>
      <c r="P21" s="23"/>
      <c r="Q21" s="26">
        <f>P21/92*25</f>
        <v>0</v>
      </c>
      <c r="R21" s="23"/>
      <c r="S21" s="26"/>
      <c r="T21" s="23"/>
      <c r="U21" s="23">
        <v>0</v>
      </c>
      <c r="V21" s="23"/>
      <c r="W21" s="23">
        <v>1000</v>
      </c>
      <c r="X21" s="23">
        <v>200</v>
      </c>
      <c r="Y21" s="23">
        <v>2379</v>
      </c>
      <c r="Z21" s="23">
        <v>1980</v>
      </c>
      <c r="AA21" s="31">
        <v>2000</v>
      </c>
      <c r="AB21" s="31">
        <v>1500</v>
      </c>
      <c r="AC21" s="23">
        <v>0</v>
      </c>
      <c r="AD21" s="32">
        <v>0</v>
      </c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6510</v>
      </c>
      <c r="E22" s="34">
        <f t="shared" ref="E22:AD22" si="0">E20+E21</f>
        <v>2665.7608695652175</v>
      </c>
      <c r="F22" s="34">
        <f t="shared" si="0"/>
        <v>25992</v>
      </c>
      <c r="G22" s="34">
        <f t="shared" si="0"/>
        <v>18050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1196</v>
      </c>
      <c r="Q22" s="34">
        <f t="shared" si="0"/>
        <v>328.57142857142856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3765</v>
      </c>
      <c r="X22" s="34">
        <f t="shared" si="0"/>
        <v>411</v>
      </c>
      <c r="Y22" s="34">
        <f t="shared" si="0"/>
        <v>5572</v>
      </c>
      <c r="Z22" s="34">
        <f t="shared" si="0"/>
        <v>4861</v>
      </c>
      <c r="AA22" s="34">
        <f t="shared" si="0"/>
        <v>5105</v>
      </c>
      <c r="AB22" s="34">
        <f t="shared" si="0"/>
        <v>3910</v>
      </c>
      <c r="AC22" s="34">
        <f t="shared" si="0"/>
        <v>300</v>
      </c>
      <c r="AD22" s="34">
        <f t="shared" si="0"/>
        <v>0</v>
      </c>
    </row>
    <row r="23" spans="1:32" ht="75.75" customHeight="1" x14ac:dyDescent="0.3">
      <c r="A23" s="346" t="s">
        <v>27</v>
      </c>
      <c r="B23" s="347"/>
      <c r="C23" s="348"/>
      <c r="D23" s="35">
        <v>62</v>
      </c>
      <c r="E23" s="22">
        <f>D23/62*25</f>
        <v>25</v>
      </c>
      <c r="F23" s="22">
        <f>180+108+360+216</f>
        <v>864</v>
      </c>
      <c r="G23" s="24">
        <f>F23/36*25</f>
        <v>600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91</v>
      </c>
      <c r="Q23" s="24">
        <f>P23/91*25</f>
        <v>25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f>45+20</f>
        <v>65</v>
      </c>
      <c r="X23" s="22">
        <v>20</v>
      </c>
      <c r="Y23" s="22">
        <f>48+38+69+65</f>
        <v>220</v>
      </c>
      <c r="Z23" s="30">
        <f>17+15+20+20</f>
        <v>72</v>
      </c>
      <c r="AA23" s="30">
        <f>20+15+70+70</f>
        <v>175</v>
      </c>
      <c r="AB23" s="30">
        <v>100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45152</v>
      </c>
      <c r="B24" s="336" t="s">
        <v>28</v>
      </c>
      <c r="C24" s="337"/>
      <c r="D24" s="40">
        <f>D22-D23</f>
        <v>6448</v>
      </c>
      <c r="E24" s="40">
        <f t="shared" ref="E24:AC24" si="1">E22-E23</f>
        <v>2640.7608695652175</v>
      </c>
      <c r="F24" s="40">
        <f>F22-F23</f>
        <v>25128</v>
      </c>
      <c r="G24" s="40">
        <f t="shared" si="1"/>
        <v>17450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1105</v>
      </c>
      <c r="Q24" s="42">
        <f>Q22-Q23</f>
        <v>303.57142857142856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3700</v>
      </c>
      <c r="X24" s="40">
        <f t="shared" si="1"/>
        <v>391</v>
      </c>
      <c r="Y24" s="40">
        <f t="shared" si="1"/>
        <v>5352</v>
      </c>
      <c r="Z24" s="41">
        <f t="shared" si="1"/>
        <v>4789</v>
      </c>
      <c r="AA24" s="41">
        <f t="shared" si="1"/>
        <v>4930</v>
      </c>
      <c r="AB24" s="41">
        <f t="shared" si="1"/>
        <v>3810</v>
      </c>
      <c r="AC24" s="40">
        <f t="shared" si="1"/>
        <v>300</v>
      </c>
      <c r="AD24" s="44">
        <f>AD22-AD23</f>
        <v>0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48</v>
      </c>
      <c r="O27" s="46"/>
      <c r="R27" s="45" t="s">
        <v>30</v>
      </c>
      <c r="W27" s="45" t="s">
        <v>49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/>
  </sheetPr>
  <dimension ref="A10:AF47"/>
  <sheetViews>
    <sheetView topLeftCell="A8" zoomScale="78" zoomScaleNormal="78" workbookViewId="0">
      <selection activeCell="Q24" sqref="Q24"/>
    </sheetView>
  </sheetViews>
  <sheetFormatPr defaultRowHeight="21.75" x14ac:dyDescent="0.3"/>
  <cols>
    <col min="1" max="1" width="18.5703125" style="1" customWidth="1"/>
    <col min="2" max="3" width="18.7109375" style="1" customWidth="1"/>
    <col min="4" max="4" width="18.28515625" style="1" customWidth="1"/>
    <col min="5" max="5" width="11.7109375" style="1" customWidth="1"/>
    <col min="6" max="6" width="12.5703125" style="1" bestFit="1" customWidth="1"/>
    <col min="7" max="7" width="15.1406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36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54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59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45160</v>
      </c>
      <c r="B20" s="338" t="s">
        <v>23</v>
      </c>
      <c r="C20" s="339"/>
      <c r="D20" s="21">
        <f>6448+682</f>
        <v>7130</v>
      </c>
      <c r="E20" s="21">
        <v>2640.7608695652175</v>
      </c>
      <c r="F20" s="21">
        <f>25128+543</f>
        <v>25671</v>
      </c>
      <c r="G20" s="21">
        <v>17450</v>
      </c>
      <c r="H20" s="21" t="e">
        <v>#REF!</v>
      </c>
      <c r="I20" s="21" t="e">
        <v>#REF!</v>
      </c>
      <c r="J20" s="21">
        <v>0</v>
      </c>
      <c r="K20" s="21">
        <v>0</v>
      </c>
      <c r="L20" s="21">
        <v>0</v>
      </c>
      <c r="M20" s="21">
        <v>0</v>
      </c>
      <c r="N20" s="21" t="e">
        <v>#REF!</v>
      </c>
      <c r="O20" s="21" t="e">
        <v>#REF!</v>
      </c>
      <c r="P20" s="21">
        <f>1105+639</f>
        <v>1744</v>
      </c>
      <c r="Q20" s="21">
        <v>300.27173913043481</v>
      </c>
      <c r="R20" s="21">
        <v>0</v>
      </c>
      <c r="S20" s="21">
        <v>0</v>
      </c>
      <c r="T20" s="21" t="e">
        <v>#REF!</v>
      </c>
      <c r="U20" s="21">
        <v>975</v>
      </c>
      <c r="V20" s="21" t="e">
        <v>#REF!</v>
      </c>
      <c r="W20" s="21">
        <f>3700+275</f>
        <v>3975</v>
      </c>
      <c r="X20" s="21">
        <f>391+71</f>
        <v>462</v>
      </c>
      <c r="Y20" s="21">
        <f>5352+927</f>
        <v>6279</v>
      </c>
      <c r="Z20" s="21">
        <f>4789+326</f>
        <v>5115</v>
      </c>
      <c r="AA20" s="21">
        <f>4930+865</f>
        <v>5795</v>
      </c>
      <c r="AB20" s="21">
        <f>3810+550</f>
        <v>4360</v>
      </c>
      <c r="AC20" s="21">
        <v>300</v>
      </c>
      <c r="AD20" s="21">
        <v>0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7130</v>
      </c>
      <c r="E22" s="34">
        <f t="shared" ref="E22:AD22" si="0">E20+E21</f>
        <v>2640.7608695652175</v>
      </c>
      <c r="F22" s="34">
        <f t="shared" si="0"/>
        <v>25671</v>
      </c>
      <c r="G22" s="34">
        <f t="shared" si="0"/>
        <v>17450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1744</v>
      </c>
      <c r="Q22" s="34">
        <f t="shared" si="0"/>
        <v>300.27173913043481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3975</v>
      </c>
      <c r="X22" s="34">
        <f t="shared" si="0"/>
        <v>462</v>
      </c>
      <c r="Y22" s="34">
        <f t="shared" si="0"/>
        <v>6279</v>
      </c>
      <c r="Z22" s="34">
        <f t="shared" si="0"/>
        <v>5115</v>
      </c>
      <c r="AA22" s="34">
        <f t="shared" si="0"/>
        <v>5795</v>
      </c>
      <c r="AB22" s="34">
        <f t="shared" si="0"/>
        <v>4360</v>
      </c>
      <c r="AC22" s="34">
        <f t="shared" si="0"/>
        <v>300</v>
      </c>
      <c r="AD22" s="34">
        <f t="shared" si="0"/>
        <v>0</v>
      </c>
    </row>
    <row r="23" spans="1:32" ht="75.75" customHeight="1" x14ac:dyDescent="0.3">
      <c r="A23" s="346" t="s">
        <v>27</v>
      </c>
      <c r="B23" s="347"/>
      <c r="C23" s="348"/>
      <c r="D23" s="35">
        <v>62</v>
      </c>
      <c r="E23" s="22">
        <f>D23/62*25</f>
        <v>25</v>
      </c>
      <c r="F23" s="22">
        <f>16+4+18+18+19</f>
        <v>75</v>
      </c>
      <c r="G23" s="24">
        <f>F23/36*25</f>
        <v>52.083333333333336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91+91+91+91</f>
        <v>364</v>
      </c>
      <c r="Q23" s="24">
        <f>P23/91*25</f>
        <v>100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f>20+15+20+20+20</f>
        <v>95</v>
      </c>
      <c r="X23" s="22">
        <v>25</v>
      </c>
      <c r="Y23" s="22">
        <f>120+40+134+136+124</f>
        <v>554</v>
      </c>
      <c r="Z23" s="30">
        <f>41+17+44+44+42</f>
        <v>188</v>
      </c>
      <c r="AA23" s="30">
        <f>70+20+100+120+120</f>
        <v>430</v>
      </c>
      <c r="AB23" s="30">
        <f>50+50+100+50</f>
        <v>250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45169</v>
      </c>
      <c r="B24" s="336" t="s">
        <v>28</v>
      </c>
      <c r="C24" s="337"/>
      <c r="D24" s="40">
        <f>D22-D23</f>
        <v>7068</v>
      </c>
      <c r="E24" s="40">
        <f t="shared" ref="E24:AC24" si="1">E22-E23</f>
        <v>2615.7608695652175</v>
      </c>
      <c r="F24" s="40">
        <f>F22-F23</f>
        <v>25596</v>
      </c>
      <c r="G24" s="40">
        <f t="shared" si="1"/>
        <v>17397.916666666668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1380</v>
      </c>
      <c r="Q24" s="42">
        <f>Q22-Q23</f>
        <v>200.27173913043481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3880</v>
      </c>
      <c r="X24" s="40">
        <f t="shared" si="1"/>
        <v>437</v>
      </c>
      <c r="Y24" s="40">
        <f t="shared" si="1"/>
        <v>5725</v>
      </c>
      <c r="Z24" s="41">
        <f t="shared" si="1"/>
        <v>4927</v>
      </c>
      <c r="AA24" s="41">
        <f t="shared" si="1"/>
        <v>5365</v>
      </c>
      <c r="AB24" s="41">
        <f t="shared" si="1"/>
        <v>4110</v>
      </c>
      <c r="AC24" s="40">
        <f t="shared" si="1"/>
        <v>300</v>
      </c>
      <c r="AD24" s="44">
        <f>AD22-AD23</f>
        <v>0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48</v>
      </c>
      <c r="O27" s="46"/>
      <c r="R27" s="45" t="s">
        <v>30</v>
      </c>
      <c r="W27" s="45" t="s">
        <v>49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theme="0"/>
  </sheetPr>
  <dimension ref="A10:AF47"/>
  <sheetViews>
    <sheetView zoomScale="78" zoomScaleNormal="78" workbookViewId="0">
      <selection activeCell="Q23" sqref="Q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8.28515625" style="1" customWidth="1"/>
    <col min="5" max="5" width="15.140625" style="1" customWidth="1"/>
    <col min="6" max="6" width="12.5703125" style="1" bestFit="1" customWidth="1"/>
    <col min="7" max="7" width="15.1406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59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60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45170</v>
      </c>
      <c r="B20" s="338" t="s">
        <v>23</v>
      </c>
      <c r="C20" s="339"/>
      <c r="D20" s="21">
        <f>95*62</f>
        <v>5890</v>
      </c>
      <c r="E20" s="63">
        <v>2640.7608695652175</v>
      </c>
      <c r="F20" s="21">
        <f>603*36</f>
        <v>21708</v>
      </c>
      <c r="G20" s="21">
        <v>17450</v>
      </c>
      <c r="H20" s="21" t="e">
        <v>#REF!</v>
      </c>
      <c r="I20" s="21" t="e">
        <v>#REF!</v>
      </c>
      <c r="J20" s="21">
        <v>0</v>
      </c>
      <c r="K20" s="21">
        <v>0</v>
      </c>
      <c r="L20" s="21">
        <v>0</v>
      </c>
      <c r="M20" s="21">
        <v>0</v>
      </c>
      <c r="N20" s="21" t="e">
        <v>#REF!</v>
      </c>
      <c r="O20" s="21" t="e">
        <v>#REF!</v>
      </c>
      <c r="P20" s="21">
        <f>8*91</f>
        <v>728</v>
      </c>
      <c r="Q20" s="24">
        <f>P20/91*25</f>
        <v>200</v>
      </c>
      <c r="R20" s="21">
        <v>0</v>
      </c>
      <c r="S20" s="21">
        <v>0</v>
      </c>
      <c r="T20" s="21" t="e">
        <v>#REF!</v>
      </c>
      <c r="U20" s="21">
        <f>39*25</f>
        <v>975</v>
      </c>
      <c r="V20" s="21" t="e">
        <v>#REF!</v>
      </c>
      <c r="W20" s="21">
        <v>3605</v>
      </c>
      <c r="X20" s="21">
        <v>366</v>
      </c>
      <c r="Y20" s="21">
        <v>4798</v>
      </c>
      <c r="Z20" s="21">
        <v>4601</v>
      </c>
      <c r="AA20" s="21">
        <v>4500</v>
      </c>
      <c r="AB20" s="21">
        <v>3560</v>
      </c>
      <c r="AC20" s="21">
        <v>300</v>
      </c>
      <c r="AD20" s="21"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65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5890</v>
      </c>
      <c r="E22" s="66">
        <f t="shared" ref="E22:AD22" si="0">E20+E21</f>
        <v>2640.7608695652175</v>
      </c>
      <c r="F22" s="34">
        <f t="shared" si="0"/>
        <v>21708</v>
      </c>
      <c r="G22" s="34">
        <f t="shared" si="0"/>
        <v>17450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728</v>
      </c>
      <c r="Q22" s="34">
        <f t="shared" si="0"/>
        <v>200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3605</v>
      </c>
      <c r="X22" s="34">
        <f t="shared" si="0"/>
        <v>366</v>
      </c>
      <c r="Y22" s="34">
        <f t="shared" si="0"/>
        <v>4798</v>
      </c>
      <c r="Z22" s="34">
        <f t="shared" si="0"/>
        <v>4601</v>
      </c>
      <c r="AA22" s="34">
        <f t="shared" si="0"/>
        <v>4500</v>
      </c>
      <c r="AB22" s="34">
        <f t="shared" si="0"/>
        <v>3560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0</v>
      </c>
      <c r="E23" s="65">
        <f>D23/62*25</f>
        <v>0</v>
      </c>
      <c r="F23" s="22">
        <v>3708</v>
      </c>
      <c r="G23" s="24">
        <f>F23/36*25</f>
        <v>2575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728</v>
      </c>
      <c r="Q23" s="24">
        <f>P23/91*25</f>
        <v>200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225</v>
      </c>
      <c r="X23" s="22">
        <v>58</v>
      </c>
      <c r="Y23" s="22">
        <v>691</v>
      </c>
      <c r="Z23" s="30">
        <v>252</v>
      </c>
      <c r="AA23" s="30">
        <v>775</v>
      </c>
      <c r="AB23" s="30">
        <v>500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45176</v>
      </c>
      <c r="B24" s="336" t="s">
        <v>28</v>
      </c>
      <c r="C24" s="337"/>
      <c r="D24" s="40">
        <f>D22-D23</f>
        <v>5890</v>
      </c>
      <c r="E24" s="67">
        <f t="shared" ref="E24:AC24" si="1">E22-E23</f>
        <v>2640.7608695652175</v>
      </c>
      <c r="F24" s="40">
        <f>F22-F23</f>
        <v>18000</v>
      </c>
      <c r="G24" s="40">
        <f t="shared" si="1"/>
        <v>14875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0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3380</v>
      </c>
      <c r="X24" s="40">
        <f t="shared" si="1"/>
        <v>308</v>
      </c>
      <c r="Y24" s="40">
        <f t="shared" si="1"/>
        <v>4107</v>
      </c>
      <c r="Z24" s="41">
        <f t="shared" si="1"/>
        <v>4349</v>
      </c>
      <c r="AA24" s="41">
        <f t="shared" si="1"/>
        <v>3725</v>
      </c>
      <c r="AB24" s="41">
        <f t="shared" si="1"/>
        <v>3060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0"/>
  </sheetPr>
  <dimension ref="A10:AF47"/>
  <sheetViews>
    <sheetView zoomScale="78" zoomScaleNormal="78" workbookViewId="0">
      <selection activeCell="Q23" sqref="Q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8.28515625" style="1" customWidth="1"/>
    <col min="5" max="5" width="15.140625" style="1" customWidth="1"/>
    <col min="6" max="6" width="12.5703125" style="1" bestFit="1" customWidth="1"/>
    <col min="7" max="7" width="15.1406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60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61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45177</v>
      </c>
      <c r="B20" s="338" t="s">
        <v>23</v>
      </c>
      <c r="C20" s="339"/>
      <c r="D20" s="21">
        <f>'9-1-7,2023'!D24</f>
        <v>5890</v>
      </c>
      <c r="E20" s="63">
        <f>'9-1-7,2023'!E24</f>
        <v>2640.7608695652175</v>
      </c>
      <c r="F20" s="21">
        <f>'9-1-7,2023'!F24</f>
        <v>18000</v>
      </c>
      <c r="G20" s="21">
        <f>'9-1-7,2023'!G24</f>
        <v>14875</v>
      </c>
      <c r="H20" s="21" t="e">
        <f>'9-1-7,2023'!H24</f>
        <v>#REF!</v>
      </c>
      <c r="I20" s="21" t="e">
        <f>'9-1-7,2023'!I24</f>
        <v>#REF!</v>
      </c>
      <c r="J20" s="21">
        <f>'9-1-7,2023'!J24</f>
        <v>0</v>
      </c>
      <c r="K20" s="21">
        <f>'9-1-7,2023'!K24</f>
        <v>0</v>
      </c>
      <c r="L20" s="21">
        <f>'9-1-7,2023'!L24</f>
        <v>0</v>
      </c>
      <c r="M20" s="21">
        <f>'9-1-7,2023'!M24</f>
        <v>0</v>
      </c>
      <c r="N20" s="21" t="e">
        <f>'9-1-7,2023'!N24</f>
        <v>#REF!</v>
      </c>
      <c r="O20" s="21" t="e">
        <f>'9-1-7,2023'!O24</f>
        <v>#REF!</v>
      </c>
      <c r="P20" s="21">
        <f>'9-1-7,2023'!P24</f>
        <v>0</v>
      </c>
      <c r="Q20" s="21">
        <f>'9-1-7,2023'!Q24</f>
        <v>0</v>
      </c>
      <c r="R20" s="21">
        <f>'9-1-7,2023'!R24</f>
        <v>0</v>
      </c>
      <c r="S20" s="21">
        <f>'9-1-7,2023'!S24</f>
        <v>0</v>
      </c>
      <c r="T20" s="21" t="e">
        <f>'9-1-7,2023'!T24</f>
        <v>#REF!</v>
      </c>
      <c r="U20" s="21">
        <f>'9-1-7,2023'!U24</f>
        <v>975</v>
      </c>
      <c r="V20" s="21" t="e">
        <f>'9-1-7,2023'!V24</f>
        <v>#REF!</v>
      </c>
      <c r="W20" s="21">
        <f>'9-1-7,2023'!W24</f>
        <v>3380</v>
      </c>
      <c r="X20" s="21">
        <f>'9-1-7,2023'!X24</f>
        <v>308</v>
      </c>
      <c r="Y20" s="21">
        <f>'9-1-7,2023'!Y24</f>
        <v>4107</v>
      </c>
      <c r="Z20" s="21">
        <f>'9-1-7,2023'!Z24</f>
        <v>4349</v>
      </c>
      <c r="AA20" s="21">
        <f>'9-1-7,2023'!AA24</f>
        <v>3725</v>
      </c>
      <c r="AB20" s="21">
        <f>'9-1-7,2023'!AB24</f>
        <v>3060</v>
      </c>
      <c r="AC20" s="21">
        <f>'9-1-7,2023'!AC24</f>
        <v>300</v>
      </c>
      <c r="AD20" s="21">
        <f>'9-1-7,2023'!AD24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65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5890</v>
      </c>
      <c r="E22" s="66">
        <f t="shared" ref="E22:AD22" si="0">E20+E21</f>
        <v>2640.7608695652175</v>
      </c>
      <c r="F22" s="34">
        <f t="shared" si="0"/>
        <v>18000</v>
      </c>
      <c r="G22" s="34">
        <f t="shared" si="0"/>
        <v>14875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3380</v>
      </c>
      <c r="X22" s="34">
        <f t="shared" si="0"/>
        <v>308</v>
      </c>
      <c r="Y22" s="34">
        <f t="shared" si="0"/>
        <v>4107</v>
      </c>
      <c r="Z22" s="34">
        <f t="shared" si="0"/>
        <v>4349</v>
      </c>
      <c r="AA22" s="34">
        <f t="shared" si="0"/>
        <v>3725</v>
      </c>
      <c r="AB22" s="34">
        <f t="shared" si="0"/>
        <v>3060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0</v>
      </c>
      <c r="E23" s="65">
        <f>D23/62*25</f>
        <v>0</v>
      </c>
      <c r="F23" s="22">
        <v>3348</v>
      </c>
      <c r="G23" s="24">
        <f>F23/36*25</f>
        <v>2325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4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200</v>
      </c>
      <c r="X23" s="22">
        <v>50</v>
      </c>
      <c r="Y23" s="22">
        <v>614</v>
      </c>
      <c r="Z23" s="30">
        <v>200</v>
      </c>
      <c r="AA23" s="30">
        <v>675</v>
      </c>
      <c r="AB23" s="30">
        <v>500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45183</v>
      </c>
      <c r="B24" s="336" t="s">
        <v>28</v>
      </c>
      <c r="C24" s="337"/>
      <c r="D24" s="40">
        <f>D22-D23</f>
        <v>5890</v>
      </c>
      <c r="E24" s="67">
        <f t="shared" ref="E24:AC24" si="1">E22-E23</f>
        <v>2640.7608695652175</v>
      </c>
      <c r="F24" s="40">
        <f>F22-F23</f>
        <v>14652</v>
      </c>
      <c r="G24" s="40">
        <f t="shared" si="1"/>
        <v>12550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3180</v>
      </c>
      <c r="X24" s="40">
        <f t="shared" si="1"/>
        <v>258</v>
      </c>
      <c r="Y24" s="40">
        <f t="shared" si="1"/>
        <v>3493</v>
      </c>
      <c r="Z24" s="41">
        <f t="shared" si="1"/>
        <v>4149</v>
      </c>
      <c r="AA24" s="41">
        <f t="shared" si="1"/>
        <v>3050</v>
      </c>
      <c r="AB24" s="41">
        <f t="shared" si="1"/>
        <v>2560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0"/>
  </sheetPr>
  <dimension ref="A10:AF47"/>
  <sheetViews>
    <sheetView zoomScale="78" zoomScaleNormal="78" workbookViewId="0">
      <selection activeCell="W20" sqref="W2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8.28515625" style="1" customWidth="1"/>
    <col min="5" max="5" width="15.7109375" style="1" customWidth="1"/>
    <col min="6" max="6" width="12.5703125" style="1" bestFit="1" customWidth="1"/>
    <col min="7" max="7" width="15.1406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61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61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45184</v>
      </c>
      <c r="B20" s="338" t="s">
        <v>23</v>
      </c>
      <c r="C20" s="339"/>
      <c r="D20" s="21">
        <f>'9-8-14,2023'!D24</f>
        <v>5890</v>
      </c>
      <c r="E20" s="63">
        <f>'9-8-14,2023'!E24</f>
        <v>2640.7608695652175</v>
      </c>
      <c r="F20" s="21">
        <f>'9-8-14,2023'!F24</f>
        <v>14652</v>
      </c>
      <c r="G20" s="21">
        <f>'9-8-14,2023'!G24</f>
        <v>12550</v>
      </c>
      <c r="H20" s="21" t="e">
        <f>'9-8-14,2023'!H24</f>
        <v>#REF!</v>
      </c>
      <c r="I20" s="21" t="e">
        <f>'9-8-14,2023'!I24</f>
        <v>#REF!</v>
      </c>
      <c r="J20" s="21">
        <f>'9-8-14,2023'!J24</f>
        <v>0</v>
      </c>
      <c r="K20" s="21">
        <f>'9-8-14,2023'!K24</f>
        <v>0</v>
      </c>
      <c r="L20" s="21">
        <f>'9-8-14,2023'!L24</f>
        <v>0</v>
      </c>
      <c r="M20" s="21">
        <f>'9-8-14,2023'!M24</f>
        <v>0</v>
      </c>
      <c r="N20" s="21" t="e">
        <f>'9-8-14,2023'!N24</f>
        <v>#REF!</v>
      </c>
      <c r="O20" s="21" t="e">
        <f>'9-8-14,2023'!O24</f>
        <v>#REF!</v>
      </c>
      <c r="P20" s="21">
        <f>'9-8-14,2023'!P24</f>
        <v>0</v>
      </c>
      <c r="Q20" s="21">
        <f>'9-8-14,2023'!Q24</f>
        <v>0</v>
      </c>
      <c r="R20" s="21">
        <f>'9-8-14,2023'!R24</f>
        <v>0</v>
      </c>
      <c r="S20" s="21">
        <f>'9-8-14,2023'!S24</f>
        <v>0</v>
      </c>
      <c r="T20" s="21" t="e">
        <f>'9-8-14,2023'!T24</f>
        <v>#REF!</v>
      </c>
      <c r="U20" s="21">
        <f>'9-8-14,2023'!U24</f>
        <v>975</v>
      </c>
      <c r="V20" s="21" t="e">
        <f>'9-8-14,2023'!V24</f>
        <v>#REF!</v>
      </c>
      <c r="W20" s="21">
        <f>'9-8-14,2023'!W24</f>
        <v>3180</v>
      </c>
      <c r="X20" s="21">
        <f>'9-8-14,2023'!X24</f>
        <v>258</v>
      </c>
      <c r="Y20" s="21">
        <f>'9-8-14,2023'!Y24</f>
        <v>3493</v>
      </c>
      <c r="Z20" s="21">
        <f>'9-8-14,2023'!Z24</f>
        <v>4149</v>
      </c>
      <c r="AA20" s="21">
        <f>'9-8-14,2023'!AA24</f>
        <v>3050</v>
      </c>
      <c r="AB20" s="21">
        <f>'9-8-14,2023'!AB24</f>
        <v>2560</v>
      </c>
      <c r="AC20" s="21">
        <f>'9-8-14,2023'!AC24</f>
        <v>300</v>
      </c>
      <c r="AD20" s="21">
        <f>'9-8-14,2023'!AD24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5890</v>
      </c>
      <c r="E22" s="64">
        <f t="shared" ref="E22:AD22" si="0">E20+E21</f>
        <v>2640.7608695652175</v>
      </c>
      <c r="F22" s="34">
        <f t="shared" si="0"/>
        <v>14652</v>
      </c>
      <c r="G22" s="34">
        <f t="shared" si="0"/>
        <v>12550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3180</v>
      </c>
      <c r="X22" s="34">
        <f t="shared" si="0"/>
        <v>258</v>
      </c>
      <c r="Y22" s="34">
        <f t="shared" si="0"/>
        <v>3493</v>
      </c>
      <c r="Z22" s="34">
        <f t="shared" si="0"/>
        <v>4149</v>
      </c>
      <c r="AA22" s="34">
        <f t="shared" si="0"/>
        <v>3050</v>
      </c>
      <c r="AB22" s="34">
        <f t="shared" si="0"/>
        <v>2560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0</v>
      </c>
      <c r="E23" s="24">
        <f>D23/62*25</f>
        <v>0</v>
      </c>
      <c r="F23" s="22">
        <v>2916</v>
      </c>
      <c r="G23" s="24">
        <f>F23/36*25</f>
        <v>2025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4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150</v>
      </c>
      <c r="X23" s="22">
        <v>39</v>
      </c>
      <c r="Y23" s="22">
        <v>522</v>
      </c>
      <c r="Z23" s="30">
        <v>190</v>
      </c>
      <c r="AA23" s="30">
        <v>560</v>
      </c>
      <c r="AB23" s="30">
        <v>400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45190</v>
      </c>
      <c r="B24" s="336" t="s">
        <v>28</v>
      </c>
      <c r="C24" s="337"/>
      <c r="D24" s="40">
        <f>D22-D23</f>
        <v>5890</v>
      </c>
      <c r="E24" s="42">
        <f t="shared" ref="E24:AC24" si="1">E22-E23</f>
        <v>2640.7608695652175</v>
      </c>
      <c r="F24" s="40">
        <f>F22-F23</f>
        <v>11736</v>
      </c>
      <c r="G24" s="40">
        <f t="shared" si="1"/>
        <v>10525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3030</v>
      </c>
      <c r="X24" s="40">
        <f t="shared" si="1"/>
        <v>219</v>
      </c>
      <c r="Y24" s="40">
        <f t="shared" si="1"/>
        <v>2971</v>
      </c>
      <c r="Z24" s="41">
        <f t="shared" si="1"/>
        <v>3959</v>
      </c>
      <c r="AA24" s="41">
        <f t="shared" si="1"/>
        <v>2490</v>
      </c>
      <c r="AB24" s="41">
        <f t="shared" si="1"/>
        <v>2160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0"/>
  </sheetPr>
  <dimension ref="A10:AF47"/>
  <sheetViews>
    <sheetView topLeftCell="A13" zoomScale="78" zoomScaleNormal="78" workbookViewId="0">
      <selection activeCell="D21" sqref="D21:AD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8.28515625" style="1" customWidth="1"/>
    <col min="5" max="5" width="16" style="1" customWidth="1"/>
    <col min="6" max="6" width="12.5703125" style="1" bestFit="1" customWidth="1"/>
    <col min="7" max="7" width="17.425781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1.5703125" style="1" customWidth="1"/>
    <col min="18" max="19" width="12.7109375" style="1" hidden="1" customWidth="1"/>
    <col min="20" max="20" width="0.85546875" style="1" hidden="1" customWidth="1"/>
    <col min="21" max="21" width="14.425781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55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61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45191</v>
      </c>
      <c r="B20" s="338" t="s">
        <v>23</v>
      </c>
      <c r="C20" s="339"/>
      <c r="D20" s="21">
        <f>'9-15-21,2023'!D24</f>
        <v>5890</v>
      </c>
      <c r="E20" s="63">
        <f>'9-15-21,2023'!E24</f>
        <v>2640.7608695652175</v>
      </c>
      <c r="F20" s="21">
        <f>'9-15-21,2023'!F24</f>
        <v>11736</v>
      </c>
      <c r="G20" s="62">
        <f>'9-15-21,2023'!G24</f>
        <v>10525</v>
      </c>
      <c r="H20" s="21" t="e">
        <f>'9-15-21,2023'!H24</f>
        <v>#REF!</v>
      </c>
      <c r="I20" s="21" t="e">
        <f>'9-15-21,2023'!I24</f>
        <v>#REF!</v>
      </c>
      <c r="J20" s="21">
        <f>'9-15-21,2023'!J24</f>
        <v>0</v>
      </c>
      <c r="K20" s="21">
        <f>'9-15-21,2023'!K24</f>
        <v>0</v>
      </c>
      <c r="L20" s="21">
        <f>'9-15-21,2023'!L24</f>
        <v>0</v>
      </c>
      <c r="M20" s="21">
        <f>'9-15-21,2023'!M24</f>
        <v>0</v>
      </c>
      <c r="N20" s="21" t="e">
        <f>'9-15-21,2023'!N24</f>
        <v>#REF!</v>
      </c>
      <c r="O20" s="21" t="e">
        <f>'9-15-21,2023'!O24</f>
        <v>#REF!</v>
      </c>
      <c r="P20" s="21">
        <f>'9-15-21,2023'!P24</f>
        <v>0</v>
      </c>
      <c r="Q20" s="21">
        <f>'9-15-21,2023'!Q24</f>
        <v>0</v>
      </c>
      <c r="R20" s="21">
        <f>'9-15-21,2023'!R24</f>
        <v>0</v>
      </c>
      <c r="S20" s="21">
        <f>'9-15-21,2023'!S24</f>
        <v>0</v>
      </c>
      <c r="T20" s="21" t="e">
        <f>'9-15-21,2023'!T24</f>
        <v>#REF!</v>
      </c>
      <c r="U20" s="21">
        <f>'9-15-21,2023'!U24</f>
        <v>975</v>
      </c>
      <c r="V20" s="21" t="e">
        <f>'9-15-21,2023'!V24</f>
        <v>#REF!</v>
      </c>
      <c r="W20" s="21">
        <f>'9-15-21,2023'!W24</f>
        <v>3030</v>
      </c>
      <c r="X20" s="21">
        <f>'9-15-21,2023'!X24</f>
        <v>219</v>
      </c>
      <c r="Y20" s="21">
        <f>'9-15-21,2023'!Y24</f>
        <v>2971</v>
      </c>
      <c r="Z20" s="21">
        <f>'9-15-21,2023'!Z24</f>
        <v>3959</v>
      </c>
      <c r="AA20" s="21">
        <f>'9-15-21,2023'!AA24</f>
        <v>2490</v>
      </c>
      <c r="AB20" s="21">
        <f>'9-15-21,2023'!AB24</f>
        <v>2160</v>
      </c>
      <c r="AC20" s="21">
        <v>300</v>
      </c>
      <c r="AD20" s="21">
        <f>'9-15-21,2023'!AD24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>
        <f>D21/62*25</f>
        <v>0</v>
      </c>
      <c r="F21" s="23">
        <f>270*36</f>
        <v>9720</v>
      </c>
      <c r="G21" s="24">
        <f>F21/36*25</f>
        <v>6750</v>
      </c>
      <c r="H21" s="23"/>
      <c r="I21" s="23"/>
      <c r="J21" s="30"/>
      <c r="K21" s="26"/>
      <c r="L21" s="30"/>
      <c r="M21" s="26"/>
      <c r="N21" s="30"/>
      <c r="O21" s="26"/>
      <c r="P21" s="23">
        <f>30*91</f>
        <v>2730</v>
      </c>
      <c r="Q21" s="26">
        <f>P21/91*25</f>
        <v>750</v>
      </c>
      <c r="R21" s="23"/>
      <c r="S21" s="26"/>
      <c r="T21" s="23"/>
      <c r="U21" s="23">
        <v>0</v>
      </c>
      <c r="V21" s="23"/>
      <c r="W21" s="23">
        <v>1000</v>
      </c>
      <c r="X21" s="23">
        <v>200</v>
      </c>
      <c r="Y21" s="23">
        <v>2400</v>
      </c>
      <c r="Z21" s="23">
        <v>2420</v>
      </c>
      <c r="AA21" s="31">
        <v>3000</v>
      </c>
      <c r="AB21" s="31">
        <v>2100</v>
      </c>
      <c r="AC21" s="23">
        <v>0</v>
      </c>
      <c r="AD21" s="32">
        <v>0</v>
      </c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5890</v>
      </c>
      <c r="E22" s="34">
        <f t="shared" ref="E22:AD22" si="0">E20+E21</f>
        <v>2640.7608695652175</v>
      </c>
      <c r="F22" s="34">
        <f t="shared" si="0"/>
        <v>21456</v>
      </c>
      <c r="G22" s="34">
        <f t="shared" si="0"/>
        <v>17275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2730</v>
      </c>
      <c r="Q22" s="34">
        <f t="shared" si="0"/>
        <v>750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4030</v>
      </c>
      <c r="X22" s="34">
        <f t="shared" si="0"/>
        <v>419</v>
      </c>
      <c r="Y22" s="34">
        <f t="shared" si="0"/>
        <v>5371</v>
      </c>
      <c r="Z22" s="34">
        <f t="shared" si="0"/>
        <v>6379</v>
      </c>
      <c r="AA22" s="34">
        <f t="shared" si="0"/>
        <v>5490</v>
      </c>
      <c r="AB22" s="34">
        <f t="shared" si="0"/>
        <v>4260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0</v>
      </c>
      <c r="E23" s="22">
        <f>D23/62*25</f>
        <v>0</v>
      </c>
      <c r="F23" s="22">
        <v>5508</v>
      </c>
      <c r="G23" s="24">
        <f>F23/36*25</f>
        <v>3825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4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250</v>
      </c>
      <c r="X23" s="22">
        <v>67</v>
      </c>
      <c r="Y23" s="22">
        <v>977</v>
      </c>
      <c r="Z23" s="30">
        <v>423</v>
      </c>
      <c r="AA23" s="30">
        <v>945</v>
      </c>
      <c r="AB23" s="30">
        <v>750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45199</v>
      </c>
      <c r="B24" s="336" t="s">
        <v>28</v>
      </c>
      <c r="C24" s="337"/>
      <c r="D24" s="40">
        <f>D22-D23</f>
        <v>5890</v>
      </c>
      <c r="E24" s="42">
        <f t="shared" ref="E24:AC24" si="1">E22-E23</f>
        <v>2640.7608695652175</v>
      </c>
      <c r="F24" s="40">
        <f>F22-F23</f>
        <v>15948</v>
      </c>
      <c r="G24" s="40">
        <f t="shared" si="1"/>
        <v>13450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2730</v>
      </c>
      <c r="Q24" s="42">
        <f>Q22-Q23</f>
        <v>750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3780</v>
      </c>
      <c r="X24" s="40">
        <f t="shared" si="1"/>
        <v>352</v>
      </c>
      <c r="Y24" s="40">
        <f t="shared" si="1"/>
        <v>4394</v>
      </c>
      <c r="Z24" s="41">
        <f t="shared" si="1"/>
        <v>5956</v>
      </c>
      <c r="AA24" s="41">
        <f t="shared" si="1"/>
        <v>4545</v>
      </c>
      <c r="AB24" s="41">
        <f t="shared" si="1"/>
        <v>3510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0"/>
  </sheetPr>
  <dimension ref="A10:AF47"/>
  <sheetViews>
    <sheetView topLeftCell="A13" zoomScale="78" zoomScaleNormal="78" workbookViewId="0">
      <selection activeCell="G22" sqref="G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0.7109375" style="1" bestFit="1" customWidth="1"/>
    <col min="5" max="5" width="16" style="1" customWidth="1"/>
    <col min="6" max="6" width="12.5703125" style="1" bestFit="1" customWidth="1"/>
    <col min="7" max="7" width="17.425781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62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68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45200</v>
      </c>
      <c r="B20" s="338" t="s">
        <v>23</v>
      </c>
      <c r="C20" s="339"/>
      <c r="D20" s="21">
        <f>'9-22-31,2023'!D24</f>
        <v>5890</v>
      </c>
      <c r="E20" s="63">
        <f>'9-22-31,2023'!E24</f>
        <v>2640.7608695652175</v>
      </c>
      <c r="F20" s="21">
        <f>'9-22-31,2023'!F24</f>
        <v>15948</v>
      </c>
      <c r="G20" s="63">
        <f>'9-22-31,2023'!G24</f>
        <v>13450</v>
      </c>
      <c r="H20" s="21" t="e">
        <f>'9-22-31,2023'!H24</f>
        <v>#REF!</v>
      </c>
      <c r="I20" s="21" t="e">
        <f>'9-22-31,2023'!I24</f>
        <v>#REF!</v>
      </c>
      <c r="J20" s="21">
        <f>'9-22-31,2023'!J24</f>
        <v>0</v>
      </c>
      <c r="K20" s="21">
        <f>'9-22-31,2023'!K24</f>
        <v>0</v>
      </c>
      <c r="L20" s="21">
        <f>'9-22-31,2023'!L24</f>
        <v>0</v>
      </c>
      <c r="M20" s="21">
        <f>'9-22-31,2023'!M24</f>
        <v>0</v>
      </c>
      <c r="N20" s="21" t="e">
        <f>'9-22-31,2023'!N24</f>
        <v>#REF!</v>
      </c>
      <c r="O20" s="21" t="e">
        <f>'9-22-31,2023'!O24</f>
        <v>#REF!</v>
      </c>
      <c r="P20" s="21">
        <f>'9-22-31,2023'!P24</f>
        <v>2730</v>
      </c>
      <c r="Q20" s="63">
        <f>'9-22-31,2023'!Q24</f>
        <v>750</v>
      </c>
      <c r="R20" s="21">
        <f>'9-22-31,2023'!R24</f>
        <v>0</v>
      </c>
      <c r="S20" s="21">
        <f>'9-22-31,2023'!S24</f>
        <v>0</v>
      </c>
      <c r="T20" s="21" t="e">
        <f>'9-22-31,2023'!T24</f>
        <v>#REF!</v>
      </c>
      <c r="U20" s="21">
        <f>'9-22-31,2023'!U24</f>
        <v>975</v>
      </c>
      <c r="V20" s="21" t="e">
        <f>'9-22-31,2023'!V24</f>
        <v>#REF!</v>
      </c>
      <c r="W20" s="62">
        <f>'9-22-31,2023'!W24</f>
        <v>3780</v>
      </c>
      <c r="X20" s="21">
        <f>'9-22-31,2023'!X24</f>
        <v>352</v>
      </c>
      <c r="Y20" s="21">
        <f>'9-22-31,2023'!Y24</f>
        <v>4394</v>
      </c>
      <c r="Z20" s="21">
        <f>'9-22-31,2023'!Z24</f>
        <v>5956</v>
      </c>
      <c r="AA20" s="21">
        <f>'9-22-31,2023'!AA24</f>
        <v>4545</v>
      </c>
      <c r="AB20" s="21">
        <f>'9-22-31,2023'!AB24</f>
        <v>3510</v>
      </c>
      <c r="AC20" s="21">
        <f>'9-22-31,2023'!AC24</f>
        <v>300</v>
      </c>
      <c r="AD20" s="21">
        <f>'9-22-31,2023'!AD24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5890</v>
      </c>
      <c r="E22" s="34">
        <f t="shared" ref="E22:AD22" si="0">E20+E21</f>
        <v>2640.7608695652175</v>
      </c>
      <c r="F22" s="34">
        <f t="shared" si="0"/>
        <v>15948</v>
      </c>
      <c r="G22" s="34">
        <f t="shared" si="0"/>
        <v>13450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2730</v>
      </c>
      <c r="Q22" s="34">
        <f t="shared" si="0"/>
        <v>750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3780</v>
      </c>
      <c r="X22" s="34">
        <f t="shared" si="0"/>
        <v>352</v>
      </c>
      <c r="Y22" s="34">
        <f t="shared" si="0"/>
        <v>4394</v>
      </c>
      <c r="Z22" s="34">
        <f t="shared" si="0"/>
        <v>5956</v>
      </c>
      <c r="AA22" s="34">
        <f t="shared" si="0"/>
        <v>4545</v>
      </c>
      <c r="AB22" s="34">
        <f t="shared" si="0"/>
        <v>3510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0</v>
      </c>
      <c r="E23" s="22">
        <f>D23/62*25</f>
        <v>0</v>
      </c>
      <c r="F23" s="22">
        <f>91*36</f>
        <v>3276</v>
      </c>
      <c r="G23" s="24">
        <f>F23/36*25</f>
        <v>2275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819</v>
      </c>
      <c r="Q23" s="24">
        <f>P23/91*25</f>
        <v>225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180</v>
      </c>
      <c r="X23" s="22">
        <v>45</v>
      </c>
      <c r="Y23" s="22">
        <v>567</v>
      </c>
      <c r="Z23" s="30">
        <v>269</v>
      </c>
      <c r="AA23" s="30">
        <v>600</v>
      </c>
      <c r="AB23" s="30">
        <v>450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45207</v>
      </c>
      <c r="B24" s="336" t="s">
        <v>28</v>
      </c>
      <c r="C24" s="337"/>
      <c r="D24" s="40">
        <f>D22-D23</f>
        <v>5890</v>
      </c>
      <c r="E24" s="42">
        <f t="shared" ref="E24:AC24" si="1">E22-E23</f>
        <v>2640.7608695652175</v>
      </c>
      <c r="F24" s="40">
        <f>F22-F23</f>
        <v>12672</v>
      </c>
      <c r="G24" s="40">
        <f t="shared" si="1"/>
        <v>11175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1911</v>
      </c>
      <c r="Q24" s="42">
        <f>Q22-Q23</f>
        <v>525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3600</v>
      </c>
      <c r="X24" s="40">
        <f t="shared" si="1"/>
        <v>307</v>
      </c>
      <c r="Y24" s="40">
        <f t="shared" si="1"/>
        <v>3827</v>
      </c>
      <c r="Z24" s="41">
        <f t="shared" si="1"/>
        <v>5687</v>
      </c>
      <c r="AA24" s="41">
        <f t="shared" si="1"/>
        <v>3945</v>
      </c>
      <c r="AB24" s="41">
        <f t="shared" si="1"/>
        <v>3060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63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64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65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0"/>
  </sheetPr>
  <dimension ref="A10:AF47"/>
  <sheetViews>
    <sheetView topLeftCell="A7" zoomScale="78" zoomScaleNormal="78" workbookViewId="0">
      <selection activeCell="Z20" sqref="Z2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0.7109375" style="1" bestFit="1" customWidth="1"/>
    <col min="5" max="5" width="16" style="1" customWidth="1"/>
    <col min="6" max="6" width="12.5703125" style="1" bestFit="1" customWidth="1"/>
    <col min="7" max="7" width="17.425781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66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69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45208</v>
      </c>
      <c r="B20" s="338" t="s">
        <v>23</v>
      </c>
      <c r="C20" s="339"/>
      <c r="D20" s="21">
        <f>'10-1-8,2023'!D24</f>
        <v>5890</v>
      </c>
      <c r="E20" s="63">
        <f>'10-1-8,2023'!E24</f>
        <v>2640.7608695652175</v>
      </c>
      <c r="F20" s="21">
        <f>'10-1-8,2023'!F24</f>
        <v>12672</v>
      </c>
      <c r="G20" s="62">
        <f>'10-1-8,2023'!G24</f>
        <v>11175</v>
      </c>
      <c r="H20" s="21" t="e">
        <f>'10-1-8,2023'!H24</f>
        <v>#REF!</v>
      </c>
      <c r="I20" s="21" t="e">
        <f>'10-1-8,2023'!I24</f>
        <v>#REF!</v>
      </c>
      <c r="J20" s="21">
        <f>'10-1-8,2023'!J24</f>
        <v>0</v>
      </c>
      <c r="K20" s="21">
        <f>'10-1-8,2023'!K24</f>
        <v>0</v>
      </c>
      <c r="L20" s="21">
        <f>'10-1-8,2023'!L24</f>
        <v>0</v>
      </c>
      <c r="M20" s="21">
        <f>'10-1-8,2023'!M24</f>
        <v>0</v>
      </c>
      <c r="N20" s="21" t="e">
        <f>'10-1-8,2023'!N24</f>
        <v>#REF!</v>
      </c>
      <c r="O20" s="21" t="e">
        <f>'10-1-8,2023'!O24</f>
        <v>#REF!</v>
      </c>
      <c r="P20" s="21">
        <f>'10-1-8,2023'!P24</f>
        <v>1911</v>
      </c>
      <c r="Q20" s="62">
        <f>'10-1-8,2023'!Q24</f>
        <v>525</v>
      </c>
      <c r="R20" s="21">
        <f>'10-1-8,2023'!R24</f>
        <v>0</v>
      </c>
      <c r="S20" s="21">
        <f>'10-1-8,2023'!S24</f>
        <v>0</v>
      </c>
      <c r="T20" s="21" t="e">
        <f>'10-1-8,2023'!T24</f>
        <v>#REF!</v>
      </c>
      <c r="U20" s="21">
        <f>'10-1-8,2023'!U24</f>
        <v>975</v>
      </c>
      <c r="V20" s="21" t="e">
        <f>'10-1-8,2023'!V24</f>
        <v>#REF!</v>
      </c>
      <c r="W20" s="21">
        <f>'10-1-8,2023'!W24</f>
        <v>3600</v>
      </c>
      <c r="X20" s="21">
        <f>'10-1-8,2023'!X24</f>
        <v>307</v>
      </c>
      <c r="Y20" s="21">
        <f>'10-1-8,2023'!Y24</f>
        <v>3827</v>
      </c>
      <c r="Z20" s="21">
        <f>'10-1-8,2023'!Z24</f>
        <v>5687</v>
      </c>
      <c r="AA20" s="21">
        <f>'10-1-8,2023'!AA24</f>
        <v>3945</v>
      </c>
      <c r="AB20" s="21">
        <f>'10-1-8,2023'!AB24</f>
        <v>3060</v>
      </c>
      <c r="AC20" s="21">
        <f>'10-1-8,2023'!AC24</f>
        <v>300</v>
      </c>
      <c r="AD20" s="21">
        <f>'10-1-8,2023'!AD24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5890</v>
      </c>
      <c r="E22" s="34">
        <f t="shared" ref="E22:AD22" si="0">E20+E21</f>
        <v>2640.7608695652175</v>
      </c>
      <c r="F22" s="34">
        <f t="shared" si="0"/>
        <v>12672</v>
      </c>
      <c r="G22" s="34">
        <f t="shared" si="0"/>
        <v>11175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1911</v>
      </c>
      <c r="Q22" s="34">
        <f t="shared" si="0"/>
        <v>525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3600</v>
      </c>
      <c r="X22" s="34">
        <f t="shared" si="0"/>
        <v>307</v>
      </c>
      <c r="Y22" s="34">
        <f t="shared" si="0"/>
        <v>3827</v>
      </c>
      <c r="Z22" s="34">
        <f t="shared" si="0"/>
        <v>5687</v>
      </c>
      <c r="AA22" s="34">
        <f t="shared" si="0"/>
        <v>3945</v>
      </c>
      <c r="AB22" s="34">
        <f t="shared" si="0"/>
        <v>3060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558</v>
      </c>
      <c r="E23" s="24">
        <f>D23/62*25</f>
        <v>225</v>
      </c>
      <c r="F23" s="22">
        <v>3024</v>
      </c>
      <c r="G23" s="24">
        <f>F23/36*25</f>
        <v>2100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910</v>
      </c>
      <c r="Q23" s="26">
        <f>P23/91*25</f>
        <v>250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200</v>
      </c>
      <c r="X23" s="22">
        <v>50</v>
      </c>
      <c r="Y23" s="22">
        <v>560</v>
      </c>
      <c r="Z23" s="30">
        <v>326</v>
      </c>
      <c r="AA23" s="30">
        <v>660</v>
      </c>
      <c r="AB23" s="30">
        <v>500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45214</v>
      </c>
      <c r="B24" s="336" t="s">
        <v>28</v>
      </c>
      <c r="C24" s="337"/>
      <c r="D24" s="40">
        <f>D22-D23</f>
        <v>5332</v>
      </c>
      <c r="E24" s="42">
        <f t="shared" ref="E24:AC24" si="1">E22-E23</f>
        <v>2415.7608695652175</v>
      </c>
      <c r="F24" s="40">
        <f>F22-F23</f>
        <v>9648</v>
      </c>
      <c r="G24" s="40">
        <f t="shared" si="1"/>
        <v>9075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1001</v>
      </c>
      <c r="Q24" s="42">
        <f>Q22-Q23</f>
        <v>275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3400</v>
      </c>
      <c r="X24" s="40">
        <f t="shared" si="1"/>
        <v>257</v>
      </c>
      <c r="Y24" s="40">
        <f t="shared" si="1"/>
        <v>3267</v>
      </c>
      <c r="Z24" s="41">
        <f t="shared" si="1"/>
        <v>5361</v>
      </c>
      <c r="AA24" s="41">
        <f t="shared" si="1"/>
        <v>3285</v>
      </c>
      <c r="AB24" s="41">
        <f t="shared" si="1"/>
        <v>2560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63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64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65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theme="0"/>
  </sheetPr>
  <dimension ref="A10:AF47"/>
  <sheetViews>
    <sheetView topLeftCell="A10" zoomScale="78" zoomScaleNormal="78" workbookViewId="0">
      <selection activeCell="Q37" sqref="Q3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0.7109375" style="1" bestFit="1" customWidth="1"/>
    <col min="5" max="5" width="16" style="1" customWidth="1"/>
    <col min="6" max="6" width="15.5703125" style="1" bestFit="1" customWidth="1"/>
    <col min="7" max="7" width="17.425781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67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70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45215</v>
      </c>
      <c r="B20" s="338" t="s">
        <v>23</v>
      </c>
      <c r="C20" s="339"/>
      <c r="D20" s="21">
        <f>'10-9-15,2023'!D24</f>
        <v>5332</v>
      </c>
      <c r="E20" s="63">
        <f>'10-9-15,2023'!E24</f>
        <v>2415.7608695652175</v>
      </c>
      <c r="F20" s="62">
        <f>'10-9-15,2023'!F24</f>
        <v>9648</v>
      </c>
      <c r="G20" s="21">
        <f>'10-9-15,2023'!G24</f>
        <v>9075</v>
      </c>
      <c r="H20" s="21" t="e">
        <f>'10-9-15,2023'!H24</f>
        <v>#REF!</v>
      </c>
      <c r="I20" s="21" t="e">
        <f>'10-9-15,2023'!I24</f>
        <v>#REF!</v>
      </c>
      <c r="J20" s="21">
        <f>'10-9-15,2023'!J24</f>
        <v>0</v>
      </c>
      <c r="K20" s="21">
        <f>'10-9-15,2023'!K24</f>
        <v>0</v>
      </c>
      <c r="L20" s="21">
        <f>'10-9-15,2023'!L24</f>
        <v>0</v>
      </c>
      <c r="M20" s="21">
        <f>'10-9-15,2023'!M24</f>
        <v>0</v>
      </c>
      <c r="N20" s="21" t="e">
        <f>'10-9-15,2023'!N24</f>
        <v>#REF!</v>
      </c>
      <c r="O20" s="21" t="e">
        <f>'10-9-15,2023'!O24</f>
        <v>#REF!</v>
      </c>
      <c r="P20" s="21">
        <f>'10-9-15,2023'!P24</f>
        <v>1001</v>
      </c>
      <c r="Q20" s="21">
        <f>'10-9-15,2023'!Q24</f>
        <v>275</v>
      </c>
      <c r="R20" s="21">
        <f>'10-9-15,2023'!R24</f>
        <v>0</v>
      </c>
      <c r="S20" s="21">
        <f>'10-9-15,2023'!S24</f>
        <v>0</v>
      </c>
      <c r="T20" s="21" t="e">
        <f>'10-9-15,2023'!T24</f>
        <v>#REF!</v>
      </c>
      <c r="U20" s="21">
        <f>'10-9-15,2023'!U24</f>
        <v>975</v>
      </c>
      <c r="V20" s="21" t="e">
        <f>'10-9-15,2023'!V24</f>
        <v>#REF!</v>
      </c>
      <c r="W20" s="21">
        <f>'10-9-15,2023'!W24</f>
        <v>3400</v>
      </c>
      <c r="X20" s="21">
        <f>'10-9-15,2023'!X24</f>
        <v>257</v>
      </c>
      <c r="Y20" s="21">
        <f>'10-9-15,2023'!Y24</f>
        <v>3267</v>
      </c>
      <c r="Z20" s="21">
        <f>'10-9-15,2023'!Z24</f>
        <v>5361</v>
      </c>
      <c r="AA20" s="21">
        <f>'10-9-15,2023'!AA24</f>
        <v>3285</v>
      </c>
      <c r="AB20" s="21">
        <f>'10-9-15,2023'!AB24</f>
        <v>2560</v>
      </c>
      <c r="AC20" s="21">
        <f>'10-9-15,2023'!AC24</f>
        <v>300</v>
      </c>
      <c r="AD20" s="21">
        <f>'10-9-15,2023'!AD24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5332</v>
      </c>
      <c r="E22" s="34">
        <f t="shared" ref="E22:AD22" si="0">E20+E21</f>
        <v>2415.7608695652175</v>
      </c>
      <c r="F22" s="34">
        <f t="shared" si="0"/>
        <v>9648</v>
      </c>
      <c r="G22" s="34">
        <f t="shared" si="0"/>
        <v>9075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1001</v>
      </c>
      <c r="Q22" s="34">
        <f t="shared" si="0"/>
        <v>275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3400</v>
      </c>
      <c r="X22" s="34">
        <f t="shared" si="0"/>
        <v>257</v>
      </c>
      <c r="Y22" s="34">
        <f t="shared" si="0"/>
        <v>3267</v>
      </c>
      <c r="Z22" s="34">
        <f t="shared" si="0"/>
        <v>5361</v>
      </c>
      <c r="AA22" s="34">
        <f t="shared" si="0"/>
        <v>3285</v>
      </c>
      <c r="AB22" s="34">
        <f t="shared" si="0"/>
        <v>2560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2752</v>
      </c>
      <c r="E23" s="24">
        <f>D23/62*25</f>
        <v>1109.6774193548388</v>
      </c>
      <c r="F23" s="22">
        <v>900</v>
      </c>
      <c r="G23" s="24">
        <f>F23/36*25</f>
        <v>625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455</v>
      </c>
      <c r="Q23" s="26">
        <f>P23/91*25</f>
        <v>125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210</v>
      </c>
      <c r="X23" s="22">
        <v>54</v>
      </c>
      <c r="Y23" s="22">
        <v>652</v>
      </c>
      <c r="Z23" s="30">
        <v>408</v>
      </c>
      <c r="AA23" s="30">
        <v>755</v>
      </c>
      <c r="AB23" s="30">
        <v>550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45221</v>
      </c>
      <c r="B24" s="336" t="s">
        <v>28</v>
      </c>
      <c r="C24" s="337"/>
      <c r="D24" s="40">
        <f>D22-D23</f>
        <v>2580</v>
      </c>
      <c r="E24" s="42">
        <f t="shared" ref="E24:AC24" si="1">E22-E23</f>
        <v>1306.0834502103787</v>
      </c>
      <c r="F24" s="40">
        <f>F22-F23</f>
        <v>8748</v>
      </c>
      <c r="G24" s="40">
        <f t="shared" si="1"/>
        <v>8450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546</v>
      </c>
      <c r="Q24" s="42">
        <f>Q22-Q23</f>
        <v>150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3190</v>
      </c>
      <c r="X24" s="40">
        <f t="shared" si="1"/>
        <v>203</v>
      </c>
      <c r="Y24" s="40">
        <f t="shared" si="1"/>
        <v>2615</v>
      </c>
      <c r="Z24" s="41">
        <f t="shared" si="1"/>
        <v>4953</v>
      </c>
      <c r="AA24" s="41">
        <f t="shared" si="1"/>
        <v>2530</v>
      </c>
      <c r="AB24" s="41">
        <f t="shared" si="1"/>
        <v>2010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65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tabColor theme="0"/>
  </sheetPr>
  <dimension ref="A10:AF47"/>
  <sheetViews>
    <sheetView topLeftCell="A13" zoomScale="78" zoomScaleNormal="78" workbookViewId="0">
      <selection activeCell="U16" sqref="U1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0.7109375" style="1" bestFit="1" customWidth="1"/>
    <col min="5" max="5" width="16" style="1" customWidth="1"/>
    <col min="6" max="6" width="15.5703125" style="1" bestFit="1" customWidth="1"/>
    <col min="7" max="7" width="17.425781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68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71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45222</v>
      </c>
      <c r="B20" s="338" t="s">
        <v>23</v>
      </c>
      <c r="C20" s="339"/>
      <c r="D20" s="21">
        <v>0</v>
      </c>
      <c r="E20" s="24">
        <f>D20/62*25</f>
        <v>0</v>
      </c>
      <c r="F20" s="21">
        <f>'10-16-22,2023'!F24</f>
        <v>8748</v>
      </c>
      <c r="G20" s="24">
        <f>F20/36*25</f>
        <v>6075</v>
      </c>
      <c r="H20" s="21" t="e">
        <f>'10-16-22,2023'!H24</f>
        <v>#REF!</v>
      </c>
      <c r="I20" s="21" t="e">
        <f>'10-16-22,2023'!I24</f>
        <v>#REF!</v>
      </c>
      <c r="J20" s="21">
        <f>'10-16-22,2023'!J24</f>
        <v>0</v>
      </c>
      <c r="K20" s="21">
        <f>'10-16-22,2023'!K24</f>
        <v>0</v>
      </c>
      <c r="L20" s="21">
        <f>'10-16-22,2023'!L24</f>
        <v>0</v>
      </c>
      <c r="M20" s="21">
        <f>'10-16-22,2023'!M24</f>
        <v>0</v>
      </c>
      <c r="N20" s="21" t="e">
        <f>'10-16-22,2023'!N24</f>
        <v>#REF!</v>
      </c>
      <c r="O20" s="21" t="e">
        <f>'10-16-22,2023'!O24</f>
        <v>#REF!</v>
      </c>
      <c r="P20" s="21">
        <v>546</v>
      </c>
      <c r="Q20" s="26">
        <f>P20/91*25</f>
        <v>150</v>
      </c>
      <c r="R20" s="21">
        <f>'10-16-22,2023'!R24</f>
        <v>0</v>
      </c>
      <c r="S20" s="21">
        <f>'10-16-22,2023'!S24</f>
        <v>0</v>
      </c>
      <c r="T20" s="21" t="e">
        <f>'10-16-22,2023'!T24</f>
        <v>#REF!</v>
      </c>
      <c r="U20" s="21">
        <f>'10-16-22,2023'!U24</f>
        <v>975</v>
      </c>
      <c r="V20" s="21" t="e">
        <f>'10-16-22,2023'!V24</f>
        <v>#REF!</v>
      </c>
      <c r="W20" s="21">
        <f>'10-16-22,2023'!W24</f>
        <v>3190</v>
      </c>
      <c r="X20" s="21">
        <f>'10-16-22,2023'!X24</f>
        <v>203</v>
      </c>
      <c r="Y20" s="21">
        <f>'10-16-22,2023'!Y24</f>
        <v>2615</v>
      </c>
      <c r="Z20" s="21">
        <f>4953+220</f>
        <v>5173</v>
      </c>
      <c r="AA20" s="21">
        <f>'10-16-22,2023'!AA24</f>
        <v>2530</v>
      </c>
      <c r="AB20" s="21">
        <f>'10-16-22,2023'!AB24</f>
        <v>2010</v>
      </c>
      <c r="AC20" s="21">
        <f>'10-16-22,2023'!AC24</f>
        <v>300</v>
      </c>
      <c r="AD20" s="21">
        <f>'10-16-22,2023'!AD24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>
        <f>270*36</f>
        <v>9720</v>
      </c>
      <c r="G21" s="24">
        <f>F21/36*25</f>
        <v>6750</v>
      </c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>
        <v>200</v>
      </c>
      <c r="Y21" s="23">
        <v>2480</v>
      </c>
      <c r="Z21" s="23">
        <v>2640</v>
      </c>
      <c r="AA21" s="31">
        <v>3000</v>
      </c>
      <c r="AB21" s="31">
        <v>3000</v>
      </c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0</v>
      </c>
      <c r="E22" s="34">
        <f t="shared" ref="E22:AD22" si="0">E20+E21</f>
        <v>0</v>
      </c>
      <c r="F22" s="34">
        <f t="shared" si="0"/>
        <v>18468</v>
      </c>
      <c r="G22" s="34">
        <f t="shared" si="0"/>
        <v>12825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546</v>
      </c>
      <c r="Q22" s="34">
        <f t="shared" si="0"/>
        <v>150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3190</v>
      </c>
      <c r="X22" s="34">
        <f t="shared" si="0"/>
        <v>403</v>
      </c>
      <c r="Y22" s="34">
        <f t="shared" si="0"/>
        <v>5095</v>
      </c>
      <c r="Z22" s="34">
        <f t="shared" si="0"/>
        <v>7813</v>
      </c>
      <c r="AA22" s="34">
        <f t="shared" si="0"/>
        <v>5530</v>
      </c>
      <c r="AB22" s="34">
        <f t="shared" si="0"/>
        <v>5010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0</v>
      </c>
      <c r="E23" s="24">
        <f>D23/62*25</f>
        <v>0</v>
      </c>
      <c r="F23" s="22">
        <f>144*36</f>
        <v>5184</v>
      </c>
      <c r="G23" s="24">
        <f>F23/36*25</f>
        <v>3600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6*91</f>
        <v>546</v>
      </c>
      <c r="Q23" s="26">
        <f>P23/91*25</f>
        <v>150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200</v>
      </c>
      <c r="X23" s="22">
        <v>57</v>
      </c>
      <c r="Y23" s="22">
        <v>697</v>
      </c>
      <c r="Z23" s="30">
        <v>642</v>
      </c>
      <c r="AA23" s="30">
        <v>840</v>
      </c>
      <c r="AB23" s="30">
        <v>650</v>
      </c>
      <c r="AC23" s="22">
        <v>0</v>
      </c>
      <c r="AD23" s="38">
        <v>0</v>
      </c>
    </row>
    <row r="24" spans="1:32" s="3" customFormat="1" ht="100.5" customHeight="1" thickBot="1" x14ac:dyDescent="0.25">
      <c r="A24" s="39">
        <v>45230</v>
      </c>
      <c r="B24" s="336" t="s">
        <v>28</v>
      </c>
      <c r="C24" s="337"/>
      <c r="D24" s="40">
        <f>D22-D23</f>
        <v>0</v>
      </c>
      <c r="E24" s="42">
        <f t="shared" ref="E24:AC24" si="1">E22-E23</f>
        <v>0</v>
      </c>
      <c r="F24" s="40">
        <f>F22-F23</f>
        <v>13284</v>
      </c>
      <c r="G24" s="40">
        <f t="shared" si="1"/>
        <v>9225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2990</v>
      </c>
      <c r="X24" s="40">
        <f t="shared" si="1"/>
        <v>346</v>
      </c>
      <c r="Y24" s="40">
        <f t="shared" si="1"/>
        <v>4398</v>
      </c>
      <c r="Z24" s="41">
        <f t="shared" si="1"/>
        <v>7171</v>
      </c>
      <c r="AA24" s="41">
        <f t="shared" si="1"/>
        <v>4690</v>
      </c>
      <c r="AB24" s="41">
        <f t="shared" si="1"/>
        <v>4360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theme="0"/>
  </sheetPr>
  <dimension ref="A10:AF47"/>
  <sheetViews>
    <sheetView topLeftCell="A10" zoomScale="78" zoomScaleNormal="78" workbookViewId="0">
      <selection activeCell="AD23" sqref="AD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0.7109375" style="1" bestFit="1" customWidth="1"/>
    <col min="5" max="5" width="16" style="1" customWidth="1"/>
    <col min="6" max="6" width="15.5703125" style="1" bestFit="1" customWidth="1"/>
    <col min="7" max="7" width="17.425781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69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72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45231</v>
      </c>
      <c r="B20" s="338" t="s">
        <v>23</v>
      </c>
      <c r="C20" s="339"/>
      <c r="D20" s="21">
        <f>'10-23-31,2023'!D24</f>
        <v>0</v>
      </c>
      <c r="E20" s="21">
        <f>'10-23-31,2023'!E24</f>
        <v>0</v>
      </c>
      <c r="F20" s="21">
        <f>'10-23-31,2023'!F24</f>
        <v>13284</v>
      </c>
      <c r="G20" s="62">
        <f>'10-23-31,2023'!G24</f>
        <v>9225</v>
      </c>
      <c r="H20" s="21" t="e">
        <f>'10-23-31,2023'!H24</f>
        <v>#REF!</v>
      </c>
      <c r="I20" s="21" t="e">
        <f>'10-23-31,2023'!I24</f>
        <v>#REF!</v>
      </c>
      <c r="J20" s="21">
        <f>'10-23-31,2023'!J24</f>
        <v>0</v>
      </c>
      <c r="K20" s="21">
        <f>'10-23-31,2023'!K24</f>
        <v>0</v>
      </c>
      <c r="L20" s="21">
        <f>'10-23-31,2023'!L24</f>
        <v>0</v>
      </c>
      <c r="M20" s="21">
        <f>'10-23-31,2023'!M24</f>
        <v>0</v>
      </c>
      <c r="N20" s="21" t="e">
        <f>'10-23-31,2023'!N24</f>
        <v>#REF!</v>
      </c>
      <c r="O20" s="21" t="e">
        <f>'10-23-31,2023'!O24</f>
        <v>#REF!</v>
      </c>
      <c r="P20" s="21">
        <f>'10-23-31,2023'!P24</f>
        <v>0</v>
      </c>
      <c r="Q20" s="21">
        <f>'10-23-31,2023'!Q24</f>
        <v>0</v>
      </c>
      <c r="R20" s="21">
        <f>'10-23-31,2023'!R24</f>
        <v>0</v>
      </c>
      <c r="S20" s="21">
        <f>'10-23-31,2023'!S24</f>
        <v>0</v>
      </c>
      <c r="T20" s="21" t="e">
        <f>'10-23-31,2023'!T24</f>
        <v>#REF!</v>
      </c>
      <c r="U20" s="21">
        <f>'10-23-31,2023'!U24</f>
        <v>975</v>
      </c>
      <c r="V20" s="21" t="e">
        <f>'10-23-31,2023'!V24</f>
        <v>#REF!</v>
      </c>
      <c r="W20" s="21">
        <f>'10-23-31,2023'!W24</f>
        <v>2990</v>
      </c>
      <c r="X20" s="21">
        <f>'10-23-31,2023'!X24</f>
        <v>346</v>
      </c>
      <c r="Y20" s="21">
        <f>'10-23-31,2023'!Y24</f>
        <v>4398</v>
      </c>
      <c r="Z20" s="21">
        <v>6951</v>
      </c>
      <c r="AA20" s="21">
        <f>'10-23-31,2023'!AA24</f>
        <v>4690</v>
      </c>
      <c r="AB20" s="21">
        <f>'10-23-31,2023'!AB24</f>
        <v>4360</v>
      </c>
      <c r="AC20" s="21">
        <f>'10-23-31,2023'!AC24</f>
        <v>300</v>
      </c>
      <c r="AD20" s="21">
        <f>'10-23-31,2023'!AD24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/>
      <c r="G21" s="26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0</v>
      </c>
      <c r="E22" s="34">
        <f t="shared" ref="E22:AD22" si="0">E20+E21</f>
        <v>0</v>
      </c>
      <c r="F22" s="34">
        <f t="shared" si="0"/>
        <v>13284</v>
      </c>
      <c r="G22" s="34">
        <f t="shared" si="0"/>
        <v>9225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2990</v>
      </c>
      <c r="X22" s="34">
        <f t="shared" si="0"/>
        <v>346</v>
      </c>
      <c r="Y22" s="34">
        <f t="shared" si="0"/>
        <v>4398</v>
      </c>
      <c r="Z22" s="34">
        <f t="shared" si="0"/>
        <v>6951</v>
      </c>
      <c r="AA22" s="34">
        <f t="shared" si="0"/>
        <v>4690</v>
      </c>
      <c r="AB22" s="34">
        <f t="shared" si="0"/>
        <v>4360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0</v>
      </c>
      <c r="E23" s="24">
        <f>D23/62*25</f>
        <v>0</v>
      </c>
      <c r="F23" s="22">
        <v>1548</v>
      </c>
      <c r="G23" s="26">
        <f>F23/36*25</f>
        <v>1075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100</v>
      </c>
      <c r="X23" s="22">
        <v>28</v>
      </c>
      <c r="Y23" s="22">
        <v>276</v>
      </c>
      <c r="Z23" s="30">
        <v>202</v>
      </c>
      <c r="AA23" s="30">
        <v>330</v>
      </c>
      <c r="AB23" s="30">
        <v>200</v>
      </c>
      <c r="AC23" s="22"/>
      <c r="AD23" s="38"/>
    </row>
    <row r="24" spans="1:32" s="3" customFormat="1" ht="100.5" customHeight="1" thickBot="1" x14ac:dyDescent="0.25">
      <c r="A24" s="39">
        <v>45235</v>
      </c>
      <c r="B24" s="336" t="s">
        <v>28</v>
      </c>
      <c r="C24" s="337"/>
      <c r="D24" s="40">
        <f>D22-D23</f>
        <v>0</v>
      </c>
      <c r="E24" s="42">
        <f t="shared" ref="E24:AC24" si="1">E22-E23</f>
        <v>0</v>
      </c>
      <c r="F24" s="40">
        <f>F22-F23</f>
        <v>11736</v>
      </c>
      <c r="G24" s="40">
        <f t="shared" si="1"/>
        <v>8150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2890</v>
      </c>
      <c r="X24" s="40">
        <f t="shared" si="1"/>
        <v>318</v>
      </c>
      <c r="Y24" s="40">
        <f t="shared" si="1"/>
        <v>4122</v>
      </c>
      <c r="Z24" s="41">
        <f t="shared" si="1"/>
        <v>6749</v>
      </c>
      <c r="AA24" s="41">
        <f t="shared" si="1"/>
        <v>4360</v>
      </c>
      <c r="AB24" s="41">
        <f t="shared" si="1"/>
        <v>4160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theme="0"/>
  </sheetPr>
  <dimension ref="A10:AF47"/>
  <sheetViews>
    <sheetView topLeftCell="A10" zoomScale="78" zoomScaleNormal="78" workbookViewId="0">
      <selection activeCell="AD23" sqref="AD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0.7109375" style="1" bestFit="1" customWidth="1"/>
    <col min="5" max="5" width="16" style="1" customWidth="1"/>
    <col min="6" max="6" width="15.5703125" style="1" bestFit="1" customWidth="1"/>
    <col min="7" max="7" width="17.425781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73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45236</v>
      </c>
      <c r="B20" s="338" t="s">
        <v>23</v>
      </c>
      <c r="C20" s="339"/>
      <c r="D20" s="21">
        <f>'11-1-5,2023'!D24</f>
        <v>0</v>
      </c>
      <c r="E20" s="21">
        <f>'11-1-5,2023'!E24</f>
        <v>0</v>
      </c>
      <c r="F20" s="21">
        <f>'11-1-5,2023'!F24</f>
        <v>11736</v>
      </c>
      <c r="G20" s="21">
        <f>'11-1-5,2023'!G24</f>
        <v>8150</v>
      </c>
      <c r="H20" s="21" t="e">
        <f>'11-1-5,2023'!H24</f>
        <v>#REF!</v>
      </c>
      <c r="I20" s="21" t="e">
        <f>'11-1-5,2023'!I24</f>
        <v>#REF!</v>
      </c>
      <c r="J20" s="21">
        <f>'11-1-5,2023'!J24</f>
        <v>0</v>
      </c>
      <c r="K20" s="21">
        <f>'11-1-5,2023'!K24</f>
        <v>0</v>
      </c>
      <c r="L20" s="21">
        <f>'11-1-5,2023'!L24</f>
        <v>0</v>
      </c>
      <c r="M20" s="21">
        <f>'11-1-5,2023'!M24</f>
        <v>0</v>
      </c>
      <c r="N20" s="21" t="e">
        <f>'11-1-5,2023'!N24</f>
        <v>#REF!</v>
      </c>
      <c r="O20" s="21" t="e">
        <f>'11-1-5,2023'!O24</f>
        <v>#REF!</v>
      </c>
      <c r="P20" s="21">
        <f>'11-1-5,2023'!P24</f>
        <v>0</v>
      </c>
      <c r="Q20" s="21">
        <f>'11-1-5,2023'!Q24</f>
        <v>0</v>
      </c>
      <c r="R20" s="21">
        <f>'11-1-5,2023'!R24</f>
        <v>0</v>
      </c>
      <c r="S20" s="21">
        <f>'11-1-5,2023'!S24</f>
        <v>0</v>
      </c>
      <c r="T20" s="21" t="e">
        <f>'11-1-5,2023'!T24</f>
        <v>#REF!</v>
      </c>
      <c r="U20" s="21">
        <f>'11-1-5,2023'!U24</f>
        <v>975</v>
      </c>
      <c r="V20" s="21" t="e">
        <f>'11-1-5,2023'!V24</f>
        <v>#REF!</v>
      </c>
      <c r="W20" s="21">
        <f>'11-1-5,2023'!W24</f>
        <v>2890</v>
      </c>
      <c r="X20" s="21">
        <f>'11-1-5,2023'!X24</f>
        <v>318</v>
      </c>
      <c r="Y20" s="21">
        <f>'11-1-5,2023'!Y24</f>
        <v>4122</v>
      </c>
      <c r="Z20" s="21">
        <f>'11-1-5,2023'!Z24</f>
        <v>6749</v>
      </c>
      <c r="AA20" s="21">
        <f>'11-1-5,2023'!AA24</f>
        <v>4360</v>
      </c>
      <c r="AB20" s="21">
        <f>'11-1-5,2023'!AB24</f>
        <v>4160</v>
      </c>
      <c r="AC20" s="21">
        <f>'11-1-5,2023'!AC24</f>
        <v>300</v>
      </c>
      <c r="AD20" s="21">
        <f>'11-1-5,2023'!AD24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/>
      <c r="G21" s="26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0</v>
      </c>
      <c r="E22" s="34">
        <f t="shared" ref="E22:AD22" si="0">E20+E21</f>
        <v>0</v>
      </c>
      <c r="F22" s="34">
        <f t="shared" si="0"/>
        <v>11736</v>
      </c>
      <c r="G22" s="34">
        <f t="shared" si="0"/>
        <v>8150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2890</v>
      </c>
      <c r="X22" s="34">
        <f t="shared" si="0"/>
        <v>318</v>
      </c>
      <c r="Y22" s="34">
        <f t="shared" si="0"/>
        <v>4122</v>
      </c>
      <c r="Z22" s="34">
        <f t="shared" si="0"/>
        <v>6749</v>
      </c>
      <c r="AA22" s="34">
        <f t="shared" si="0"/>
        <v>4360</v>
      </c>
      <c r="AB22" s="34">
        <f t="shared" si="0"/>
        <v>4160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0</v>
      </c>
      <c r="E23" s="24">
        <f>D23/62*25</f>
        <v>0</v>
      </c>
      <c r="F23" s="22">
        <f>121*36</f>
        <v>4356</v>
      </c>
      <c r="G23" s="26">
        <f>F23/36*25</f>
        <v>3025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230</v>
      </c>
      <c r="X23" s="22">
        <v>62</v>
      </c>
      <c r="Y23" s="22">
        <v>606</v>
      </c>
      <c r="Z23" s="30">
        <v>534</v>
      </c>
      <c r="AA23" s="30">
        <v>750</v>
      </c>
      <c r="AB23" s="30">
        <v>750</v>
      </c>
      <c r="AC23" s="22">
        <v>0</v>
      </c>
      <c r="AD23" s="38"/>
    </row>
    <row r="24" spans="1:32" s="3" customFormat="1" ht="100.5" customHeight="1" thickBot="1" x14ac:dyDescent="0.25">
      <c r="A24" s="39">
        <v>45242</v>
      </c>
      <c r="B24" s="336" t="s">
        <v>28</v>
      </c>
      <c r="C24" s="337"/>
      <c r="D24" s="40">
        <f>D22-D23</f>
        <v>0</v>
      </c>
      <c r="E24" s="42">
        <f t="shared" ref="E24:AC24" si="1">E22-E23</f>
        <v>0</v>
      </c>
      <c r="F24" s="40">
        <f>F22-F23</f>
        <v>7380</v>
      </c>
      <c r="G24" s="40">
        <f t="shared" si="1"/>
        <v>5125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2660</v>
      </c>
      <c r="X24" s="40">
        <f t="shared" si="1"/>
        <v>256</v>
      </c>
      <c r="Y24" s="40">
        <f t="shared" si="1"/>
        <v>3516</v>
      </c>
      <c r="Z24" s="41">
        <f t="shared" si="1"/>
        <v>6215</v>
      </c>
      <c r="AA24" s="41">
        <f t="shared" si="1"/>
        <v>3610</v>
      </c>
      <c r="AB24" s="41">
        <f t="shared" si="1"/>
        <v>3410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theme="0"/>
  </sheetPr>
  <dimension ref="A10:AF47"/>
  <sheetViews>
    <sheetView topLeftCell="A13" zoomScale="78" zoomScaleNormal="78" workbookViewId="0">
      <selection activeCell="AA34" sqref="AA3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0.7109375" style="1" bestFit="1" customWidth="1"/>
    <col min="5" max="5" width="16" style="1" customWidth="1"/>
    <col min="6" max="6" width="15.5703125" style="1" bestFit="1" customWidth="1"/>
    <col min="7" max="7" width="17.425781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74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45243</v>
      </c>
      <c r="B20" s="338" t="s">
        <v>23</v>
      </c>
      <c r="C20" s="339"/>
      <c r="D20" s="21">
        <f>'11-6-12,2023'!D24</f>
        <v>0</v>
      </c>
      <c r="E20" s="21">
        <f>'11-6-12,2023'!E24</f>
        <v>0</v>
      </c>
      <c r="F20" s="21">
        <f>'11-6-12,2023'!F24</f>
        <v>7380</v>
      </c>
      <c r="G20" s="62">
        <f>'11-6-12,2023'!G24</f>
        <v>5125</v>
      </c>
      <c r="H20" s="21" t="e">
        <f>'11-6-12,2023'!H24</f>
        <v>#REF!</v>
      </c>
      <c r="I20" s="21" t="e">
        <f>'11-6-12,2023'!I24</f>
        <v>#REF!</v>
      </c>
      <c r="J20" s="21">
        <f>'11-6-12,2023'!J24</f>
        <v>0</v>
      </c>
      <c r="K20" s="21">
        <f>'11-6-12,2023'!K24</f>
        <v>0</v>
      </c>
      <c r="L20" s="21">
        <f>'11-6-12,2023'!L24</f>
        <v>0</v>
      </c>
      <c r="M20" s="21">
        <f>'11-6-12,2023'!M24</f>
        <v>0</v>
      </c>
      <c r="N20" s="21" t="e">
        <f>'11-6-12,2023'!N24</f>
        <v>#REF!</v>
      </c>
      <c r="O20" s="21" t="e">
        <f>'11-6-12,2023'!O24</f>
        <v>#REF!</v>
      </c>
      <c r="P20" s="21">
        <f>'11-6-12,2023'!P24</f>
        <v>0</v>
      </c>
      <c r="Q20" s="21">
        <f>'11-6-12,2023'!Q24</f>
        <v>0</v>
      </c>
      <c r="R20" s="21">
        <f>'11-6-12,2023'!R24</f>
        <v>0</v>
      </c>
      <c r="S20" s="21">
        <f>'11-6-12,2023'!S24</f>
        <v>0</v>
      </c>
      <c r="T20" s="21" t="e">
        <f>'11-6-12,2023'!T24</f>
        <v>#REF!</v>
      </c>
      <c r="U20" s="21">
        <f>'11-6-12,2023'!U24</f>
        <v>975</v>
      </c>
      <c r="V20" s="21" t="e">
        <f>'11-6-12,2023'!V24</f>
        <v>#REF!</v>
      </c>
      <c r="W20" s="21">
        <f>'11-6-12,2023'!W24</f>
        <v>2660</v>
      </c>
      <c r="X20" s="21">
        <f>'11-6-12,2023'!X24</f>
        <v>256</v>
      </c>
      <c r="Y20" s="21">
        <f>'11-6-12,2023'!Y24</f>
        <v>3516</v>
      </c>
      <c r="Z20" s="21">
        <f>'11-6-12,2023'!Z24</f>
        <v>6215</v>
      </c>
      <c r="AA20" s="21">
        <f>'11-6-12,2023'!AA24</f>
        <v>3610</v>
      </c>
      <c r="AB20" s="21">
        <f>'11-6-12,2023'!AB24</f>
        <v>3410</v>
      </c>
      <c r="AC20" s="21">
        <f>'11-6-12,2023'!AC24</f>
        <v>300</v>
      </c>
      <c r="AD20" s="21">
        <f>'11-6-12,2023'!AD24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22"/>
      <c r="F21" s="23"/>
      <c r="G21" s="26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0</v>
      </c>
      <c r="E22" s="34">
        <f t="shared" ref="E22:AD22" si="0">E20+E21</f>
        <v>0</v>
      </c>
      <c r="F22" s="34">
        <f t="shared" si="0"/>
        <v>7380</v>
      </c>
      <c r="G22" s="34">
        <f t="shared" si="0"/>
        <v>5125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2660</v>
      </c>
      <c r="X22" s="34">
        <f t="shared" si="0"/>
        <v>256</v>
      </c>
      <c r="Y22" s="34">
        <f t="shared" si="0"/>
        <v>3516</v>
      </c>
      <c r="Z22" s="34">
        <f t="shared" si="0"/>
        <v>6215</v>
      </c>
      <c r="AA22" s="34">
        <f t="shared" si="0"/>
        <v>3610</v>
      </c>
      <c r="AB22" s="34">
        <f t="shared" si="0"/>
        <v>3410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35">
        <v>0</v>
      </c>
      <c r="E23" s="24">
        <f>D23/62*25</f>
        <v>0</v>
      </c>
      <c r="F23" s="22">
        <f>118*36</f>
        <v>4248</v>
      </c>
      <c r="G23" s="26">
        <f>F23/36*25</f>
        <v>2950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180</v>
      </c>
      <c r="X23" s="22">
        <v>51</v>
      </c>
      <c r="Y23" s="22">
        <v>580</v>
      </c>
      <c r="Z23" s="30">
        <v>516</v>
      </c>
      <c r="AA23" s="30">
        <v>680</v>
      </c>
      <c r="AB23" s="30">
        <v>400</v>
      </c>
      <c r="AC23" s="22">
        <v>0</v>
      </c>
      <c r="AD23" s="38"/>
    </row>
    <row r="24" spans="1:32" s="3" customFormat="1" ht="100.5" customHeight="1" thickBot="1" x14ac:dyDescent="0.25">
      <c r="A24" s="39">
        <v>45249</v>
      </c>
      <c r="B24" s="336" t="s">
        <v>28</v>
      </c>
      <c r="C24" s="337"/>
      <c r="D24" s="40">
        <f>D22-D23</f>
        <v>0</v>
      </c>
      <c r="E24" s="42">
        <f t="shared" ref="E24:AC24" si="1">E22-E23</f>
        <v>0</v>
      </c>
      <c r="F24" s="40">
        <f>F22-F23</f>
        <v>3132</v>
      </c>
      <c r="G24" s="40">
        <f t="shared" si="1"/>
        <v>2175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2480</v>
      </c>
      <c r="X24" s="40">
        <f t="shared" si="1"/>
        <v>205</v>
      </c>
      <c r="Y24" s="40">
        <f t="shared" si="1"/>
        <v>2936</v>
      </c>
      <c r="Z24" s="41">
        <f t="shared" si="1"/>
        <v>5699</v>
      </c>
      <c r="AA24" s="41">
        <f t="shared" si="1"/>
        <v>2930</v>
      </c>
      <c r="AB24" s="41">
        <f t="shared" si="1"/>
        <v>3010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theme="0"/>
  </sheetPr>
  <dimension ref="A10:AF47"/>
  <sheetViews>
    <sheetView topLeftCell="A13" zoomScale="78" zoomScaleNormal="78" workbookViewId="0">
      <selection activeCell="D21" sqref="D21:AD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2.7109375" style="1" customWidth="1"/>
    <col min="4" max="4" width="10.7109375" style="1" bestFit="1" customWidth="1"/>
    <col min="5" max="5" width="16" style="1" customWidth="1"/>
    <col min="6" max="6" width="15.5703125" style="1" bestFit="1" customWidth="1"/>
    <col min="7" max="7" width="17.42578125" style="1" bestFit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75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45250</v>
      </c>
      <c r="B20" s="338" t="s">
        <v>23</v>
      </c>
      <c r="C20" s="339"/>
      <c r="D20" s="21">
        <f>'11-13-19,2023'!D24</f>
        <v>0</v>
      </c>
      <c r="E20" s="21">
        <f>'11-13-19,2023'!E24</f>
        <v>0</v>
      </c>
      <c r="F20" s="62">
        <f>'11-13-19,2023'!F24-288</f>
        <v>2844</v>
      </c>
      <c r="G20" s="21">
        <f>'11-13-19,2023'!G24-200</f>
        <v>1975</v>
      </c>
      <c r="H20" s="21" t="e">
        <f>'11-13-19,2023'!H24</f>
        <v>#REF!</v>
      </c>
      <c r="I20" s="21" t="e">
        <f>'11-13-19,2023'!I24</f>
        <v>#REF!</v>
      </c>
      <c r="J20" s="21">
        <f>'11-13-19,2023'!J24</f>
        <v>0</v>
      </c>
      <c r="K20" s="21">
        <f>'11-13-19,2023'!K24</f>
        <v>0</v>
      </c>
      <c r="L20" s="21">
        <f>'11-13-19,2023'!L24</f>
        <v>0</v>
      </c>
      <c r="M20" s="21">
        <f>'11-13-19,2023'!M24</f>
        <v>0</v>
      </c>
      <c r="N20" s="21" t="e">
        <f>'11-13-19,2023'!N24</f>
        <v>#REF!</v>
      </c>
      <c r="O20" s="21" t="e">
        <f>'11-13-19,2023'!O24</f>
        <v>#REF!</v>
      </c>
      <c r="P20" s="21">
        <f>'11-13-19,2023'!P24</f>
        <v>0</v>
      </c>
      <c r="Q20" s="21">
        <f>'11-13-19,2023'!Q24</f>
        <v>0</v>
      </c>
      <c r="R20" s="21">
        <f>'11-13-19,2023'!R24</f>
        <v>0</v>
      </c>
      <c r="S20" s="21">
        <f>'11-13-19,2023'!S24</f>
        <v>0</v>
      </c>
      <c r="T20" s="21" t="e">
        <f>'11-13-19,2023'!T24</f>
        <v>#REF!</v>
      </c>
      <c r="U20" s="21">
        <f>'11-13-19,2023'!U24</f>
        <v>975</v>
      </c>
      <c r="V20" s="21" t="e">
        <f>'11-13-19,2023'!V24</f>
        <v>#REF!</v>
      </c>
      <c r="W20" s="21">
        <f>'11-13-19,2023'!W24-20</f>
        <v>2460</v>
      </c>
      <c r="X20" s="21">
        <f>'11-13-19,2023'!X24-5</f>
        <v>200</v>
      </c>
      <c r="Y20" s="21">
        <f>'11-13-19,2023'!Y24-36</f>
        <v>2900</v>
      </c>
      <c r="Z20" s="21">
        <f>'11-13-19,2023'!Z24-45</f>
        <v>5654</v>
      </c>
      <c r="AA20" s="21">
        <f>'11-13-19,2023'!AA24-70</f>
        <v>2860</v>
      </c>
      <c r="AB20" s="21">
        <f>'11-13-19,2023'!AB24-50</f>
        <v>2960</v>
      </c>
      <c r="AC20" s="21">
        <f>'11-13-19,2023'!AC24</f>
        <v>300</v>
      </c>
      <c r="AD20" s="21">
        <f>'11-13-19,2023'!AD24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>
        <f>390*62</f>
        <v>24180</v>
      </c>
      <c r="E21" s="24">
        <f>D21/62*25</f>
        <v>9750</v>
      </c>
      <c r="F21" s="25">
        <f>10*36</f>
        <v>360</v>
      </c>
      <c r="G21" s="24">
        <f>F21/36*25</f>
        <v>250</v>
      </c>
      <c r="H21" s="23"/>
      <c r="I21" s="23"/>
      <c r="J21" s="30"/>
      <c r="K21" s="26"/>
      <c r="L21" s="30"/>
      <c r="M21" s="26"/>
      <c r="N21" s="30"/>
      <c r="O21" s="26"/>
      <c r="P21" s="23">
        <v>0</v>
      </c>
      <c r="Q21" s="26">
        <f>P21/91*25</f>
        <v>0</v>
      </c>
      <c r="R21" s="23"/>
      <c r="S21" s="26"/>
      <c r="T21" s="23"/>
      <c r="U21" s="23">
        <v>0</v>
      </c>
      <c r="V21" s="23"/>
      <c r="W21" s="23">
        <v>0</v>
      </c>
      <c r="X21" s="23">
        <v>200</v>
      </c>
      <c r="Y21" s="23">
        <v>1200</v>
      </c>
      <c r="Z21" s="23">
        <v>0</v>
      </c>
      <c r="AA21" s="31">
        <v>3000</v>
      </c>
      <c r="AB21" s="31">
        <v>1500</v>
      </c>
      <c r="AC21" s="23">
        <v>0</v>
      </c>
      <c r="AD21" s="32">
        <v>0</v>
      </c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24180</v>
      </c>
      <c r="E22" s="34">
        <f t="shared" ref="E22:AD22" si="0">E20+E21</f>
        <v>9750</v>
      </c>
      <c r="F22" s="34">
        <f>F20+F21</f>
        <v>3204</v>
      </c>
      <c r="G22" s="34">
        <f t="shared" si="0"/>
        <v>2225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2460</v>
      </c>
      <c r="X22" s="34">
        <f t="shared" si="0"/>
        <v>400</v>
      </c>
      <c r="Y22" s="34">
        <f t="shared" si="0"/>
        <v>4100</v>
      </c>
      <c r="Z22" s="34">
        <f t="shared" si="0"/>
        <v>5654</v>
      </c>
      <c r="AA22" s="34">
        <f t="shared" si="0"/>
        <v>5860</v>
      </c>
      <c r="AB22" s="34">
        <f t="shared" si="0"/>
        <v>4460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23">
        <f>30*62</f>
        <v>1860</v>
      </c>
      <c r="E23" s="24">
        <f>D23/62*25</f>
        <v>750</v>
      </c>
      <c r="F23" s="22">
        <f>89*36</f>
        <v>3204</v>
      </c>
      <c r="G23" s="26">
        <f>F23/36*25</f>
        <v>2225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180</v>
      </c>
      <c r="X23" s="22">
        <v>45</v>
      </c>
      <c r="Y23" s="22">
        <v>501</v>
      </c>
      <c r="Z23" s="30">
        <v>586</v>
      </c>
      <c r="AA23" s="30">
        <v>790</v>
      </c>
      <c r="AB23" s="30">
        <v>600</v>
      </c>
      <c r="AC23" s="22">
        <v>0</v>
      </c>
      <c r="AD23" s="38"/>
    </row>
    <row r="24" spans="1:32" s="3" customFormat="1" ht="100.5" customHeight="1" thickBot="1" x14ac:dyDescent="0.25">
      <c r="A24" s="39">
        <v>45256</v>
      </c>
      <c r="B24" s="336" t="s">
        <v>28</v>
      </c>
      <c r="C24" s="337"/>
      <c r="D24" s="40">
        <f>D22-D23</f>
        <v>22320</v>
      </c>
      <c r="E24" s="42">
        <f t="shared" ref="E24:AC24" si="1">E22-E23</f>
        <v>9000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2280</v>
      </c>
      <c r="X24" s="40">
        <f t="shared" si="1"/>
        <v>355</v>
      </c>
      <c r="Y24" s="40">
        <f t="shared" si="1"/>
        <v>3599</v>
      </c>
      <c r="Z24" s="41">
        <f t="shared" si="1"/>
        <v>5068</v>
      </c>
      <c r="AA24" s="41">
        <f t="shared" si="1"/>
        <v>5070</v>
      </c>
      <c r="AB24" s="41">
        <f t="shared" si="1"/>
        <v>3860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theme="0"/>
  </sheetPr>
  <dimension ref="A10:AF47"/>
  <sheetViews>
    <sheetView topLeftCell="A7" zoomScale="78" zoomScaleNormal="78" workbookViewId="0">
      <selection activeCell="F24" sqref="F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4.140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76" t="s">
        <v>13</v>
      </c>
    </row>
    <row r="17" spans="1:3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3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3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32" ht="68.25" customHeight="1" x14ac:dyDescent="0.3">
      <c r="A20" s="56">
        <v>45257</v>
      </c>
      <c r="B20" s="338" t="s">
        <v>23</v>
      </c>
      <c r="C20" s="339"/>
      <c r="D20" s="21">
        <f>302*62</f>
        <v>18724</v>
      </c>
      <c r="E20" s="21">
        <f>'11-20-26,2023'!E24</f>
        <v>9000</v>
      </c>
      <c r="F20" s="21">
        <f>'11-20-26,2023'!F24</f>
        <v>0</v>
      </c>
      <c r="G20" s="21">
        <f>'11-20-26,2023'!G24</f>
        <v>0</v>
      </c>
      <c r="H20" s="21" t="e">
        <f>'11-20-26,2023'!H24</f>
        <v>#REF!</v>
      </c>
      <c r="I20" s="21" t="e">
        <f>'11-20-26,2023'!I24</f>
        <v>#REF!</v>
      </c>
      <c r="J20" s="21">
        <f>'11-20-26,2023'!J24</f>
        <v>0</v>
      </c>
      <c r="K20" s="21">
        <f>'11-20-26,2023'!K24</f>
        <v>0</v>
      </c>
      <c r="L20" s="21">
        <f>'11-20-26,2023'!L24</f>
        <v>0</v>
      </c>
      <c r="M20" s="21">
        <f>'11-20-26,2023'!M24</f>
        <v>0</v>
      </c>
      <c r="N20" s="21" t="e">
        <f>'11-20-26,2023'!N24</f>
        <v>#REF!</v>
      </c>
      <c r="O20" s="21" t="e">
        <f>'11-20-26,2023'!O24</f>
        <v>#REF!</v>
      </c>
      <c r="P20" s="21">
        <f>'11-20-26,2023'!P24</f>
        <v>0</v>
      </c>
      <c r="Q20" s="21">
        <f>'11-20-26,2023'!Q24</f>
        <v>0</v>
      </c>
      <c r="R20" s="21">
        <f>'11-20-26,2023'!R24</f>
        <v>0</v>
      </c>
      <c r="S20" s="21">
        <f>'11-20-26,2023'!S24</f>
        <v>0</v>
      </c>
      <c r="T20" s="21" t="e">
        <f>'11-20-26,2023'!T24</f>
        <v>#REF!</v>
      </c>
      <c r="U20" s="21">
        <f>'11-20-26,2023'!U24</f>
        <v>975</v>
      </c>
      <c r="V20" s="21" t="e">
        <f>'11-20-26,2023'!V24</f>
        <v>#REF!</v>
      </c>
      <c r="W20" s="21">
        <f>'11-20-26,2023'!W24</f>
        <v>2280</v>
      </c>
      <c r="X20" s="21">
        <f>'11-20-26,2023'!X24</f>
        <v>355</v>
      </c>
      <c r="Y20" s="21">
        <f>'11-20-26,2023'!Y24</f>
        <v>3599</v>
      </c>
      <c r="Z20" s="21">
        <f>'11-20-26,2023'!Z24</f>
        <v>5068</v>
      </c>
      <c r="AA20" s="21">
        <f>'11-20-26,2023'!AA24</f>
        <v>5070</v>
      </c>
      <c r="AB20" s="21">
        <f>'11-20-26,2023'!AB24</f>
        <v>3860</v>
      </c>
      <c r="AC20" s="21">
        <f>'11-20-26,2023'!AC24</f>
        <v>300</v>
      </c>
      <c r="AD20" s="21">
        <f>'11-20-26,2023'!AD24</f>
        <v>96</v>
      </c>
      <c r="AE20" s="28"/>
    </row>
    <row r="21" spans="1:32" ht="48" customHeight="1" x14ac:dyDescent="0.3">
      <c r="A21" s="340" t="s">
        <v>25</v>
      </c>
      <c r="B21" s="341"/>
      <c r="C21" s="342"/>
      <c r="D21" s="23"/>
      <c r="E21" s="79"/>
      <c r="F21" s="25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32" ht="54" customHeight="1" x14ac:dyDescent="0.3">
      <c r="A22" s="343" t="s">
        <v>26</v>
      </c>
      <c r="B22" s="344"/>
      <c r="C22" s="345"/>
      <c r="D22" s="34">
        <f>D20+D21</f>
        <v>18724</v>
      </c>
      <c r="E22" s="80">
        <f t="shared" ref="E22:AD22" si="0">E20+E21</f>
        <v>9000</v>
      </c>
      <c r="F22" s="34">
        <f>F20+F21</f>
        <v>0</v>
      </c>
      <c r="G22" s="34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2280</v>
      </c>
      <c r="X22" s="34">
        <f t="shared" si="0"/>
        <v>355</v>
      </c>
      <c r="Y22" s="34">
        <f t="shared" si="0"/>
        <v>3599</v>
      </c>
      <c r="Z22" s="34">
        <f t="shared" si="0"/>
        <v>5068</v>
      </c>
      <c r="AA22" s="34">
        <f t="shared" si="0"/>
        <v>5070</v>
      </c>
      <c r="AB22" s="34">
        <f t="shared" si="0"/>
        <v>3860</v>
      </c>
      <c r="AC22" s="34">
        <f t="shared" si="0"/>
        <v>300</v>
      </c>
      <c r="AD22" s="34">
        <f t="shared" si="0"/>
        <v>96</v>
      </c>
    </row>
    <row r="23" spans="1:32" ht="75.75" customHeight="1" x14ac:dyDescent="0.3">
      <c r="A23" s="346" t="s">
        <v>27</v>
      </c>
      <c r="B23" s="347"/>
      <c r="C23" s="348"/>
      <c r="D23" s="23">
        <f>87*62</f>
        <v>5394</v>
      </c>
      <c r="E23" s="24">
        <f>D23/62*25</f>
        <v>2175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188</v>
      </c>
      <c r="X23" s="22">
        <v>49</v>
      </c>
      <c r="Y23" s="22">
        <v>324</v>
      </c>
      <c r="Z23" s="30">
        <v>150</v>
      </c>
      <c r="AA23" s="30">
        <v>640</v>
      </c>
      <c r="AB23" s="30">
        <v>450</v>
      </c>
      <c r="AC23" s="22">
        <v>0</v>
      </c>
      <c r="AD23" s="38"/>
    </row>
    <row r="24" spans="1:32" s="3" customFormat="1" ht="100.5" customHeight="1" thickBot="1" x14ac:dyDescent="0.25">
      <c r="A24" s="39">
        <v>45263</v>
      </c>
      <c r="B24" s="336" t="s">
        <v>28</v>
      </c>
      <c r="C24" s="337"/>
      <c r="D24" s="40">
        <f>D22-D23</f>
        <v>13330</v>
      </c>
      <c r="E24" s="42">
        <f t="shared" ref="E24:AC24" si="1">E22-E23</f>
        <v>6825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2092</v>
      </c>
      <c r="X24" s="40">
        <f t="shared" si="1"/>
        <v>306</v>
      </c>
      <c r="Y24" s="40">
        <f t="shared" si="1"/>
        <v>3275</v>
      </c>
      <c r="Z24" s="41">
        <f t="shared" si="1"/>
        <v>4918</v>
      </c>
      <c r="AA24" s="41">
        <f t="shared" si="1"/>
        <v>4430</v>
      </c>
      <c r="AB24" s="41">
        <f t="shared" si="1"/>
        <v>3410</v>
      </c>
      <c r="AC24" s="40">
        <f t="shared" si="1"/>
        <v>300</v>
      </c>
      <c r="AD24" s="44">
        <f>AD22-AD23</f>
        <v>96</v>
      </c>
    </row>
    <row r="25" spans="1:3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3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3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3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3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3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52"/>
      <c r="AD32" s="5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>
    <tabColor theme="0"/>
  </sheetPr>
  <dimension ref="A10:AP47"/>
  <sheetViews>
    <sheetView topLeftCell="A10" zoomScale="78" zoomScaleNormal="78" workbookViewId="0">
      <selection activeCell="A25" sqref="A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78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45264</v>
      </c>
      <c r="B20" s="338" t="s">
        <v>23</v>
      </c>
      <c r="C20" s="339"/>
      <c r="D20" s="21">
        <f>'11-26-12-3,2023'!D24+3782</f>
        <v>17112</v>
      </c>
      <c r="E20" s="63">
        <f>'11-26-12-3,2023'!E24</f>
        <v>6825</v>
      </c>
      <c r="F20" s="21">
        <f>'11-26-12-3,2023'!F24</f>
        <v>0</v>
      </c>
      <c r="G20" s="21">
        <f>'11-26-12-3,2023'!G24</f>
        <v>0</v>
      </c>
      <c r="H20" s="21" t="e">
        <f>'11-26-12-3,2023'!H24</f>
        <v>#REF!</v>
      </c>
      <c r="I20" s="21" t="e">
        <f>'11-26-12-3,2023'!I24</f>
        <v>#REF!</v>
      </c>
      <c r="J20" s="21">
        <f>'11-26-12-3,2023'!J24</f>
        <v>0</v>
      </c>
      <c r="K20" s="21">
        <f>'11-26-12-3,2023'!K24</f>
        <v>0</v>
      </c>
      <c r="L20" s="21">
        <f>'11-26-12-3,2023'!L24</f>
        <v>0</v>
      </c>
      <c r="M20" s="21">
        <f>'11-26-12-3,2023'!M24</f>
        <v>0</v>
      </c>
      <c r="N20" s="21" t="e">
        <f>'11-26-12-3,2023'!N24</f>
        <v>#REF!</v>
      </c>
      <c r="O20" s="21" t="e">
        <f>'11-26-12-3,2023'!O24</f>
        <v>#REF!</v>
      </c>
      <c r="P20" s="21">
        <f>'11-26-12-3,2023'!P24</f>
        <v>0</v>
      </c>
      <c r="Q20" s="21">
        <f>'11-26-12-3,2023'!Q24</f>
        <v>0</v>
      </c>
      <c r="R20" s="21">
        <f>'11-26-12-3,2023'!R24</f>
        <v>0</v>
      </c>
      <c r="S20" s="21">
        <f>'11-26-12-3,2023'!S24</f>
        <v>0</v>
      </c>
      <c r="T20" s="21" t="e">
        <f>'11-26-12-3,2023'!T24</f>
        <v>#REF!</v>
      </c>
      <c r="U20" s="21">
        <f>'11-26-12-3,2023'!U24</f>
        <v>975</v>
      </c>
      <c r="V20" s="21" t="e">
        <f>'11-26-12-3,2023'!V24</f>
        <v>#REF!</v>
      </c>
      <c r="W20" s="62">
        <f>'11-26-12-3,2023'!W24</f>
        <v>2092</v>
      </c>
      <c r="X20" s="21">
        <f>'11-26-12-3,2023'!X24</f>
        <v>306</v>
      </c>
      <c r="Y20" s="21">
        <f>'11-26-12-3,2023'!Y24</f>
        <v>3275</v>
      </c>
      <c r="Z20" s="21">
        <f>'11-26-12-3,2023'!Z24</f>
        <v>4918</v>
      </c>
      <c r="AA20" s="21">
        <f>'11-26-12-3,2023'!AA24</f>
        <v>4430</v>
      </c>
      <c r="AB20" s="21">
        <f>'11-26-12-3,2023'!AB24</f>
        <v>3410</v>
      </c>
      <c r="AC20" s="21">
        <f>'11-26-12-3,2023'!AC24</f>
        <v>300</v>
      </c>
      <c r="AD20" s="21">
        <f>'11-26-12-3,2023'!AD24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79"/>
      <c r="F21" s="25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17112</v>
      </c>
      <c r="E22" s="80">
        <f t="shared" ref="E22:AD22" si="0">E20+E21</f>
        <v>6825</v>
      </c>
      <c r="F22" s="34">
        <f>F20+F21</f>
        <v>0</v>
      </c>
      <c r="G22" s="34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2092</v>
      </c>
      <c r="X22" s="34">
        <f t="shared" si="0"/>
        <v>306</v>
      </c>
      <c r="Y22" s="34">
        <f t="shared" si="0"/>
        <v>3275</v>
      </c>
      <c r="Z22" s="34">
        <f t="shared" si="0"/>
        <v>4918</v>
      </c>
      <c r="AA22" s="34">
        <f t="shared" si="0"/>
        <v>4430</v>
      </c>
      <c r="AB22" s="34">
        <f t="shared" si="0"/>
        <v>3410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87*62</f>
        <v>5394</v>
      </c>
      <c r="E23" s="24">
        <f>D23/62*25</f>
        <v>2175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160</v>
      </c>
      <c r="X23" s="22">
        <v>40</v>
      </c>
      <c r="Y23" s="22">
        <v>332</v>
      </c>
      <c r="Z23" s="30">
        <v>395</v>
      </c>
      <c r="AA23" s="30">
        <v>600</v>
      </c>
      <c r="AB23" s="30">
        <v>400</v>
      </c>
      <c r="AC23" s="22">
        <v>0</v>
      </c>
      <c r="AD23" s="38"/>
    </row>
    <row r="24" spans="1:42" s="3" customFormat="1" ht="100.5" customHeight="1" thickBot="1" x14ac:dyDescent="0.25">
      <c r="A24" s="39">
        <v>45270</v>
      </c>
      <c r="B24" s="336" t="s">
        <v>28</v>
      </c>
      <c r="C24" s="337"/>
      <c r="D24" s="40">
        <f>D22-D23</f>
        <v>11718</v>
      </c>
      <c r="E24" s="42">
        <f t="shared" ref="E24:AC24" si="1">E22-E23</f>
        <v>4650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1932</v>
      </c>
      <c r="X24" s="40">
        <f t="shared" si="1"/>
        <v>266</v>
      </c>
      <c r="Y24" s="40">
        <f t="shared" si="1"/>
        <v>2943</v>
      </c>
      <c r="Z24" s="41">
        <f t="shared" si="1"/>
        <v>4523</v>
      </c>
      <c r="AA24" s="41">
        <f t="shared" si="1"/>
        <v>3830</v>
      </c>
      <c r="AB24" s="41">
        <f t="shared" si="1"/>
        <v>3010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>
    <tabColor theme="0"/>
  </sheetPr>
  <dimension ref="A10:AP47"/>
  <sheetViews>
    <sheetView topLeftCell="A10" zoomScale="78" zoomScaleNormal="78" workbookViewId="0">
      <selection activeCell="D21" sqref="D21:AD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81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45271</v>
      </c>
      <c r="B20" s="338" t="s">
        <v>23</v>
      </c>
      <c r="C20" s="339"/>
      <c r="D20" s="21">
        <f>'12-4-10,2023'!D24</f>
        <v>11718</v>
      </c>
      <c r="E20" s="63">
        <f>'12-4-10,2023'!E24</f>
        <v>4650</v>
      </c>
      <c r="F20" s="21">
        <f>'12-4-10,2023'!F24</f>
        <v>0</v>
      </c>
      <c r="G20" s="21">
        <f>'12-4-10,2023'!G24</f>
        <v>0</v>
      </c>
      <c r="H20" s="21" t="e">
        <f>'12-4-10,2023'!H24</f>
        <v>#REF!</v>
      </c>
      <c r="I20" s="21" t="e">
        <f>'12-4-10,2023'!I24</f>
        <v>#REF!</v>
      </c>
      <c r="J20" s="21">
        <f>'12-4-10,2023'!J24</f>
        <v>0</v>
      </c>
      <c r="K20" s="21">
        <f>'12-4-10,2023'!K24</f>
        <v>0</v>
      </c>
      <c r="L20" s="21">
        <f>'12-4-10,2023'!L24</f>
        <v>0</v>
      </c>
      <c r="M20" s="21">
        <f>'12-4-10,2023'!M24</f>
        <v>0</v>
      </c>
      <c r="N20" s="21" t="e">
        <f>'12-4-10,2023'!N24</f>
        <v>#REF!</v>
      </c>
      <c r="O20" s="21" t="e">
        <f>'12-4-10,2023'!O24</f>
        <v>#REF!</v>
      </c>
      <c r="P20" s="21">
        <f>'12-4-10,2023'!P24</f>
        <v>0</v>
      </c>
      <c r="Q20" s="21">
        <f>'12-4-10,2023'!Q24</f>
        <v>0</v>
      </c>
      <c r="R20" s="21">
        <f>'12-4-10,2023'!R24</f>
        <v>0</v>
      </c>
      <c r="S20" s="21">
        <f>'12-4-10,2023'!S24</f>
        <v>0</v>
      </c>
      <c r="T20" s="21" t="e">
        <f>'12-4-10,2023'!T24</f>
        <v>#REF!</v>
      </c>
      <c r="U20" s="21">
        <f>'12-4-10,2023'!U24</f>
        <v>975</v>
      </c>
      <c r="V20" s="21" t="e">
        <f>'12-4-10,2023'!V24</f>
        <v>#REF!</v>
      </c>
      <c r="W20" s="21">
        <f>'12-4-10,2023'!W24</f>
        <v>1932</v>
      </c>
      <c r="X20" s="21">
        <f>'12-4-10,2023'!X24</f>
        <v>266</v>
      </c>
      <c r="Y20" s="21">
        <f>'12-4-10,2023'!Y24</f>
        <v>2943</v>
      </c>
      <c r="Z20" s="21">
        <f>'12-4-10,2023'!Z24</f>
        <v>4523</v>
      </c>
      <c r="AA20" s="21">
        <f>'12-4-10,2023'!AA24</f>
        <v>3830</v>
      </c>
      <c r="AB20" s="21">
        <f>'12-4-10,2023'!AB24</f>
        <v>3010</v>
      </c>
      <c r="AC20" s="21">
        <f>'12-4-10,2023'!AC24</f>
        <v>300</v>
      </c>
      <c r="AD20" s="21">
        <f>'12-4-10,2023'!AD24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>
        <f>350*62</f>
        <v>21700</v>
      </c>
      <c r="E21" s="24">
        <f>D21/62*25</f>
        <v>8750</v>
      </c>
      <c r="F21" s="25">
        <v>0</v>
      </c>
      <c r="G21" s="24">
        <v>0</v>
      </c>
      <c r="H21" s="23"/>
      <c r="I21" s="23"/>
      <c r="J21" s="30"/>
      <c r="K21" s="26"/>
      <c r="L21" s="30"/>
      <c r="M21" s="26"/>
      <c r="N21" s="30"/>
      <c r="O21" s="26"/>
      <c r="P21" s="23">
        <v>0</v>
      </c>
      <c r="Q21" s="26">
        <f>P21/91*25</f>
        <v>0</v>
      </c>
      <c r="R21" s="23"/>
      <c r="S21" s="26"/>
      <c r="T21" s="23"/>
      <c r="U21" s="23">
        <v>0</v>
      </c>
      <c r="V21" s="23"/>
      <c r="W21" s="23">
        <v>1000</v>
      </c>
      <c r="X21" s="23">
        <v>200</v>
      </c>
      <c r="Y21" s="23">
        <v>2480</v>
      </c>
      <c r="Z21" s="23">
        <v>3300</v>
      </c>
      <c r="AA21" s="31">
        <v>3000</v>
      </c>
      <c r="AB21" s="31">
        <v>0</v>
      </c>
      <c r="AC21" s="23">
        <v>0</v>
      </c>
      <c r="AD21" s="32">
        <v>0</v>
      </c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33418</v>
      </c>
      <c r="E22" s="80">
        <f t="shared" ref="E22:AD22" si="0">E20+E21</f>
        <v>13400</v>
      </c>
      <c r="F22" s="34">
        <f>F20+F21</f>
        <v>0</v>
      </c>
      <c r="G22" s="34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2932</v>
      </c>
      <c r="X22" s="34">
        <f t="shared" si="0"/>
        <v>466</v>
      </c>
      <c r="Y22" s="34">
        <f t="shared" si="0"/>
        <v>5423</v>
      </c>
      <c r="Z22" s="34">
        <f t="shared" si="0"/>
        <v>7823</v>
      </c>
      <c r="AA22" s="34">
        <f t="shared" si="0"/>
        <v>6830</v>
      </c>
      <c r="AB22" s="34">
        <f t="shared" si="0"/>
        <v>3010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104*62</f>
        <v>6448</v>
      </c>
      <c r="E23" s="24">
        <f>D23/62*25</f>
        <v>2600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151</v>
      </c>
      <c r="X23" s="22">
        <v>47</v>
      </c>
      <c r="Y23" s="22">
        <v>342</v>
      </c>
      <c r="Z23" s="30">
        <v>472</v>
      </c>
      <c r="AA23" s="30">
        <v>580</v>
      </c>
      <c r="AB23" s="30">
        <v>400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45277</v>
      </c>
      <c r="B24" s="336" t="s">
        <v>28</v>
      </c>
      <c r="C24" s="337"/>
      <c r="D24" s="40">
        <f>D22-D23</f>
        <v>26970</v>
      </c>
      <c r="E24" s="42">
        <f t="shared" ref="E24:AC24" si="1">E22-E23</f>
        <v>10800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2781</v>
      </c>
      <c r="X24" s="40">
        <f t="shared" si="1"/>
        <v>419</v>
      </c>
      <c r="Y24" s="40">
        <f t="shared" si="1"/>
        <v>5081</v>
      </c>
      <c r="Z24" s="41">
        <f t="shared" si="1"/>
        <v>7351</v>
      </c>
      <c r="AA24" s="41">
        <f t="shared" si="1"/>
        <v>6250</v>
      </c>
      <c r="AB24" s="41">
        <f t="shared" si="1"/>
        <v>2610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>
    <tabColor theme="0"/>
  </sheetPr>
  <dimension ref="A10:AP47"/>
  <sheetViews>
    <sheetView topLeftCell="A10" zoomScale="78" zoomScaleNormal="78" workbookViewId="0">
      <selection activeCell="Q28" sqref="Q28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89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45278</v>
      </c>
      <c r="B20" s="338" t="s">
        <v>23</v>
      </c>
      <c r="C20" s="339"/>
      <c r="D20" s="21">
        <f>'12-11-17,2023'!D24</f>
        <v>26970</v>
      </c>
      <c r="E20" s="62">
        <f>'12-11-17,2023'!E24</f>
        <v>10800</v>
      </c>
      <c r="F20" s="21">
        <f>'12-11-17,2023'!F24</f>
        <v>0</v>
      </c>
      <c r="G20" s="21">
        <f>'12-11-17,2023'!G24</f>
        <v>0</v>
      </c>
      <c r="H20" s="21" t="e">
        <f>'12-11-17,2023'!H24</f>
        <v>#REF!</v>
      </c>
      <c r="I20" s="21" t="e">
        <f>'12-11-17,2023'!I24</f>
        <v>#REF!</v>
      </c>
      <c r="J20" s="21">
        <f>'12-11-17,2023'!J24</f>
        <v>0</v>
      </c>
      <c r="K20" s="21">
        <f>'12-11-17,2023'!K24</f>
        <v>0</v>
      </c>
      <c r="L20" s="21">
        <f>'12-11-17,2023'!L24</f>
        <v>0</v>
      </c>
      <c r="M20" s="21">
        <f>'12-11-17,2023'!M24</f>
        <v>0</v>
      </c>
      <c r="N20" s="21" t="e">
        <f>'12-11-17,2023'!N24</f>
        <v>#REF!</v>
      </c>
      <c r="O20" s="21" t="e">
        <f>'12-11-17,2023'!O24</f>
        <v>#REF!</v>
      </c>
      <c r="P20" s="21">
        <f>'12-11-17,2023'!P24</f>
        <v>0</v>
      </c>
      <c r="Q20" s="21">
        <f>'12-11-17,2023'!Q24</f>
        <v>0</v>
      </c>
      <c r="R20" s="21">
        <f>'12-11-17,2023'!R24</f>
        <v>0</v>
      </c>
      <c r="S20" s="21">
        <f>'12-11-17,2023'!S24</f>
        <v>0</v>
      </c>
      <c r="T20" s="21" t="e">
        <f>'12-11-17,2023'!T24</f>
        <v>#REF!</v>
      </c>
      <c r="U20" s="21">
        <f>'12-11-17,2023'!U24</f>
        <v>975</v>
      </c>
      <c r="V20" s="21" t="e">
        <f>'12-11-17,2023'!V24</f>
        <v>#REF!</v>
      </c>
      <c r="W20" s="21">
        <f>'12-11-17,2023'!W24</f>
        <v>2781</v>
      </c>
      <c r="X20" s="21">
        <f>'12-11-17,2023'!X24</f>
        <v>419</v>
      </c>
      <c r="Y20" s="21">
        <f>'12-11-17,2023'!Y24</f>
        <v>5081</v>
      </c>
      <c r="Z20" s="21">
        <f>'12-11-17,2023'!Z24</f>
        <v>7351</v>
      </c>
      <c r="AA20" s="21">
        <f>'12-11-17,2023'!AA24</f>
        <v>6250</v>
      </c>
      <c r="AB20" s="21">
        <f>'12-11-17,2023'!AB24</f>
        <v>2610</v>
      </c>
      <c r="AC20" s="21">
        <f>'12-11-17,2023'!AC24</f>
        <v>300</v>
      </c>
      <c r="AD20" s="21">
        <f>'12-11-17,2023'!AD24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5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26970</v>
      </c>
      <c r="E22" s="80">
        <f t="shared" ref="E22:AD22" si="0">E20+E21</f>
        <v>10800</v>
      </c>
      <c r="F22" s="34">
        <f>F20+F21</f>
        <v>0</v>
      </c>
      <c r="G22" s="34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2781</v>
      </c>
      <c r="X22" s="34">
        <f t="shared" si="0"/>
        <v>419</v>
      </c>
      <c r="Y22" s="34">
        <f t="shared" si="0"/>
        <v>5081</v>
      </c>
      <c r="Z22" s="34">
        <f t="shared" si="0"/>
        <v>7351</v>
      </c>
      <c r="AA22" s="34">
        <f t="shared" si="0"/>
        <v>6250</v>
      </c>
      <c r="AB22" s="34">
        <f t="shared" si="0"/>
        <v>2610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91*62</f>
        <v>5642</v>
      </c>
      <c r="E23" s="24">
        <f>D23/62*25</f>
        <v>2275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132</v>
      </c>
      <c r="X23" s="22">
        <v>45</v>
      </c>
      <c r="Y23" s="22">
        <v>327</v>
      </c>
      <c r="Z23" s="30">
        <v>413</v>
      </c>
      <c r="AA23" s="30">
        <v>520</v>
      </c>
      <c r="AB23" s="30">
        <v>150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45284</v>
      </c>
      <c r="B24" s="336" t="s">
        <v>28</v>
      </c>
      <c r="C24" s="337"/>
      <c r="D24" s="40">
        <f>D22-D23</f>
        <v>21328</v>
      </c>
      <c r="E24" s="42">
        <f t="shared" ref="E24:AC24" si="1">E22-E23</f>
        <v>8525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2649</v>
      </c>
      <c r="X24" s="40">
        <f t="shared" si="1"/>
        <v>374</v>
      </c>
      <c r="Y24" s="40">
        <f t="shared" si="1"/>
        <v>4754</v>
      </c>
      <c r="Z24" s="41">
        <f t="shared" si="1"/>
        <v>6938</v>
      </c>
      <c r="AA24" s="41">
        <f t="shared" si="1"/>
        <v>5730</v>
      </c>
      <c r="AB24" s="41">
        <f t="shared" si="1"/>
        <v>2460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>
    <tabColor theme="0"/>
  </sheetPr>
  <dimension ref="A10:AP47"/>
  <sheetViews>
    <sheetView topLeftCell="A13" zoomScale="78" zoomScaleNormal="78" workbookViewId="0">
      <selection activeCell="Y35" sqref="Y3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90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45285</v>
      </c>
      <c r="B20" s="338" t="s">
        <v>23</v>
      </c>
      <c r="C20" s="339"/>
      <c r="D20" s="21">
        <f>'12-18-24,2023'!D24</f>
        <v>21328</v>
      </c>
      <c r="E20" s="62">
        <f>'12-18-24,2023'!E24</f>
        <v>8525</v>
      </c>
      <c r="F20" s="21">
        <f>'12-18-24,2023'!F24</f>
        <v>0</v>
      </c>
      <c r="G20" s="21">
        <f>'12-18-24,2023'!G24</f>
        <v>0</v>
      </c>
      <c r="H20" s="21" t="e">
        <f>'12-18-24,2023'!H24</f>
        <v>#REF!</v>
      </c>
      <c r="I20" s="21" t="e">
        <f>'12-18-24,2023'!I24</f>
        <v>#REF!</v>
      </c>
      <c r="J20" s="21">
        <f>'12-18-24,2023'!J24</f>
        <v>0</v>
      </c>
      <c r="K20" s="21">
        <f>'12-18-24,2023'!K24</f>
        <v>0</v>
      </c>
      <c r="L20" s="21">
        <f>'12-18-24,2023'!L24</f>
        <v>0</v>
      </c>
      <c r="M20" s="21">
        <f>'12-18-24,2023'!M24</f>
        <v>0</v>
      </c>
      <c r="N20" s="21" t="e">
        <f>'12-18-24,2023'!N24</f>
        <v>#REF!</v>
      </c>
      <c r="O20" s="21" t="e">
        <f>'12-18-24,2023'!O24</f>
        <v>#REF!</v>
      </c>
      <c r="P20" s="21">
        <f>'12-18-24,2023'!P24</f>
        <v>0</v>
      </c>
      <c r="Q20" s="21">
        <f>'12-18-24,2023'!Q24</f>
        <v>0</v>
      </c>
      <c r="R20" s="21">
        <f>'12-18-24,2023'!R24</f>
        <v>0</v>
      </c>
      <c r="S20" s="21">
        <f>'12-18-24,2023'!S24</f>
        <v>0</v>
      </c>
      <c r="T20" s="21" t="e">
        <f>'12-18-24,2023'!T24</f>
        <v>#REF!</v>
      </c>
      <c r="U20" s="21">
        <f>'12-18-24,2023'!U24</f>
        <v>975</v>
      </c>
      <c r="V20" s="21" t="e">
        <f>'12-18-24,2023'!V24</f>
        <v>#REF!</v>
      </c>
      <c r="W20" s="21">
        <f>'12-18-24,2023'!W24</f>
        <v>2649</v>
      </c>
      <c r="X20" s="21">
        <f>'12-18-24,2023'!X24</f>
        <v>374</v>
      </c>
      <c r="Y20" s="21">
        <f>'12-18-24,2023'!Y24</f>
        <v>4754</v>
      </c>
      <c r="Z20" s="21">
        <f>6938-270</f>
        <v>6668</v>
      </c>
      <c r="AA20" s="21">
        <f>'12-18-24,2023'!AA24</f>
        <v>5730</v>
      </c>
      <c r="AB20" s="21">
        <f>'12-18-24,2023'!AB24</f>
        <v>2460</v>
      </c>
      <c r="AC20" s="21">
        <f>'12-18-24,2023'!AC24</f>
        <v>300</v>
      </c>
      <c r="AD20" s="21">
        <f>'12-18-24,2023'!AD24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5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21328</v>
      </c>
      <c r="E22" s="80">
        <f t="shared" ref="E22:AD22" si="0">E20+E21</f>
        <v>8525</v>
      </c>
      <c r="F22" s="34">
        <f>F20+F21</f>
        <v>0</v>
      </c>
      <c r="G22" s="34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2649</v>
      </c>
      <c r="X22" s="34">
        <f t="shared" si="0"/>
        <v>374</v>
      </c>
      <c r="Y22" s="34">
        <f t="shared" si="0"/>
        <v>4754</v>
      </c>
      <c r="Z22" s="34">
        <f t="shared" si="0"/>
        <v>6668</v>
      </c>
      <c r="AA22" s="34">
        <f t="shared" si="0"/>
        <v>5730</v>
      </c>
      <c r="AB22" s="34">
        <f t="shared" si="0"/>
        <v>2460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120*62</f>
        <v>7440</v>
      </c>
      <c r="E23" s="24">
        <f>D23/62*25</f>
        <v>3000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196</v>
      </c>
      <c r="X23" s="22">
        <v>53</v>
      </c>
      <c r="Y23" s="22">
        <v>450</v>
      </c>
      <c r="Z23" s="30">
        <v>579</v>
      </c>
      <c r="AA23" s="30">
        <v>805</v>
      </c>
      <c r="AB23" s="30">
        <v>600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45291</v>
      </c>
      <c r="B24" s="336" t="s">
        <v>28</v>
      </c>
      <c r="C24" s="337"/>
      <c r="D24" s="40">
        <f>D22-D23</f>
        <v>13888</v>
      </c>
      <c r="E24" s="42">
        <f t="shared" ref="E24:AC24" si="1">E22-E23</f>
        <v>5525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2453</v>
      </c>
      <c r="X24" s="40">
        <f t="shared" si="1"/>
        <v>321</v>
      </c>
      <c r="Y24" s="40">
        <f t="shared" si="1"/>
        <v>4304</v>
      </c>
      <c r="Z24" s="41">
        <f t="shared" si="1"/>
        <v>6089</v>
      </c>
      <c r="AA24" s="41">
        <f t="shared" si="1"/>
        <v>4925</v>
      </c>
      <c r="AB24" s="41">
        <f t="shared" si="1"/>
        <v>1860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>
        <f>D24/62</f>
        <v>224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>
    <tabColor theme="0"/>
  </sheetPr>
  <dimension ref="A10:AP47"/>
  <sheetViews>
    <sheetView topLeftCell="A10" zoomScale="78" zoomScaleNormal="78" workbookViewId="0">
      <selection activeCell="D25" sqref="D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91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44927</v>
      </c>
      <c r="B20" s="338" t="s">
        <v>23</v>
      </c>
      <c r="C20" s="339"/>
      <c r="D20" s="21">
        <f>'12-25-31,2023'!D24</f>
        <v>13888</v>
      </c>
      <c r="E20" s="62">
        <f>'12-25-31,2023'!E24</f>
        <v>5525</v>
      </c>
      <c r="F20" s="21">
        <f>'12-25-31,2023'!F24</f>
        <v>0</v>
      </c>
      <c r="G20" s="21">
        <f>'12-25-31,2023'!G24</f>
        <v>0</v>
      </c>
      <c r="H20" s="21" t="e">
        <f>'12-25-31,2023'!H24</f>
        <v>#REF!</v>
      </c>
      <c r="I20" s="21" t="e">
        <f>'12-25-31,2023'!I24</f>
        <v>#REF!</v>
      </c>
      <c r="J20" s="21">
        <f>'12-25-31,2023'!J24</f>
        <v>0</v>
      </c>
      <c r="K20" s="21">
        <f>'12-25-31,2023'!K24</f>
        <v>0</v>
      </c>
      <c r="L20" s="21">
        <f>'12-25-31,2023'!L24</f>
        <v>0</v>
      </c>
      <c r="M20" s="21">
        <f>'12-25-31,2023'!M24</f>
        <v>0</v>
      </c>
      <c r="N20" s="21" t="e">
        <f>'12-25-31,2023'!N24</f>
        <v>#REF!</v>
      </c>
      <c r="O20" s="21" t="e">
        <f>'12-25-31,2023'!O24</f>
        <v>#REF!</v>
      </c>
      <c r="P20" s="21">
        <f>'12-25-31,2023'!P24</f>
        <v>0</v>
      </c>
      <c r="Q20" s="21">
        <f>'12-25-31,2023'!Q24</f>
        <v>0</v>
      </c>
      <c r="R20" s="21">
        <f>'12-25-31,2023'!R24</f>
        <v>0</v>
      </c>
      <c r="S20" s="21">
        <f>'12-25-31,2023'!S24</f>
        <v>0</v>
      </c>
      <c r="T20" s="21" t="e">
        <f>'12-25-31,2023'!T24</f>
        <v>#REF!</v>
      </c>
      <c r="U20" s="21">
        <f>'12-25-31,2023'!U24</f>
        <v>975</v>
      </c>
      <c r="V20" s="21" t="e">
        <f>'12-25-31,2023'!V24</f>
        <v>#REF!</v>
      </c>
      <c r="W20" s="21">
        <f>'12-25-31,2023'!W24</f>
        <v>2453</v>
      </c>
      <c r="X20" s="21">
        <f>'12-25-31,2023'!X24</f>
        <v>321</v>
      </c>
      <c r="Y20" s="21">
        <f>'12-25-31,2023'!Y24</f>
        <v>4304</v>
      </c>
      <c r="Z20" s="21">
        <f>'12-25-31,2023'!Z24</f>
        <v>6089</v>
      </c>
      <c r="AA20" s="21">
        <v>4935</v>
      </c>
      <c r="AB20" s="21">
        <f>'12-25-31,2023'!AB24</f>
        <v>1860</v>
      </c>
      <c r="AC20" s="21">
        <f>'12-25-31,2023'!AC24</f>
        <v>300</v>
      </c>
      <c r="AD20" s="21">
        <f>'12-25-31,2023'!AD24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5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13888</v>
      </c>
      <c r="E22" s="80">
        <f t="shared" ref="E22:AD22" si="0">E20+E21</f>
        <v>5525</v>
      </c>
      <c r="F22" s="34">
        <f>F20+F21</f>
        <v>0</v>
      </c>
      <c r="G22" s="34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2453</v>
      </c>
      <c r="X22" s="34">
        <f t="shared" si="0"/>
        <v>321</v>
      </c>
      <c r="Y22" s="34">
        <f t="shared" si="0"/>
        <v>4304</v>
      </c>
      <c r="Z22" s="34">
        <f t="shared" si="0"/>
        <v>6089</v>
      </c>
      <c r="AA22" s="34">
        <f t="shared" si="0"/>
        <v>4935</v>
      </c>
      <c r="AB22" s="34">
        <f t="shared" si="0"/>
        <v>1860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63*62</f>
        <v>3906</v>
      </c>
      <c r="E23" s="24">
        <f>D23/62*25</f>
        <v>1575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7">
        <v>110</v>
      </c>
      <c r="X23" s="22">
        <v>29</v>
      </c>
      <c r="Y23" s="22">
        <v>216</v>
      </c>
      <c r="Z23" s="30">
        <v>270</v>
      </c>
      <c r="AA23" s="30">
        <v>400</v>
      </c>
      <c r="AB23" s="30">
        <v>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44933</v>
      </c>
      <c r="B24" s="336" t="s">
        <v>28</v>
      </c>
      <c r="C24" s="337"/>
      <c r="D24" s="40">
        <f>D22-D23</f>
        <v>9982</v>
      </c>
      <c r="E24" s="42">
        <f t="shared" ref="E24:AC24" si="1">E22-E23</f>
        <v>3950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43">
        <f t="shared" si="1"/>
        <v>2343</v>
      </c>
      <c r="X24" s="40">
        <f t="shared" si="1"/>
        <v>292</v>
      </c>
      <c r="Y24" s="40">
        <f t="shared" si="1"/>
        <v>4088</v>
      </c>
      <c r="Z24" s="41">
        <f t="shared" si="1"/>
        <v>5819</v>
      </c>
      <c r="AA24" s="41">
        <f t="shared" si="1"/>
        <v>4535</v>
      </c>
      <c r="AB24" s="41">
        <f t="shared" si="1"/>
        <v>1860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>
        <f>D24/62</f>
        <v>161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>
    <tabColor theme="0"/>
  </sheetPr>
  <dimension ref="A10:AP47"/>
  <sheetViews>
    <sheetView topLeftCell="A22" zoomScale="78" zoomScaleNormal="78" workbookViewId="0">
      <selection activeCell="A30" sqref="A30:A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79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92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45299</v>
      </c>
      <c r="B20" s="338" t="s">
        <v>23</v>
      </c>
      <c r="C20" s="339"/>
      <c r="D20" s="21">
        <f>'01-1-7,2024'!D24</f>
        <v>9982</v>
      </c>
      <c r="E20" s="62">
        <f>'01-1-7,2024'!E24</f>
        <v>3950</v>
      </c>
      <c r="F20" s="21">
        <f>'01-1-7,2024'!F24</f>
        <v>0</v>
      </c>
      <c r="G20" s="21">
        <f>'01-1-7,2024'!G24</f>
        <v>0</v>
      </c>
      <c r="H20" s="21" t="e">
        <f>'01-1-7,2024'!H24</f>
        <v>#REF!</v>
      </c>
      <c r="I20" s="21" t="e">
        <f>'01-1-7,2024'!I24</f>
        <v>#REF!</v>
      </c>
      <c r="J20" s="21">
        <f>'01-1-7,2024'!J24</f>
        <v>0</v>
      </c>
      <c r="K20" s="21">
        <f>'01-1-7,2024'!K24</f>
        <v>0</v>
      </c>
      <c r="L20" s="21">
        <f>'01-1-7,2024'!L24</f>
        <v>0</v>
      </c>
      <c r="M20" s="21">
        <f>'01-1-7,2024'!M24</f>
        <v>0</v>
      </c>
      <c r="N20" s="21" t="e">
        <f>'01-1-7,2024'!N24</f>
        <v>#REF!</v>
      </c>
      <c r="O20" s="21" t="e">
        <f>'01-1-7,2024'!O24</f>
        <v>#REF!</v>
      </c>
      <c r="P20" s="21">
        <f>'01-1-7,2024'!P24</f>
        <v>0</v>
      </c>
      <c r="Q20" s="21">
        <f>'01-1-7,2024'!Q24</f>
        <v>0</v>
      </c>
      <c r="R20" s="21">
        <f>'01-1-7,2024'!R24</f>
        <v>0</v>
      </c>
      <c r="S20" s="21">
        <f>'01-1-7,2024'!S24</f>
        <v>0</v>
      </c>
      <c r="T20" s="21" t="e">
        <f>'01-1-7,2024'!T24</f>
        <v>#REF!</v>
      </c>
      <c r="U20" s="21">
        <f>'01-1-7,2024'!U24</f>
        <v>975</v>
      </c>
      <c r="V20" s="21" t="e">
        <f>'01-1-7,2024'!V24</f>
        <v>#REF!</v>
      </c>
      <c r="W20" s="62">
        <f>'01-1-7,2024'!W24</f>
        <v>2343</v>
      </c>
      <c r="X20" s="21">
        <f>'01-1-7,2024'!X24</f>
        <v>292</v>
      </c>
      <c r="Y20" s="21">
        <f>'01-1-7,2024'!Y24</f>
        <v>4088</v>
      </c>
      <c r="Z20" s="21">
        <f>'01-1-7,2024'!Z24</f>
        <v>5819</v>
      </c>
      <c r="AA20" s="21">
        <f>'01-1-7,2024'!AA24</f>
        <v>4535</v>
      </c>
      <c r="AB20" s="21">
        <f>'01-1-7,2024'!AB24</f>
        <v>1860</v>
      </c>
      <c r="AC20" s="21">
        <f>'01-1-7,2024'!AC24</f>
        <v>300</v>
      </c>
      <c r="AD20" s="21">
        <f>'01-1-7,2024'!AD24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5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9982</v>
      </c>
      <c r="E22" s="80">
        <f t="shared" ref="E22:AD22" si="0">E20+E21</f>
        <v>3950</v>
      </c>
      <c r="F22" s="34">
        <f>F20+F21</f>
        <v>0</v>
      </c>
      <c r="G22" s="34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2343</v>
      </c>
      <c r="X22" s="34">
        <f t="shared" si="0"/>
        <v>292</v>
      </c>
      <c r="Y22" s="34">
        <f t="shared" si="0"/>
        <v>4088</v>
      </c>
      <c r="Z22" s="34">
        <f t="shared" si="0"/>
        <v>5819</v>
      </c>
      <c r="AA22" s="34">
        <f t="shared" si="0"/>
        <v>4535</v>
      </c>
      <c r="AB22" s="34">
        <f t="shared" si="0"/>
        <v>1860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96*62</f>
        <v>5952</v>
      </c>
      <c r="E23" s="24">
        <f>D23/62*25</f>
        <v>2400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170</v>
      </c>
      <c r="X23" s="22">
        <v>47</v>
      </c>
      <c r="Y23" s="22">
        <v>381</v>
      </c>
      <c r="Z23" s="30">
        <v>467</v>
      </c>
      <c r="AA23" s="30">
        <v>625</v>
      </c>
      <c r="AB23" s="30">
        <v>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45305</v>
      </c>
      <c r="B24" s="336" t="s">
        <v>28</v>
      </c>
      <c r="C24" s="337"/>
      <c r="D24" s="40">
        <f>D22-D23</f>
        <v>4030</v>
      </c>
      <c r="E24" s="42">
        <f t="shared" ref="E24:AC24" si="1">E22-E23</f>
        <v>1550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 t="shared" si="1"/>
        <v>2173</v>
      </c>
      <c r="X24" s="40">
        <f t="shared" si="1"/>
        <v>245</v>
      </c>
      <c r="Y24" s="40">
        <f t="shared" si="1"/>
        <v>3707</v>
      </c>
      <c r="Z24" s="41">
        <f t="shared" si="1"/>
        <v>5352</v>
      </c>
      <c r="AA24" s="41">
        <f t="shared" si="1"/>
        <v>3910</v>
      </c>
      <c r="AB24" s="41">
        <f t="shared" si="1"/>
        <v>1860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>
    <tabColor theme="0"/>
  </sheetPr>
  <dimension ref="A10:AP47"/>
  <sheetViews>
    <sheetView topLeftCell="A16" zoomScale="78" zoomScaleNormal="78" workbookViewId="0">
      <selection activeCell="Q24" sqref="Q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80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94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45306</v>
      </c>
      <c r="B20" s="338" t="s">
        <v>23</v>
      </c>
      <c r="C20" s="339"/>
      <c r="D20" s="21">
        <f>'1-8-14,2024'!D24</f>
        <v>4030</v>
      </c>
      <c r="E20" s="21">
        <f>'1-8-14,2024'!E24</f>
        <v>1550</v>
      </c>
      <c r="F20" s="21">
        <f>'1-8-14,2024'!F24</f>
        <v>0</v>
      </c>
      <c r="G20" s="21">
        <f>'1-8-14,2024'!G24</f>
        <v>0</v>
      </c>
      <c r="H20" s="21" t="e">
        <f>'1-8-14,2024'!H24</f>
        <v>#REF!</v>
      </c>
      <c r="I20" s="21" t="e">
        <f>'1-8-14,2024'!I24</f>
        <v>#REF!</v>
      </c>
      <c r="J20" s="21">
        <f>'1-8-14,2024'!J24</f>
        <v>0</v>
      </c>
      <c r="K20" s="21">
        <f>'1-8-14,2024'!K24</f>
        <v>0</v>
      </c>
      <c r="L20" s="21">
        <f>'1-8-14,2024'!L24</f>
        <v>0</v>
      </c>
      <c r="M20" s="21">
        <f>'1-8-14,2024'!M24</f>
        <v>0</v>
      </c>
      <c r="N20" s="21" t="e">
        <f>'1-8-14,2024'!N24</f>
        <v>#REF!</v>
      </c>
      <c r="O20" s="21" t="e">
        <f>'1-8-14,2024'!O24</f>
        <v>#REF!</v>
      </c>
      <c r="P20" s="21">
        <f>'1-8-14,2024'!P24</f>
        <v>0</v>
      </c>
      <c r="Q20" s="21">
        <f>'1-8-14,2024'!Q24</f>
        <v>0</v>
      </c>
      <c r="R20" s="21">
        <f>'1-8-14,2024'!R24</f>
        <v>0</v>
      </c>
      <c r="S20" s="21">
        <f>'1-8-14,2024'!S24</f>
        <v>0</v>
      </c>
      <c r="T20" s="21" t="e">
        <f>'1-8-14,2024'!T24</f>
        <v>#REF!</v>
      </c>
      <c r="U20" s="21">
        <f>'1-8-14,2024'!U24</f>
        <v>975</v>
      </c>
      <c r="V20" s="21" t="e">
        <f>'1-8-14,2024'!V24</f>
        <v>#REF!</v>
      </c>
      <c r="W20" s="21">
        <f>'1-8-14,2024'!W24</f>
        <v>2173</v>
      </c>
      <c r="X20" s="21">
        <f>'1-8-14,2024'!X24</f>
        <v>245</v>
      </c>
      <c r="Y20" s="21">
        <f>'1-8-14,2024'!Y24</f>
        <v>3707</v>
      </c>
      <c r="Z20" s="21">
        <f>'1-8-14,2024'!Z24</f>
        <v>5352</v>
      </c>
      <c r="AA20" s="21">
        <f>'1-8-14,2024'!AA24</f>
        <v>3910</v>
      </c>
      <c r="AB20" s="21">
        <f>'1-8-14,2024'!AB24</f>
        <v>1860</v>
      </c>
      <c r="AC20" s="21">
        <f>'1-8-14,2024'!AC24</f>
        <v>300</v>
      </c>
      <c r="AD20" s="21">
        <f>'1-8-14,2024'!AD24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>
        <f>390*62</f>
        <v>24180</v>
      </c>
      <c r="E21" s="24">
        <f>D21/62*25</f>
        <v>9750</v>
      </c>
      <c r="F21" s="25">
        <v>0</v>
      </c>
      <c r="G21" s="24">
        <v>0</v>
      </c>
      <c r="H21" s="23"/>
      <c r="I21" s="23"/>
      <c r="J21" s="30"/>
      <c r="K21" s="26"/>
      <c r="L21" s="30"/>
      <c r="M21" s="26"/>
      <c r="N21" s="30"/>
      <c r="O21" s="26"/>
      <c r="P21" s="23">
        <v>0</v>
      </c>
      <c r="Q21" s="26">
        <f>P21/91*25</f>
        <v>0</v>
      </c>
      <c r="R21" s="23"/>
      <c r="S21" s="26"/>
      <c r="T21" s="23"/>
      <c r="U21" s="23">
        <v>0</v>
      </c>
      <c r="V21" s="23"/>
      <c r="W21" s="23">
        <v>1000</v>
      </c>
      <c r="X21" s="23">
        <v>200</v>
      </c>
      <c r="Y21" s="23">
        <v>1680</v>
      </c>
      <c r="Z21" s="23">
        <v>3520</v>
      </c>
      <c r="AA21" s="31">
        <v>0</v>
      </c>
      <c r="AB21" s="31">
        <v>900</v>
      </c>
      <c r="AC21" s="23">
        <v>0</v>
      </c>
      <c r="AD21" s="32">
        <v>0</v>
      </c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28210</v>
      </c>
      <c r="E22" s="80">
        <f t="shared" ref="E22:AD22" si="0">E20+E21</f>
        <v>11300</v>
      </c>
      <c r="F22" s="34">
        <f>F20+F21</f>
        <v>0</v>
      </c>
      <c r="G22" s="34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3173</v>
      </c>
      <c r="X22" s="34">
        <f t="shared" si="0"/>
        <v>445</v>
      </c>
      <c r="Y22" s="34">
        <f t="shared" si="0"/>
        <v>5387</v>
      </c>
      <c r="Z22" s="34">
        <f t="shared" si="0"/>
        <v>8872</v>
      </c>
      <c r="AA22" s="34">
        <f t="shared" si="0"/>
        <v>3910</v>
      </c>
      <c r="AB22" s="34">
        <f t="shared" si="0"/>
        <v>2760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68*62</f>
        <v>4216</v>
      </c>
      <c r="E23" s="24">
        <f>D23/62*25</f>
        <v>1700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136</v>
      </c>
      <c r="X23" s="22">
        <v>40</v>
      </c>
      <c r="Y23" s="22">
        <v>346</v>
      </c>
      <c r="Z23" s="30">
        <v>304</v>
      </c>
      <c r="AA23" s="30">
        <v>500</v>
      </c>
      <c r="AB23" s="30">
        <v>200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45312</v>
      </c>
      <c r="B24" s="336" t="s">
        <v>28</v>
      </c>
      <c r="C24" s="337"/>
      <c r="D24" s="40">
        <f>D22-D23</f>
        <v>23994</v>
      </c>
      <c r="E24" s="42">
        <f t="shared" ref="E24:AC24" si="1">E22-E23</f>
        <v>9600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 t="shared" si="1"/>
        <v>3037</v>
      </c>
      <c r="X24" s="40">
        <f t="shared" si="1"/>
        <v>405</v>
      </c>
      <c r="Y24" s="40">
        <f t="shared" si="1"/>
        <v>5041</v>
      </c>
      <c r="Z24" s="41">
        <f t="shared" si="1"/>
        <v>8568</v>
      </c>
      <c r="AA24" s="41">
        <f t="shared" si="1"/>
        <v>3410</v>
      </c>
      <c r="AB24" s="41">
        <f t="shared" si="1"/>
        <v>2560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81</v>
      </c>
      <c r="B30" s="46"/>
      <c r="E30" s="50" t="s">
        <v>63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64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82</v>
      </c>
      <c r="E33" s="46" t="s">
        <v>65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>
    <tabColor theme="0"/>
  </sheetPr>
  <dimension ref="A10:AP47"/>
  <sheetViews>
    <sheetView topLeftCell="A16" zoomScale="78" zoomScaleNormal="78" workbookViewId="0">
      <selection activeCell="D21" sqref="D21:U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83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95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62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45313</v>
      </c>
      <c r="B20" s="338" t="s">
        <v>23</v>
      </c>
      <c r="C20" s="339"/>
      <c r="D20" s="21">
        <f>'1-15-21,2024'!D24</f>
        <v>23994</v>
      </c>
      <c r="E20" s="21">
        <f>'1-15-21,2024'!E24</f>
        <v>9600</v>
      </c>
      <c r="F20" s="21">
        <f>'1-15-21,2024'!F24</f>
        <v>0</v>
      </c>
      <c r="G20" s="21">
        <f>'1-15-21,2024'!G24</f>
        <v>0</v>
      </c>
      <c r="H20" s="21" t="e">
        <f>'1-15-21,2024'!H24</f>
        <v>#REF!</v>
      </c>
      <c r="I20" s="21" t="e">
        <f>'1-15-21,2024'!I24</f>
        <v>#REF!</v>
      </c>
      <c r="J20" s="21">
        <f>'1-15-21,2024'!J24</f>
        <v>0</v>
      </c>
      <c r="K20" s="21">
        <f>'1-15-21,2024'!K24</f>
        <v>0</v>
      </c>
      <c r="L20" s="21">
        <f>'1-15-21,2024'!L24</f>
        <v>0</v>
      </c>
      <c r="M20" s="21">
        <f>'1-15-21,2024'!M24</f>
        <v>0</v>
      </c>
      <c r="N20" s="21" t="e">
        <f>'1-15-21,2024'!N24</f>
        <v>#REF!</v>
      </c>
      <c r="O20" s="21" t="e">
        <f>'1-15-21,2024'!O24</f>
        <v>#REF!</v>
      </c>
      <c r="P20" s="21">
        <f>'1-15-21,2024'!P24</f>
        <v>0</v>
      </c>
      <c r="Q20" s="21">
        <f>'1-15-21,2024'!Q24</f>
        <v>0</v>
      </c>
      <c r="R20" s="21">
        <f>'1-15-21,2024'!R24</f>
        <v>0</v>
      </c>
      <c r="S20" s="21">
        <f>'1-15-21,2024'!S24</f>
        <v>0</v>
      </c>
      <c r="T20" s="21" t="e">
        <f>'1-15-21,2024'!T24</f>
        <v>#REF!</v>
      </c>
      <c r="U20" s="21">
        <f>'1-15-21,2024'!U24</f>
        <v>975</v>
      </c>
      <c r="V20" s="21" t="e">
        <f>'1-15-21,2024'!V24</f>
        <v>#REF!</v>
      </c>
      <c r="W20" s="21">
        <f>'1-15-21,2024'!W24</f>
        <v>3037</v>
      </c>
      <c r="X20" s="21">
        <f>'1-15-21,2024'!X24</f>
        <v>405</v>
      </c>
      <c r="Y20" s="21">
        <f>'1-15-21,2024'!Y24</f>
        <v>5041</v>
      </c>
      <c r="Z20" s="21">
        <f>'1-15-21,2024'!Z24</f>
        <v>8568</v>
      </c>
      <c r="AA20" s="21">
        <f>'1-15-21,2024'!AA24</f>
        <v>3410</v>
      </c>
      <c r="AB20" s="21">
        <f>'1-15-21,2024'!AB24</f>
        <v>2560</v>
      </c>
      <c r="AC20" s="21">
        <f>'1-15-21,2024'!AC24</f>
        <v>300</v>
      </c>
      <c r="AD20" s="21">
        <f>'1-15-21,2024'!AD24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>
        <f>100*62</f>
        <v>6200</v>
      </c>
      <c r="E21" s="24">
        <f>D21/62*25</f>
        <v>2500</v>
      </c>
      <c r="F21" s="23">
        <f>150*62</f>
        <v>9300</v>
      </c>
      <c r="G21" s="24">
        <f>F21/62*25</f>
        <v>3750</v>
      </c>
      <c r="H21" s="23"/>
      <c r="I21" s="23"/>
      <c r="J21" s="30"/>
      <c r="K21" s="26"/>
      <c r="L21" s="30"/>
      <c r="M21" s="26"/>
      <c r="N21" s="30"/>
      <c r="O21" s="26"/>
      <c r="P21" s="23">
        <v>0</v>
      </c>
      <c r="Q21" s="26">
        <f>P21/91*25</f>
        <v>0</v>
      </c>
      <c r="R21" s="23"/>
      <c r="S21" s="26"/>
      <c r="T21" s="23"/>
      <c r="U21" s="23">
        <v>0</v>
      </c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30194</v>
      </c>
      <c r="E22" s="80">
        <f t="shared" ref="E22:AD22" si="0">E20+E21</f>
        <v>12100</v>
      </c>
      <c r="F22" s="34">
        <f>F20+F21</f>
        <v>9300</v>
      </c>
      <c r="G22" s="34">
        <f t="shared" si="0"/>
        <v>3750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3037</v>
      </c>
      <c r="X22" s="34">
        <f t="shared" si="0"/>
        <v>405</v>
      </c>
      <c r="Y22" s="34">
        <f t="shared" si="0"/>
        <v>5041</v>
      </c>
      <c r="Z22" s="34">
        <f t="shared" si="0"/>
        <v>8568</v>
      </c>
      <c r="AA22" s="34">
        <f t="shared" si="0"/>
        <v>3410</v>
      </c>
      <c r="AB22" s="34">
        <f t="shared" si="0"/>
        <v>2560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81*62</f>
        <v>5022</v>
      </c>
      <c r="E23" s="24">
        <f>D23/62*25</f>
        <v>2025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188</v>
      </c>
      <c r="X23" s="22">
        <v>51</v>
      </c>
      <c r="Y23" s="22">
        <v>568</v>
      </c>
      <c r="Z23" s="30">
        <v>399</v>
      </c>
      <c r="AA23" s="30">
        <v>295</v>
      </c>
      <c r="AB23" s="30">
        <v>400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45319</v>
      </c>
      <c r="B24" s="336" t="s">
        <v>28</v>
      </c>
      <c r="C24" s="337"/>
      <c r="D24" s="40">
        <f>D22-D23</f>
        <v>25172</v>
      </c>
      <c r="E24" s="42">
        <f t="shared" ref="E24:AC24" si="1">E22-E23</f>
        <v>10075</v>
      </c>
      <c r="F24" s="40">
        <f>F22-F23</f>
        <v>9300</v>
      </c>
      <c r="G24" s="40">
        <f t="shared" si="1"/>
        <v>3750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 t="shared" si="1"/>
        <v>2849</v>
      </c>
      <c r="X24" s="40">
        <f t="shared" si="1"/>
        <v>354</v>
      </c>
      <c r="Y24" s="40">
        <f t="shared" si="1"/>
        <v>4473</v>
      </c>
      <c r="Z24" s="41">
        <f t="shared" si="1"/>
        <v>8169</v>
      </c>
      <c r="AA24" s="41">
        <f t="shared" si="1"/>
        <v>3115</v>
      </c>
      <c r="AB24" s="41">
        <f t="shared" si="1"/>
        <v>2160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81</v>
      </c>
      <c r="B30" s="46"/>
      <c r="E30" s="50" t="s">
        <v>63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64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82</v>
      </c>
      <c r="E33" s="46" t="s">
        <v>65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>
    <tabColor theme="0"/>
  </sheetPr>
  <dimension ref="A10:AP47"/>
  <sheetViews>
    <sheetView topLeftCell="A16" zoomScale="78" zoomScaleNormal="78" workbookViewId="0">
      <selection activeCell="G24" sqref="G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84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96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45320</v>
      </c>
      <c r="B20" s="338" t="s">
        <v>23</v>
      </c>
      <c r="C20" s="339"/>
      <c r="D20" s="21">
        <f>'1-22-28,2024'!D24</f>
        <v>25172</v>
      </c>
      <c r="E20" s="21">
        <f>'1-22-28,2024'!E24</f>
        <v>10075</v>
      </c>
      <c r="F20" s="21">
        <f>150*36</f>
        <v>5400</v>
      </c>
      <c r="G20" s="21">
        <f>F20/36*25</f>
        <v>3750</v>
      </c>
      <c r="H20" s="21" t="e">
        <f>'1-22-28,2024'!H24</f>
        <v>#REF!</v>
      </c>
      <c r="I20" s="21" t="e">
        <f>'1-22-28,2024'!I24</f>
        <v>#REF!</v>
      </c>
      <c r="J20" s="21">
        <f>'1-22-28,2024'!J24</f>
        <v>0</v>
      </c>
      <c r="K20" s="21">
        <f>'1-22-28,2024'!K24</f>
        <v>0</v>
      </c>
      <c r="L20" s="21">
        <f>'1-22-28,2024'!L24</f>
        <v>0</v>
      </c>
      <c r="M20" s="21">
        <f>'1-22-28,2024'!M24</f>
        <v>0</v>
      </c>
      <c r="N20" s="21" t="e">
        <f>'1-22-28,2024'!N24</f>
        <v>#REF!</v>
      </c>
      <c r="O20" s="21" t="e">
        <f>'1-22-28,2024'!O24</f>
        <v>#REF!</v>
      </c>
      <c r="P20" s="21">
        <f>'1-22-28,2024'!P24</f>
        <v>0</v>
      </c>
      <c r="Q20" s="21">
        <f>'1-22-28,2024'!Q24</f>
        <v>0</v>
      </c>
      <c r="R20" s="21">
        <f>'1-22-28,2024'!R24</f>
        <v>0</v>
      </c>
      <c r="S20" s="21">
        <f>'1-22-28,2024'!S24</f>
        <v>0</v>
      </c>
      <c r="T20" s="21" t="e">
        <f>'1-22-28,2024'!T24</f>
        <v>#REF!</v>
      </c>
      <c r="U20" s="21">
        <f>'1-22-28,2024'!U24</f>
        <v>975</v>
      </c>
      <c r="V20" s="21" t="e">
        <f>'1-22-28,2024'!V24</f>
        <v>#REF!</v>
      </c>
      <c r="W20" s="21">
        <f>'1-22-28,2024'!W24</f>
        <v>2849</v>
      </c>
      <c r="X20" s="21">
        <f>'1-22-28,2024'!X24</f>
        <v>354</v>
      </c>
      <c r="Y20" s="21">
        <f>'1-22-28,2024'!Y24</f>
        <v>4473</v>
      </c>
      <c r="Z20" s="21">
        <f>'1-22-28,2024'!Z24</f>
        <v>8169</v>
      </c>
      <c r="AA20" s="21">
        <f>'1-22-28,2024'!AA24</f>
        <v>3115</v>
      </c>
      <c r="AB20" s="21">
        <f>'1-22-28,2024'!AB24</f>
        <v>2160</v>
      </c>
      <c r="AC20" s="21">
        <f>'1-22-28,2024'!AC24</f>
        <v>300</v>
      </c>
      <c r="AD20" s="21">
        <f>'1-22-28,2024'!AD24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25172</v>
      </c>
      <c r="E22" s="80">
        <f t="shared" ref="E22:AD22" si="0">E20+E21</f>
        <v>10075</v>
      </c>
      <c r="F22" s="34">
        <f>F20+F21</f>
        <v>5400</v>
      </c>
      <c r="G22" s="34">
        <f t="shared" si="0"/>
        <v>3750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2849</v>
      </c>
      <c r="X22" s="34">
        <f t="shared" si="0"/>
        <v>354</v>
      </c>
      <c r="Y22" s="34">
        <f t="shared" si="0"/>
        <v>4473</v>
      </c>
      <c r="Z22" s="34">
        <f t="shared" si="0"/>
        <v>8169</v>
      </c>
      <c r="AA22" s="34">
        <f t="shared" si="0"/>
        <v>3115</v>
      </c>
      <c r="AB22" s="34">
        <f t="shared" si="0"/>
        <v>2160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25*62</f>
        <v>1550</v>
      </c>
      <c r="E23" s="26">
        <f>D23/62*25</f>
        <v>625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f>39*25</f>
        <v>975</v>
      </c>
      <c r="V23" s="30"/>
      <c r="W23" s="36">
        <v>68</v>
      </c>
      <c r="X23" s="22">
        <v>25</v>
      </c>
      <c r="Y23" s="22">
        <v>224</v>
      </c>
      <c r="Z23" s="30">
        <v>114</v>
      </c>
      <c r="AA23" s="30">
        <v>135</v>
      </c>
      <c r="AB23" s="30">
        <v>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45326</v>
      </c>
      <c r="B24" s="336" t="s">
        <v>28</v>
      </c>
      <c r="C24" s="337"/>
      <c r="D24" s="40">
        <f>D22-D23</f>
        <v>23622</v>
      </c>
      <c r="E24" s="42">
        <f t="shared" ref="E24:AC24" si="1">E22-E23</f>
        <v>9450</v>
      </c>
      <c r="F24" s="40">
        <f>F22-F23</f>
        <v>5400</v>
      </c>
      <c r="G24" s="40">
        <f t="shared" si="1"/>
        <v>3750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0</v>
      </c>
      <c r="V24" s="41" t="e">
        <f t="shared" si="1"/>
        <v>#REF!</v>
      </c>
      <c r="W24" s="93">
        <f t="shared" si="1"/>
        <v>2781</v>
      </c>
      <c r="X24" s="40">
        <f t="shared" si="1"/>
        <v>329</v>
      </c>
      <c r="Y24" s="40">
        <f t="shared" si="1"/>
        <v>4249</v>
      </c>
      <c r="Z24" s="41">
        <f t="shared" si="1"/>
        <v>8055</v>
      </c>
      <c r="AA24" s="41">
        <f t="shared" si="1"/>
        <v>2980</v>
      </c>
      <c r="AB24" s="41">
        <f t="shared" si="1"/>
        <v>2160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63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64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65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>
    <tabColor theme="0"/>
  </sheetPr>
  <dimension ref="A10:AP47"/>
  <sheetViews>
    <sheetView topLeftCell="A16" zoomScale="78" zoomScaleNormal="78" workbookViewId="0">
      <selection activeCell="A30" sqref="A30:A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85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97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45327</v>
      </c>
      <c r="B20" s="338" t="s">
        <v>23</v>
      </c>
      <c r="C20" s="339"/>
      <c r="D20" s="21">
        <f>'1-29-2-4,2024'!D24</f>
        <v>23622</v>
      </c>
      <c r="E20" s="62">
        <f>'1-29-2-4,2024'!E24</f>
        <v>9450</v>
      </c>
      <c r="F20" s="21">
        <f>'1-29-2-4,2024'!F24</f>
        <v>5400</v>
      </c>
      <c r="G20" s="62">
        <f>'1-29-2-4,2024'!G24</f>
        <v>3750</v>
      </c>
      <c r="H20" s="21" t="e">
        <f>'1-29-2-4,2024'!H24</f>
        <v>#REF!</v>
      </c>
      <c r="I20" s="21" t="e">
        <f>'1-29-2-4,2024'!I24</f>
        <v>#REF!</v>
      </c>
      <c r="J20" s="21">
        <f>'1-29-2-4,2024'!J24</f>
        <v>0</v>
      </c>
      <c r="K20" s="21">
        <f>'1-29-2-4,2024'!K24</f>
        <v>0</v>
      </c>
      <c r="L20" s="21">
        <f>'1-29-2-4,2024'!L24</f>
        <v>0</v>
      </c>
      <c r="M20" s="21">
        <f>'1-29-2-4,2024'!M24</f>
        <v>0</v>
      </c>
      <c r="N20" s="21" t="e">
        <f>'1-29-2-4,2024'!N24</f>
        <v>#REF!</v>
      </c>
      <c r="O20" s="21" t="e">
        <f>'1-29-2-4,2024'!O24</f>
        <v>#REF!</v>
      </c>
      <c r="P20" s="21">
        <f>'1-29-2-4,2024'!P24</f>
        <v>0</v>
      </c>
      <c r="Q20" s="21">
        <f>'1-29-2-4,2024'!Q24</f>
        <v>0</v>
      </c>
      <c r="R20" s="21">
        <f>'1-29-2-4,2024'!R24</f>
        <v>0</v>
      </c>
      <c r="S20" s="21">
        <f>'1-29-2-4,2024'!S24</f>
        <v>0</v>
      </c>
      <c r="T20" s="21" t="e">
        <f>'1-29-2-4,2024'!T24</f>
        <v>#REF!</v>
      </c>
      <c r="U20" s="21">
        <f>39*25</f>
        <v>975</v>
      </c>
      <c r="V20" s="21" t="e">
        <f>'1-29-2-4,2024'!V24</f>
        <v>#REF!</v>
      </c>
      <c r="W20" s="21">
        <f>'1-29-2-4,2024'!W24</f>
        <v>2781</v>
      </c>
      <c r="X20" s="21">
        <f>'1-29-2-4,2024'!X24</f>
        <v>329</v>
      </c>
      <c r="Y20" s="21">
        <f>'1-29-2-4,2024'!Y24</f>
        <v>4249</v>
      </c>
      <c r="Z20" s="21">
        <f>'1-29-2-4,2024'!Z24</f>
        <v>8055</v>
      </c>
      <c r="AA20" s="21">
        <f>'1-29-2-4,2024'!AA24</f>
        <v>2980</v>
      </c>
      <c r="AB20" s="21">
        <f>'1-29-2-4,2024'!AB24</f>
        <v>2160</v>
      </c>
      <c r="AC20" s="21">
        <f>'1-29-2-4,2024'!AC24</f>
        <v>300</v>
      </c>
      <c r="AD20" s="21">
        <f>'1-29-2-4,2024'!AD24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23622</v>
      </c>
      <c r="E22" s="80">
        <f t="shared" ref="E22:AD22" si="0">E20+E21</f>
        <v>9450</v>
      </c>
      <c r="F22" s="34">
        <f>F20+F21</f>
        <v>5400</v>
      </c>
      <c r="G22" s="34">
        <f t="shared" si="0"/>
        <v>3750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2781</v>
      </c>
      <c r="X22" s="34">
        <f t="shared" si="0"/>
        <v>329</v>
      </c>
      <c r="Y22" s="34">
        <f t="shared" si="0"/>
        <v>4249</v>
      </c>
      <c r="Z22" s="34">
        <f t="shared" si="0"/>
        <v>8055</v>
      </c>
      <c r="AA22" s="34">
        <f t="shared" si="0"/>
        <v>2980</v>
      </c>
      <c r="AB22" s="34">
        <f t="shared" si="0"/>
        <v>2160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62*41</f>
        <v>2542</v>
      </c>
      <c r="E23" s="26">
        <f>D23/62*25</f>
        <v>1025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96</v>
      </c>
      <c r="X23" s="22">
        <v>40</v>
      </c>
      <c r="Y23" s="22">
        <v>472</v>
      </c>
      <c r="Z23" s="30">
        <v>181</v>
      </c>
      <c r="AA23" s="30">
        <v>240</v>
      </c>
      <c r="AB23" s="30">
        <v>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45333</v>
      </c>
      <c r="B24" s="336" t="s">
        <v>28</v>
      </c>
      <c r="C24" s="337"/>
      <c r="D24" s="40">
        <f>D22-D23</f>
        <v>21080</v>
      </c>
      <c r="E24" s="42">
        <f t="shared" ref="E24:AC24" si="1">E22-E23</f>
        <v>8425</v>
      </c>
      <c r="F24" s="40">
        <f>F22-F23</f>
        <v>5400</v>
      </c>
      <c r="G24" s="40">
        <f t="shared" si="1"/>
        <v>3750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 t="shared" si="1"/>
        <v>2685</v>
      </c>
      <c r="X24" s="40">
        <f t="shared" si="1"/>
        <v>289</v>
      </c>
      <c r="Y24" s="40">
        <f t="shared" si="1"/>
        <v>3777</v>
      </c>
      <c r="Z24" s="41">
        <f t="shared" si="1"/>
        <v>7874</v>
      </c>
      <c r="AA24" s="41">
        <f t="shared" si="1"/>
        <v>2740</v>
      </c>
      <c r="AB24" s="41">
        <f t="shared" si="1"/>
        <v>2160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>
    <tabColor theme="0"/>
  </sheetPr>
  <dimension ref="A10:AP47"/>
  <sheetViews>
    <sheetView topLeftCell="A7" zoomScale="78" zoomScaleNormal="78" workbookViewId="0">
      <selection activeCell="Z21" sqref="Z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86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98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45334</v>
      </c>
      <c r="B20" s="338" t="s">
        <v>23</v>
      </c>
      <c r="C20" s="339"/>
      <c r="D20" s="21">
        <f>'2-5-11,2024'!D24</f>
        <v>21080</v>
      </c>
      <c r="E20" s="62">
        <f>'2-5-11,2024'!E24</f>
        <v>8425</v>
      </c>
      <c r="F20" s="21">
        <f>'2-5-11,2024'!F24</f>
        <v>5400</v>
      </c>
      <c r="G20" s="62">
        <f>'2-5-11,2024'!G24</f>
        <v>3750</v>
      </c>
      <c r="H20" s="21" t="e">
        <f>'2-5-11,2024'!H24</f>
        <v>#REF!</v>
      </c>
      <c r="I20" s="21" t="e">
        <f>'2-5-11,2024'!I24</f>
        <v>#REF!</v>
      </c>
      <c r="J20" s="21">
        <f>'2-5-11,2024'!J24</f>
        <v>0</v>
      </c>
      <c r="K20" s="21">
        <f>'2-5-11,2024'!K24</f>
        <v>0</v>
      </c>
      <c r="L20" s="21">
        <f>'2-5-11,2024'!L24</f>
        <v>0</v>
      </c>
      <c r="M20" s="21">
        <f>'2-5-11,2024'!M24</f>
        <v>0</v>
      </c>
      <c r="N20" s="21" t="e">
        <f>'2-5-11,2024'!N24</f>
        <v>#REF!</v>
      </c>
      <c r="O20" s="21" t="e">
        <f>'2-5-11,2024'!O24</f>
        <v>#REF!</v>
      </c>
      <c r="P20" s="21">
        <f>'2-5-11,2024'!P24</f>
        <v>0</v>
      </c>
      <c r="Q20" s="21">
        <f>'2-5-11,2024'!Q24</f>
        <v>0</v>
      </c>
      <c r="R20" s="21">
        <f>'2-5-11,2024'!R24</f>
        <v>0</v>
      </c>
      <c r="S20" s="21">
        <f>'2-5-11,2024'!S24</f>
        <v>0</v>
      </c>
      <c r="T20" s="21" t="e">
        <f>'2-5-11,2024'!T24</f>
        <v>#REF!</v>
      </c>
      <c r="U20" s="21">
        <f>'2-5-11,2024'!U24</f>
        <v>975</v>
      </c>
      <c r="V20" s="21" t="e">
        <f>'2-5-11,2024'!V24</f>
        <v>#REF!</v>
      </c>
      <c r="W20" s="21">
        <f>'2-5-11,2024'!W24</f>
        <v>2685</v>
      </c>
      <c r="X20" s="21">
        <f>'2-5-11,2024'!X24</f>
        <v>289</v>
      </c>
      <c r="Y20" s="21">
        <f>'2-5-11,2024'!Y24</f>
        <v>3777</v>
      </c>
      <c r="Z20" s="21">
        <v>7878</v>
      </c>
      <c r="AA20" s="21">
        <f>'2-5-11,2024'!AA24</f>
        <v>2740</v>
      </c>
      <c r="AB20" s="21">
        <f>'2-5-11,2024'!AB24</f>
        <v>2160</v>
      </c>
      <c r="AC20" s="21">
        <f>'2-5-11,2024'!AC24</f>
        <v>300</v>
      </c>
      <c r="AD20" s="21">
        <f>'2-5-11,2024'!AD24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21080</v>
      </c>
      <c r="E22" s="80">
        <f t="shared" ref="E22:AD22" si="0">E20+E21</f>
        <v>8425</v>
      </c>
      <c r="F22" s="34">
        <f>F20+F21</f>
        <v>5400</v>
      </c>
      <c r="G22" s="34">
        <f t="shared" si="0"/>
        <v>3750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2685</v>
      </c>
      <c r="X22" s="34">
        <f t="shared" si="0"/>
        <v>289</v>
      </c>
      <c r="Y22" s="34">
        <f t="shared" si="0"/>
        <v>3777</v>
      </c>
      <c r="Z22" s="34">
        <f t="shared" si="0"/>
        <v>7878</v>
      </c>
      <c r="AA22" s="34">
        <f t="shared" si="0"/>
        <v>2740</v>
      </c>
      <c r="AB22" s="34">
        <f t="shared" si="0"/>
        <v>2160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59*62</f>
        <v>3658</v>
      </c>
      <c r="E23" s="26">
        <f>D23/62*25</f>
        <v>1475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120</v>
      </c>
      <c r="X23" s="22">
        <v>40</v>
      </c>
      <c r="Y23" s="22">
        <v>458</v>
      </c>
      <c r="Z23" s="30">
        <v>253</v>
      </c>
      <c r="AA23" s="30">
        <v>400</v>
      </c>
      <c r="AB23" s="30">
        <v>375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45340</v>
      </c>
      <c r="B24" s="336" t="s">
        <v>28</v>
      </c>
      <c r="C24" s="337"/>
      <c r="D24" s="40">
        <f>D22-D23</f>
        <v>17422</v>
      </c>
      <c r="E24" s="42">
        <f t="shared" ref="E24:AC24" si="1">E22-E23</f>
        <v>6950</v>
      </c>
      <c r="F24" s="40">
        <f>F22-F23</f>
        <v>5400</v>
      </c>
      <c r="G24" s="40">
        <f t="shared" si="1"/>
        <v>3750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 t="shared" si="1"/>
        <v>2565</v>
      </c>
      <c r="X24" s="40">
        <f t="shared" si="1"/>
        <v>249</v>
      </c>
      <c r="Y24" s="40">
        <f t="shared" si="1"/>
        <v>3319</v>
      </c>
      <c r="Z24" s="41">
        <f t="shared" si="1"/>
        <v>7625</v>
      </c>
      <c r="AA24" s="41">
        <f t="shared" si="1"/>
        <v>2340</v>
      </c>
      <c r="AB24" s="41">
        <f t="shared" si="1"/>
        <v>1785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81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82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>
    <tabColor theme="0"/>
  </sheetPr>
  <dimension ref="A10:AP47"/>
  <sheetViews>
    <sheetView topLeftCell="A13" zoomScale="78" zoomScaleNormal="78" workbookViewId="0">
      <selection activeCell="W23" sqref="W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87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99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45341</v>
      </c>
      <c r="B20" s="338" t="s">
        <v>23</v>
      </c>
      <c r="C20" s="339"/>
      <c r="D20" s="21">
        <f>'2-12-18,2024'!D24</f>
        <v>17422</v>
      </c>
      <c r="E20" s="62">
        <f>'2-12-18,2024'!E24</f>
        <v>6950</v>
      </c>
      <c r="F20" s="21">
        <f>'2-12-18,2024'!F24</f>
        <v>5400</v>
      </c>
      <c r="G20" s="62">
        <f>'2-12-18,2024'!G24</f>
        <v>3750</v>
      </c>
      <c r="H20" s="21" t="e">
        <f>'2-12-18,2024'!H24</f>
        <v>#REF!</v>
      </c>
      <c r="I20" s="21" t="e">
        <f>'2-12-18,2024'!I24</f>
        <v>#REF!</v>
      </c>
      <c r="J20" s="21">
        <f>'2-12-18,2024'!J24</f>
        <v>0</v>
      </c>
      <c r="K20" s="21">
        <f>'2-12-18,2024'!K24</f>
        <v>0</v>
      </c>
      <c r="L20" s="21">
        <f>'2-12-18,2024'!L24</f>
        <v>0</v>
      </c>
      <c r="M20" s="21">
        <f>'2-12-18,2024'!M24</f>
        <v>0</v>
      </c>
      <c r="N20" s="21" t="e">
        <f>'2-12-18,2024'!N24</f>
        <v>#REF!</v>
      </c>
      <c r="O20" s="21" t="e">
        <f>'2-12-18,2024'!O24</f>
        <v>#REF!</v>
      </c>
      <c r="P20" s="21">
        <f>'2-12-18,2024'!P24</f>
        <v>0</v>
      </c>
      <c r="Q20" s="21">
        <f>'2-12-18,2024'!Q24</f>
        <v>0</v>
      </c>
      <c r="R20" s="21">
        <f>'2-12-18,2024'!R24</f>
        <v>0</v>
      </c>
      <c r="S20" s="21">
        <f>'2-12-18,2024'!S24</f>
        <v>0</v>
      </c>
      <c r="T20" s="21" t="e">
        <f>'2-12-18,2024'!T24</f>
        <v>#REF!</v>
      </c>
      <c r="U20" s="21">
        <f>'2-12-18,2024'!U24</f>
        <v>975</v>
      </c>
      <c r="V20" s="21" t="e">
        <f>'2-12-18,2024'!V24</f>
        <v>#REF!</v>
      </c>
      <c r="W20" s="21">
        <f>'2-12-18,2024'!W24</f>
        <v>2565</v>
      </c>
      <c r="X20" s="21">
        <f>'2-12-18,2024'!X24</f>
        <v>249</v>
      </c>
      <c r="Y20" s="21">
        <f>'2-12-18,2024'!Y24</f>
        <v>3319</v>
      </c>
      <c r="Z20" s="21">
        <f>'2-12-18,2024'!Z24</f>
        <v>7625</v>
      </c>
      <c r="AA20" s="21">
        <f>'2-12-18,2024'!AA24</f>
        <v>2340</v>
      </c>
      <c r="AB20" s="21">
        <f>'2-12-18,2024'!AB24</f>
        <v>1785</v>
      </c>
      <c r="AC20" s="21">
        <f>'2-12-18,2024'!AC24</f>
        <v>300</v>
      </c>
      <c r="AD20" s="21">
        <f>'2-12-18,2024'!AD24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17422</v>
      </c>
      <c r="E22" s="80">
        <f t="shared" ref="E22:AD22" si="0">E20+E21</f>
        <v>6950</v>
      </c>
      <c r="F22" s="34">
        <f>F20+F21</f>
        <v>5400</v>
      </c>
      <c r="G22" s="34">
        <f t="shared" si="0"/>
        <v>3750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2565</v>
      </c>
      <c r="X22" s="34">
        <f t="shared" si="0"/>
        <v>249</v>
      </c>
      <c r="Y22" s="34">
        <f t="shared" si="0"/>
        <v>3319</v>
      </c>
      <c r="Z22" s="34">
        <f t="shared" si="0"/>
        <v>7625</v>
      </c>
      <c r="AA22" s="34">
        <f t="shared" si="0"/>
        <v>2340</v>
      </c>
      <c r="AB22" s="34">
        <f t="shared" si="0"/>
        <v>1785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41*62</f>
        <v>2542</v>
      </c>
      <c r="E23" s="26">
        <f>D23/62*25</f>
        <v>1025</v>
      </c>
      <c r="F23" s="22">
        <f>28*36</f>
        <v>1008</v>
      </c>
      <c r="G23" s="26">
        <f>F23/36*25</f>
        <v>700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130</v>
      </c>
      <c r="X23" s="22">
        <v>30</v>
      </c>
      <c r="Y23" s="22">
        <v>396</v>
      </c>
      <c r="Z23" s="30">
        <v>307</v>
      </c>
      <c r="AA23" s="30">
        <v>525</v>
      </c>
      <c r="AB23" s="30">
        <v>550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45347</v>
      </c>
      <c r="B24" s="336" t="s">
        <v>28</v>
      </c>
      <c r="C24" s="337"/>
      <c r="D24" s="40">
        <f>D22-D23</f>
        <v>14880</v>
      </c>
      <c r="E24" s="42">
        <f t="shared" ref="E24:AC24" si="1">E22-E23</f>
        <v>5925</v>
      </c>
      <c r="F24" s="40">
        <f>F22-F23</f>
        <v>4392</v>
      </c>
      <c r="G24" s="40">
        <f t="shared" si="1"/>
        <v>3050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 t="shared" si="1"/>
        <v>2435</v>
      </c>
      <c r="X24" s="40">
        <f t="shared" si="1"/>
        <v>219</v>
      </c>
      <c r="Y24" s="40">
        <f t="shared" si="1"/>
        <v>2923</v>
      </c>
      <c r="Z24" s="41">
        <f t="shared" si="1"/>
        <v>7318</v>
      </c>
      <c r="AA24" s="41">
        <f t="shared" si="1"/>
        <v>1815</v>
      </c>
      <c r="AB24" s="41">
        <f t="shared" si="1"/>
        <v>1235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81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82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theme="0"/>
  </sheetPr>
  <dimension ref="A10:AP47"/>
  <sheetViews>
    <sheetView topLeftCell="A16" zoomScale="78" zoomScaleNormal="78" workbookViewId="0">
      <selection activeCell="Q27" sqref="Q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88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100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45348</v>
      </c>
      <c r="B20" s="338" t="s">
        <v>23</v>
      </c>
      <c r="C20" s="339"/>
      <c r="D20" s="21">
        <f>'2-19-25,2024'!D24</f>
        <v>14880</v>
      </c>
      <c r="E20" s="21">
        <f>'2-19-25,2024'!E24</f>
        <v>5925</v>
      </c>
      <c r="F20" s="21">
        <f>'2-19-25,2024'!F24</f>
        <v>4392</v>
      </c>
      <c r="G20" s="21">
        <f>'2-19-25,2024'!G24</f>
        <v>3050</v>
      </c>
      <c r="H20" s="21" t="e">
        <f>'2-19-25,2024'!H24</f>
        <v>#REF!</v>
      </c>
      <c r="I20" s="21" t="e">
        <f>'2-19-25,2024'!I24</f>
        <v>#REF!</v>
      </c>
      <c r="J20" s="21">
        <f>'2-19-25,2024'!J24</f>
        <v>0</v>
      </c>
      <c r="K20" s="21">
        <f>'2-19-25,2024'!K24</f>
        <v>0</v>
      </c>
      <c r="L20" s="21">
        <f>'2-19-25,2024'!L24</f>
        <v>0</v>
      </c>
      <c r="M20" s="21">
        <f>'2-19-25,2024'!M24</f>
        <v>0</v>
      </c>
      <c r="N20" s="21" t="e">
        <f>'2-19-25,2024'!N24</f>
        <v>#REF!</v>
      </c>
      <c r="O20" s="21" t="e">
        <f>'2-19-25,2024'!O24</f>
        <v>#REF!</v>
      </c>
      <c r="P20" s="21">
        <f>'2-19-25,2024'!P24</f>
        <v>0</v>
      </c>
      <c r="Q20" s="21">
        <f>'2-19-25,2024'!Q24</f>
        <v>0</v>
      </c>
      <c r="R20" s="21">
        <f>'2-19-25,2024'!R24</f>
        <v>0</v>
      </c>
      <c r="S20" s="21">
        <f>'2-19-25,2024'!S24</f>
        <v>0</v>
      </c>
      <c r="T20" s="21" t="e">
        <f>'2-19-25,2024'!T24</f>
        <v>#REF!</v>
      </c>
      <c r="U20" s="21">
        <f>'2-19-25,2024'!U24</f>
        <v>975</v>
      </c>
      <c r="V20" s="21" t="e">
        <f>'2-19-25,2024'!V24</f>
        <v>#REF!</v>
      </c>
      <c r="W20" s="21">
        <f>'2-19-25,2024'!W24</f>
        <v>2435</v>
      </c>
      <c r="X20" s="21">
        <f>'2-19-25,2024'!X24</f>
        <v>219</v>
      </c>
      <c r="Y20" s="21">
        <f>'2-19-25,2024'!Y24</f>
        <v>2923</v>
      </c>
      <c r="Z20" s="21">
        <f>'2-19-25,2024'!Z24</f>
        <v>7318</v>
      </c>
      <c r="AA20" s="21">
        <f>'2-19-25,2024'!AA24</f>
        <v>1815</v>
      </c>
      <c r="AB20" s="21">
        <f>'2-19-25,2024'!AB24</f>
        <v>1235</v>
      </c>
      <c r="AC20" s="21">
        <f>'2-19-25,2024'!AC24</f>
        <v>300</v>
      </c>
      <c r="AD20" s="21">
        <f>'2-19-25,2024'!AD24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14880</v>
      </c>
      <c r="E22" s="80">
        <f t="shared" ref="E22:AD22" si="0">E20+E21</f>
        <v>5925</v>
      </c>
      <c r="F22" s="34">
        <f>F20+F21</f>
        <v>4392</v>
      </c>
      <c r="G22" s="34">
        <f t="shared" si="0"/>
        <v>3050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2435</v>
      </c>
      <c r="X22" s="34">
        <f t="shared" si="0"/>
        <v>219</v>
      </c>
      <c r="Y22" s="34">
        <f t="shared" si="0"/>
        <v>2923</v>
      </c>
      <c r="Z22" s="34">
        <f t="shared" si="0"/>
        <v>7318</v>
      </c>
      <c r="AA22" s="34">
        <f t="shared" si="0"/>
        <v>1815</v>
      </c>
      <c r="AB22" s="34">
        <f t="shared" si="0"/>
        <v>1235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24*62</f>
        <v>1488</v>
      </c>
      <c r="E23" s="22">
        <f>D23/62*25</f>
        <v>600</v>
      </c>
      <c r="F23" s="22">
        <f>62*36</f>
        <v>2232</v>
      </c>
      <c r="G23" s="26">
        <f>F23/36*25</f>
        <v>1550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170</v>
      </c>
      <c r="X23" s="22">
        <v>40</v>
      </c>
      <c r="Y23" s="22">
        <v>448</v>
      </c>
      <c r="Z23" s="30">
        <v>493</v>
      </c>
      <c r="AA23" s="30">
        <v>625</v>
      </c>
      <c r="AB23" s="30">
        <v>600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45354</v>
      </c>
      <c r="B24" s="336" t="s">
        <v>28</v>
      </c>
      <c r="C24" s="337"/>
      <c r="D24" s="40">
        <f>D22-D23</f>
        <v>13392</v>
      </c>
      <c r="E24" s="42">
        <f t="shared" ref="E24:AC24" si="1">E22-E23</f>
        <v>5325</v>
      </c>
      <c r="F24" s="40">
        <f>F22-F23</f>
        <v>2160</v>
      </c>
      <c r="G24" s="40">
        <f t="shared" si="1"/>
        <v>1500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 t="shared" si="1"/>
        <v>2265</v>
      </c>
      <c r="X24" s="40">
        <f t="shared" si="1"/>
        <v>179</v>
      </c>
      <c r="Y24" s="40">
        <f t="shared" si="1"/>
        <v>2475</v>
      </c>
      <c r="Z24" s="41">
        <f t="shared" si="1"/>
        <v>6825</v>
      </c>
      <c r="AA24" s="41">
        <f t="shared" si="1"/>
        <v>1190</v>
      </c>
      <c r="AB24" s="41">
        <f t="shared" si="1"/>
        <v>635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81</v>
      </c>
      <c r="B30" s="46"/>
      <c r="E30" s="50" t="s">
        <v>63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64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82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>
    <tabColor theme="0"/>
  </sheetPr>
  <dimension ref="A10:AP47"/>
  <sheetViews>
    <sheetView topLeftCell="A13" zoomScale="78" zoomScaleNormal="78" workbookViewId="0">
      <selection activeCell="D21" sqref="D21:AD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2.140625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89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101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45355</v>
      </c>
      <c r="B20" s="338" t="s">
        <v>23</v>
      </c>
      <c r="C20" s="339"/>
      <c r="D20" s="21">
        <f>231*62</f>
        <v>14322</v>
      </c>
      <c r="E20" s="62">
        <f>'2-26-3-3,2024'!E24</f>
        <v>5325</v>
      </c>
      <c r="F20" s="21">
        <f>100*36</f>
        <v>3600</v>
      </c>
      <c r="G20" s="21">
        <f>'2-26-3-3,2024'!G24</f>
        <v>1500</v>
      </c>
      <c r="H20" s="21" t="e">
        <f>'2-26-3-3,2024'!H24</f>
        <v>#REF!</v>
      </c>
      <c r="I20" s="21" t="e">
        <f>'2-26-3-3,2024'!I24</f>
        <v>#REF!</v>
      </c>
      <c r="J20" s="21">
        <f>'2-26-3-3,2024'!J24</f>
        <v>0</v>
      </c>
      <c r="K20" s="21">
        <f>'2-26-3-3,2024'!K24</f>
        <v>0</v>
      </c>
      <c r="L20" s="21">
        <f>'2-26-3-3,2024'!L24</f>
        <v>0</v>
      </c>
      <c r="M20" s="21">
        <f>'2-26-3-3,2024'!M24</f>
        <v>0</v>
      </c>
      <c r="N20" s="21" t="e">
        <f>'2-26-3-3,2024'!N24</f>
        <v>#REF!</v>
      </c>
      <c r="O20" s="21" t="e">
        <f>'2-26-3-3,2024'!O24</f>
        <v>#REF!</v>
      </c>
      <c r="P20" s="21">
        <f>'2-26-3-3,2024'!P24</f>
        <v>0</v>
      </c>
      <c r="Q20" s="21">
        <f>'2-26-3-3,2024'!Q24</f>
        <v>0</v>
      </c>
      <c r="R20" s="21">
        <f>'2-26-3-3,2024'!R24</f>
        <v>0</v>
      </c>
      <c r="S20" s="21">
        <f>'2-26-3-3,2024'!S24</f>
        <v>0</v>
      </c>
      <c r="T20" s="21" t="e">
        <f>'2-26-3-3,2024'!T24</f>
        <v>#REF!</v>
      </c>
      <c r="U20" s="21">
        <f>'2-26-3-3,2024'!U24</f>
        <v>975</v>
      </c>
      <c r="V20" s="21" t="e">
        <f>'2-26-3-3,2024'!V24</f>
        <v>#REF!</v>
      </c>
      <c r="W20" s="21">
        <v>2365</v>
      </c>
      <c r="X20" s="21">
        <v>204</v>
      </c>
      <c r="Y20" s="21">
        <v>2765</v>
      </c>
      <c r="Z20" s="21">
        <v>7168</v>
      </c>
      <c r="AA20" s="21">
        <v>1575</v>
      </c>
      <c r="AB20" s="21">
        <v>1010</v>
      </c>
      <c r="AC20" s="21">
        <f>'2-26-3-3,2024'!AC24</f>
        <v>300</v>
      </c>
      <c r="AD20" s="21">
        <f>'2-26-3-3,2024'!AD24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>
        <f>250*36</f>
        <v>9000</v>
      </c>
      <c r="G21" s="24">
        <f>F21/62*25</f>
        <v>3629.0322580645161</v>
      </c>
      <c r="H21" s="23"/>
      <c r="I21" s="23"/>
      <c r="J21" s="30"/>
      <c r="K21" s="26"/>
      <c r="L21" s="30"/>
      <c r="M21" s="26"/>
      <c r="N21" s="30"/>
      <c r="O21" s="26"/>
      <c r="P21" s="23">
        <v>0</v>
      </c>
      <c r="Q21" s="26">
        <f>P21/91*25</f>
        <v>0</v>
      </c>
      <c r="R21" s="23"/>
      <c r="S21" s="26"/>
      <c r="T21" s="23"/>
      <c r="U21" s="23">
        <v>0</v>
      </c>
      <c r="V21" s="23"/>
      <c r="W21" s="23"/>
      <c r="X21" s="23">
        <v>200</v>
      </c>
      <c r="Y21" s="23">
        <v>1200</v>
      </c>
      <c r="Z21" s="23"/>
      <c r="AA21" s="31">
        <v>4000</v>
      </c>
      <c r="AB21" s="31">
        <v>1200</v>
      </c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14322</v>
      </c>
      <c r="E22" s="80">
        <f t="shared" ref="E22:AD22" si="0">E20+E21</f>
        <v>5325</v>
      </c>
      <c r="F22" s="34">
        <f>F20+F21</f>
        <v>12600</v>
      </c>
      <c r="G22" s="34">
        <f t="shared" si="0"/>
        <v>5129.0322580645161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2365</v>
      </c>
      <c r="X22" s="34">
        <f t="shared" si="0"/>
        <v>404</v>
      </c>
      <c r="Y22" s="34">
        <f t="shared" si="0"/>
        <v>3965</v>
      </c>
      <c r="Z22" s="34">
        <f t="shared" si="0"/>
        <v>7168</v>
      </c>
      <c r="AA22" s="34">
        <f t="shared" si="0"/>
        <v>5575</v>
      </c>
      <c r="AB22" s="34">
        <f t="shared" si="0"/>
        <v>2210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39*62</f>
        <v>2418</v>
      </c>
      <c r="E23" s="22">
        <f>D23/62*25</f>
        <v>975</v>
      </c>
      <c r="F23" s="22">
        <f>52*36</f>
        <v>1872</v>
      </c>
      <c r="G23" s="26">
        <f>F23/36*25</f>
        <v>1300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160</v>
      </c>
      <c r="X23" s="22">
        <v>35</v>
      </c>
      <c r="Y23" s="22">
        <v>416</v>
      </c>
      <c r="Z23" s="30">
        <v>506</v>
      </c>
      <c r="AA23" s="30">
        <v>690</v>
      </c>
      <c r="AB23" s="30">
        <v>560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45361</v>
      </c>
      <c r="B24" s="336" t="s">
        <v>28</v>
      </c>
      <c r="C24" s="337"/>
      <c r="D24" s="40">
        <f>D22-D23</f>
        <v>11904</v>
      </c>
      <c r="E24" s="42">
        <f t="shared" ref="E24:AC24" si="1">E22-E23</f>
        <v>4350</v>
      </c>
      <c r="F24" s="40">
        <f>F22-F23</f>
        <v>10728</v>
      </c>
      <c r="G24" s="40">
        <f t="shared" si="1"/>
        <v>3829.0322580645161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 t="shared" si="1"/>
        <v>2205</v>
      </c>
      <c r="X24" s="40">
        <f t="shared" si="1"/>
        <v>369</v>
      </c>
      <c r="Y24" s="40">
        <f t="shared" si="1"/>
        <v>3549</v>
      </c>
      <c r="Z24" s="41">
        <f t="shared" si="1"/>
        <v>6662</v>
      </c>
      <c r="AA24" s="41">
        <f t="shared" si="1"/>
        <v>4885</v>
      </c>
      <c r="AB24" s="41">
        <f t="shared" si="1"/>
        <v>1650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81</v>
      </c>
      <c r="B30" s="46"/>
      <c r="E30" s="50" t="s">
        <v>63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64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82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>
    <tabColor theme="0"/>
  </sheetPr>
  <dimension ref="A10:AP47"/>
  <sheetViews>
    <sheetView topLeftCell="A13" zoomScale="78" zoomScaleNormal="78" workbookViewId="0">
      <selection activeCell="G23" sqref="G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4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90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102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45362</v>
      </c>
      <c r="B20" s="338" t="s">
        <v>23</v>
      </c>
      <c r="C20" s="339"/>
      <c r="D20" s="21">
        <f>11904+434</f>
        <v>12338</v>
      </c>
      <c r="E20" s="21">
        <f>D20/62*25</f>
        <v>4975</v>
      </c>
      <c r="F20" s="21">
        <f>10728-1728</f>
        <v>9000</v>
      </c>
      <c r="G20" s="21">
        <f>F20/36*25</f>
        <v>6250</v>
      </c>
      <c r="H20" s="21" t="e">
        <f>'3-4-10,2024'!H24</f>
        <v>#REF!</v>
      </c>
      <c r="I20" s="21" t="e">
        <f>'3-4-10,2024'!I24</f>
        <v>#REF!</v>
      </c>
      <c r="J20" s="21">
        <f>'3-4-10,2024'!J24</f>
        <v>0</v>
      </c>
      <c r="K20" s="21">
        <f>'3-4-10,2024'!K24</f>
        <v>0</v>
      </c>
      <c r="L20" s="21">
        <f>'3-4-10,2024'!L24</f>
        <v>0</v>
      </c>
      <c r="M20" s="21">
        <f>'3-4-10,2024'!M24</f>
        <v>0</v>
      </c>
      <c r="N20" s="21" t="e">
        <f>'3-4-10,2024'!N24</f>
        <v>#REF!</v>
      </c>
      <c r="O20" s="21" t="e">
        <f>'3-4-10,2024'!O24</f>
        <v>#REF!</v>
      </c>
      <c r="P20" s="21">
        <f>'3-4-10,2024'!P24</f>
        <v>0</v>
      </c>
      <c r="Q20" s="21">
        <f>'3-4-10,2024'!Q24</f>
        <v>0</v>
      </c>
      <c r="R20" s="21">
        <f>'3-4-10,2024'!R24</f>
        <v>0</v>
      </c>
      <c r="S20" s="21">
        <f>'3-4-10,2024'!S24</f>
        <v>0</v>
      </c>
      <c r="T20" s="21" t="e">
        <f>'3-4-10,2024'!T24</f>
        <v>#REF!</v>
      </c>
      <c r="U20" s="21">
        <f>'3-4-10,2024'!U24</f>
        <v>975</v>
      </c>
      <c r="V20" s="21" t="e">
        <f>'3-4-10,2024'!V24</f>
        <v>#REF!</v>
      </c>
      <c r="W20" s="21">
        <f>2205-125</f>
        <v>2080</v>
      </c>
      <c r="X20" s="21">
        <f>369-30</f>
        <v>339</v>
      </c>
      <c r="Y20" s="21">
        <f>3549-348</f>
        <v>3201</v>
      </c>
      <c r="Z20" s="21">
        <f>6662-407</f>
        <v>6255</v>
      </c>
      <c r="AA20" s="21">
        <f>4885-475</f>
        <v>4410</v>
      </c>
      <c r="AB20" s="21">
        <f>1650-450</f>
        <v>1200</v>
      </c>
      <c r="AC20" s="21">
        <v>300</v>
      </c>
      <c r="AD20" s="21"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12338</v>
      </c>
      <c r="E22" s="80">
        <f t="shared" ref="E22:AD22" si="0">E20+E21</f>
        <v>4975</v>
      </c>
      <c r="F22" s="34">
        <f>F20+F21</f>
        <v>9000</v>
      </c>
      <c r="G22" s="34">
        <f t="shared" si="0"/>
        <v>6250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2080</v>
      </c>
      <c r="X22" s="34">
        <f t="shared" si="0"/>
        <v>339</v>
      </c>
      <c r="Y22" s="34">
        <f t="shared" si="0"/>
        <v>3201</v>
      </c>
      <c r="Z22" s="34">
        <f t="shared" si="0"/>
        <v>6255</v>
      </c>
      <c r="AA22" s="34">
        <f t="shared" si="0"/>
        <v>4410</v>
      </c>
      <c r="AB22" s="34">
        <f t="shared" si="0"/>
        <v>1200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64*62</f>
        <v>3968</v>
      </c>
      <c r="E23" s="22">
        <f>D23/62*25</f>
        <v>1600</v>
      </c>
      <c r="F23" s="22">
        <f>49*36</f>
        <v>1764</v>
      </c>
      <c r="G23" s="26">
        <f>F23/36*25</f>
        <v>1225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170</v>
      </c>
      <c r="X23" s="22">
        <v>47</v>
      </c>
      <c r="Y23" s="22">
        <v>476</v>
      </c>
      <c r="Z23" s="30">
        <v>645</v>
      </c>
      <c r="AA23" s="30">
        <v>795</v>
      </c>
      <c r="AB23" s="30">
        <v>525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45368</v>
      </c>
      <c r="B24" s="336" t="s">
        <v>28</v>
      </c>
      <c r="C24" s="337"/>
      <c r="D24" s="40">
        <f>D22-D23</f>
        <v>8370</v>
      </c>
      <c r="E24" s="42">
        <f t="shared" ref="E24:AC24" si="1">E22-E23</f>
        <v>3375</v>
      </c>
      <c r="F24" s="40">
        <f>F22-F23</f>
        <v>7236</v>
      </c>
      <c r="G24" s="40">
        <f t="shared" si="1"/>
        <v>5025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1910</v>
      </c>
      <c r="X24" s="40">
        <f t="shared" si="1"/>
        <v>292</v>
      </c>
      <c r="Y24" s="40">
        <f t="shared" si="1"/>
        <v>2725</v>
      </c>
      <c r="Z24" s="41">
        <f t="shared" si="1"/>
        <v>5610</v>
      </c>
      <c r="AA24" s="41">
        <f t="shared" si="1"/>
        <v>3615</v>
      </c>
      <c r="AB24" s="41">
        <f t="shared" si="1"/>
        <v>675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81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82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>
    <tabColor theme="0"/>
  </sheetPr>
  <dimension ref="A10:AP47"/>
  <sheetViews>
    <sheetView topLeftCell="A13" zoomScale="78" zoomScaleNormal="78" workbookViewId="0">
      <selection activeCell="D25" sqref="D25:F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4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91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103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45369</v>
      </c>
      <c r="B20" s="338" t="s">
        <v>23</v>
      </c>
      <c r="C20" s="339"/>
      <c r="D20" s="21">
        <f>'3-11-17,2024'!D24</f>
        <v>8370</v>
      </c>
      <c r="E20" s="62">
        <f>'3-11-17,2024'!E24</f>
        <v>3375</v>
      </c>
      <c r="F20" s="21">
        <f>'3-11-17,2024'!F24</f>
        <v>7236</v>
      </c>
      <c r="G20" s="62">
        <f>'3-11-17,2024'!G24</f>
        <v>5025</v>
      </c>
      <c r="H20" s="21" t="e">
        <f>'3-11-17,2024'!H24</f>
        <v>#REF!</v>
      </c>
      <c r="I20" s="21" t="e">
        <f>'3-11-17,2024'!I24</f>
        <v>#REF!</v>
      </c>
      <c r="J20" s="21">
        <f>'3-11-17,2024'!J24</f>
        <v>0</v>
      </c>
      <c r="K20" s="21">
        <f>'3-11-17,2024'!K24</f>
        <v>0</v>
      </c>
      <c r="L20" s="21">
        <f>'3-11-17,2024'!L24</f>
        <v>0</v>
      </c>
      <c r="M20" s="21">
        <f>'3-11-17,2024'!M24</f>
        <v>0</v>
      </c>
      <c r="N20" s="21" t="e">
        <f>'3-11-17,2024'!N24</f>
        <v>#REF!</v>
      </c>
      <c r="O20" s="21" t="e">
        <f>'3-11-17,2024'!O24</f>
        <v>#REF!</v>
      </c>
      <c r="P20" s="21">
        <f>'3-11-17,2024'!P24</f>
        <v>0</v>
      </c>
      <c r="Q20" s="21">
        <f>'3-11-17,2024'!Q24</f>
        <v>0</v>
      </c>
      <c r="R20" s="21">
        <f>'3-11-17,2024'!R24</f>
        <v>0</v>
      </c>
      <c r="S20" s="21">
        <f>'3-11-17,2024'!S24</f>
        <v>0</v>
      </c>
      <c r="T20" s="21" t="e">
        <f>'3-11-17,2024'!T24</f>
        <v>#REF!</v>
      </c>
      <c r="U20" s="21">
        <f>'3-11-17,2024'!U24</f>
        <v>975</v>
      </c>
      <c r="V20" s="21" t="e">
        <f>'3-11-17,2024'!V24</f>
        <v>#REF!</v>
      </c>
      <c r="W20" s="62">
        <f>'3-11-17,2024'!W24</f>
        <v>1910</v>
      </c>
      <c r="X20" s="21">
        <f>'3-11-17,2024'!X24</f>
        <v>292</v>
      </c>
      <c r="Y20" s="21">
        <f>'3-11-17,2024'!Y24</f>
        <v>2725</v>
      </c>
      <c r="Z20" s="21">
        <f>'3-11-17,2024'!Z24</f>
        <v>5610</v>
      </c>
      <c r="AA20" s="21">
        <f>'3-11-17,2024'!AA24</f>
        <v>3615</v>
      </c>
      <c r="AB20" s="21">
        <f>'3-11-17,2024'!AB24</f>
        <v>675</v>
      </c>
      <c r="AC20" s="21">
        <f>'3-11-17,2024'!AC24</f>
        <v>300</v>
      </c>
      <c r="AD20" s="21">
        <f>'3-11-17,2024'!AD24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2"/>
      <c r="F21" s="23"/>
      <c r="G21" s="26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8370</v>
      </c>
      <c r="E22" s="80">
        <f t="shared" ref="E22:AD22" si="0">E20+E21</f>
        <v>3375</v>
      </c>
      <c r="F22" s="34">
        <f>F20+F21</f>
        <v>7236</v>
      </c>
      <c r="G22" s="34">
        <f t="shared" si="0"/>
        <v>5025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1910</v>
      </c>
      <c r="X22" s="34">
        <f t="shared" si="0"/>
        <v>292</v>
      </c>
      <c r="Y22" s="34">
        <f t="shared" si="0"/>
        <v>2725</v>
      </c>
      <c r="Z22" s="34">
        <f t="shared" si="0"/>
        <v>5610</v>
      </c>
      <c r="AA22" s="34">
        <f t="shared" si="0"/>
        <v>3615</v>
      </c>
      <c r="AB22" s="34">
        <f t="shared" si="0"/>
        <v>675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75*62</f>
        <v>4650</v>
      </c>
      <c r="E23" s="22">
        <f>D23/62*25</f>
        <v>1875</v>
      </c>
      <c r="F23" s="22">
        <f>40*36</f>
        <v>1440</v>
      </c>
      <c r="G23" s="26">
        <f>F23/36*25</f>
        <v>1000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170</v>
      </c>
      <c r="X23" s="22">
        <v>47</v>
      </c>
      <c r="Y23" s="22">
        <v>586</v>
      </c>
      <c r="Z23" s="30">
        <v>674</v>
      </c>
      <c r="AA23" s="30">
        <v>830</v>
      </c>
      <c r="AB23" s="30">
        <v>75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45375</v>
      </c>
      <c r="B24" s="336" t="s">
        <v>28</v>
      </c>
      <c r="C24" s="337"/>
      <c r="D24" s="40">
        <f>D22-D23</f>
        <v>3720</v>
      </c>
      <c r="E24" s="42">
        <f t="shared" ref="E24:AC24" si="1">E22-E23</f>
        <v>1500</v>
      </c>
      <c r="F24" s="40">
        <f>F22-F23</f>
        <v>5796</v>
      </c>
      <c r="G24" s="40">
        <f t="shared" si="1"/>
        <v>4025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1740</v>
      </c>
      <c r="X24" s="40">
        <f t="shared" si="1"/>
        <v>245</v>
      </c>
      <c r="Y24" s="40">
        <f t="shared" si="1"/>
        <v>2139</v>
      </c>
      <c r="Z24" s="41">
        <f t="shared" si="1"/>
        <v>4936</v>
      </c>
      <c r="AA24" s="41">
        <f t="shared" si="1"/>
        <v>2785</v>
      </c>
      <c r="AB24" s="41">
        <f t="shared" si="1"/>
        <v>600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>
    <tabColor theme="0"/>
  </sheetPr>
  <dimension ref="A10:AP47"/>
  <sheetViews>
    <sheetView topLeftCell="A7" zoomScale="78" zoomScaleNormal="78" workbookViewId="0">
      <selection activeCell="AC28" sqref="AC28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4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92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104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45376</v>
      </c>
      <c r="B20" s="338" t="s">
        <v>23</v>
      </c>
      <c r="C20" s="339"/>
      <c r="D20" s="21">
        <f>'3-18-24,2024'!D24</f>
        <v>3720</v>
      </c>
      <c r="E20" s="21">
        <f>'3-18-24,2024'!E24</f>
        <v>1500</v>
      </c>
      <c r="F20" s="21">
        <f>'3-18-24,2024'!F24</f>
        <v>5796</v>
      </c>
      <c r="G20" s="21">
        <f>'3-18-24,2024'!G24</f>
        <v>4025</v>
      </c>
      <c r="H20" s="21" t="e">
        <f>'3-18-24,2024'!H24</f>
        <v>#REF!</v>
      </c>
      <c r="I20" s="21" t="e">
        <f>'3-18-24,2024'!I24</f>
        <v>#REF!</v>
      </c>
      <c r="J20" s="21">
        <f>'3-18-24,2024'!J24</f>
        <v>0</v>
      </c>
      <c r="K20" s="21">
        <f>'3-18-24,2024'!K24</f>
        <v>0</v>
      </c>
      <c r="L20" s="21">
        <f>'3-18-24,2024'!L24</f>
        <v>0</v>
      </c>
      <c r="M20" s="21">
        <f>'3-18-24,2024'!M24</f>
        <v>0</v>
      </c>
      <c r="N20" s="21" t="e">
        <f>'3-18-24,2024'!N24</f>
        <v>#REF!</v>
      </c>
      <c r="O20" s="21" t="e">
        <f>'3-18-24,2024'!O24</f>
        <v>#REF!</v>
      </c>
      <c r="P20" s="21">
        <f>'3-18-24,2024'!P24</f>
        <v>0</v>
      </c>
      <c r="Q20" s="21">
        <f>'3-18-24,2024'!Q24</f>
        <v>0</v>
      </c>
      <c r="R20" s="21">
        <f>'3-18-24,2024'!R24</f>
        <v>0</v>
      </c>
      <c r="S20" s="21">
        <f>'3-18-24,2024'!S24</f>
        <v>0</v>
      </c>
      <c r="T20" s="21" t="e">
        <f>'3-18-24,2024'!T24</f>
        <v>#REF!</v>
      </c>
      <c r="U20" s="21">
        <f>'3-18-24,2024'!U24</f>
        <v>975</v>
      </c>
      <c r="V20" s="21" t="e">
        <f>'3-18-24,2024'!V24</f>
        <v>#REF!</v>
      </c>
      <c r="W20" s="21">
        <f>'3-18-24,2024'!W24</f>
        <v>1740</v>
      </c>
      <c r="X20" s="21">
        <f>'3-18-24,2024'!X24</f>
        <v>245</v>
      </c>
      <c r="Y20" s="21">
        <f>'3-18-24,2024'!Y24</f>
        <v>2139</v>
      </c>
      <c r="Z20" s="21">
        <f>'3-18-24,2024'!Z24</f>
        <v>4936</v>
      </c>
      <c r="AA20" s="21">
        <f>'3-18-24,2024'!AA24</f>
        <v>2785</v>
      </c>
      <c r="AB20" s="21">
        <f>'3-18-24,2024'!AB24</f>
        <v>600</v>
      </c>
      <c r="AC20" s="21">
        <f>'3-18-24,2024'!AC24</f>
        <v>300</v>
      </c>
      <c r="AD20" s="21">
        <f>'3-18-24,2024'!AD24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2"/>
      <c r="F21" s="23"/>
      <c r="G21" s="26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3720</v>
      </c>
      <c r="E22" s="80">
        <f t="shared" ref="E22:AD22" si="0">E20+E21</f>
        <v>1500</v>
      </c>
      <c r="F22" s="34">
        <f>F20+F21</f>
        <v>5796</v>
      </c>
      <c r="G22" s="34">
        <f t="shared" si="0"/>
        <v>4025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1740</v>
      </c>
      <c r="X22" s="34">
        <f t="shared" si="0"/>
        <v>245</v>
      </c>
      <c r="Y22" s="34">
        <f t="shared" si="0"/>
        <v>2139</v>
      </c>
      <c r="Z22" s="34">
        <f t="shared" si="0"/>
        <v>4936</v>
      </c>
      <c r="AA22" s="34">
        <f t="shared" si="0"/>
        <v>2785</v>
      </c>
      <c r="AB22" s="34">
        <f t="shared" si="0"/>
        <v>600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f>57*62</f>
        <v>3534</v>
      </c>
      <c r="E23" s="22">
        <f>D23/62*25</f>
        <v>1425</v>
      </c>
      <c r="F23" s="22">
        <f>46*36</f>
        <v>1656</v>
      </c>
      <c r="G23" s="26">
        <f>F23/36*25</f>
        <v>1150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165</v>
      </c>
      <c r="X23" s="22">
        <v>44</v>
      </c>
      <c r="Y23" s="22">
        <v>507</v>
      </c>
      <c r="Z23" s="30">
        <v>599</v>
      </c>
      <c r="AA23" s="30">
        <v>825</v>
      </c>
      <c r="AB23" s="30">
        <v>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45382</v>
      </c>
      <c r="B24" s="336" t="s">
        <v>28</v>
      </c>
      <c r="C24" s="337"/>
      <c r="D24" s="40">
        <f>D22-D23</f>
        <v>186</v>
      </c>
      <c r="E24" s="42">
        <f t="shared" ref="E24:AC24" si="1">E22-E23</f>
        <v>75</v>
      </c>
      <c r="F24" s="40">
        <f>F22-F23</f>
        <v>4140</v>
      </c>
      <c r="G24" s="40">
        <f t="shared" si="1"/>
        <v>2875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1575</v>
      </c>
      <c r="X24" s="40">
        <f t="shared" si="1"/>
        <v>201</v>
      </c>
      <c r="Y24" s="40">
        <f t="shared" si="1"/>
        <v>1632</v>
      </c>
      <c r="Z24" s="41">
        <f t="shared" si="1"/>
        <v>4337</v>
      </c>
      <c r="AA24" s="41">
        <f t="shared" si="1"/>
        <v>1960</v>
      </c>
      <c r="AB24" s="41">
        <f t="shared" si="1"/>
        <v>600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50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34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51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>
    <tabColor theme="0"/>
  </sheetPr>
  <dimension ref="A10:AP47"/>
  <sheetViews>
    <sheetView topLeftCell="A13" zoomScale="78" zoomScaleNormal="78" workbookViewId="0">
      <selection activeCell="F22" sqref="F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4" style="1" customWidth="1"/>
    <col min="7" max="7" width="13.285156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93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105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45383</v>
      </c>
      <c r="B20" s="338" t="s">
        <v>23</v>
      </c>
      <c r="C20" s="339"/>
      <c r="D20" s="21">
        <f>'3-25-31'!D24</f>
        <v>186</v>
      </c>
      <c r="E20" s="62">
        <f>'3-25-31'!E24</f>
        <v>75</v>
      </c>
      <c r="F20" s="21">
        <f>'3-25-31'!F24</f>
        <v>4140</v>
      </c>
      <c r="G20" s="62">
        <f>'3-25-31'!G24</f>
        <v>2875</v>
      </c>
      <c r="H20" s="21" t="e">
        <f>'3-25-31'!H24</f>
        <v>#REF!</v>
      </c>
      <c r="I20" s="21" t="e">
        <f>'3-25-31'!I24</f>
        <v>#REF!</v>
      </c>
      <c r="J20" s="21">
        <f>'3-25-31'!J24</f>
        <v>0</v>
      </c>
      <c r="K20" s="21">
        <f>'3-25-31'!K24</f>
        <v>0</v>
      </c>
      <c r="L20" s="21">
        <f>'3-25-31'!L24</f>
        <v>0</v>
      </c>
      <c r="M20" s="21">
        <f>'3-25-31'!M24</f>
        <v>0</v>
      </c>
      <c r="N20" s="21" t="e">
        <f>'3-25-31'!N24</f>
        <v>#REF!</v>
      </c>
      <c r="O20" s="21" t="e">
        <f>'3-25-31'!O24</f>
        <v>#REF!</v>
      </c>
      <c r="P20" s="21">
        <f>'3-25-31'!P24</f>
        <v>0</v>
      </c>
      <c r="Q20" s="21">
        <f>'3-25-31'!Q24</f>
        <v>0</v>
      </c>
      <c r="R20" s="21">
        <f>'3-25-31'!R24</f>
        <v>0</v>
      </c>
      <c r="S20" s="21">
        <f>'3-25-31'!S24</f>
        <v>0</v>
      </c>
      <c r="T20" s="21" t="e">
        <f>'3-25-31'!T24</f>
        <v>#REF!</v>
      </c>
      <c r="U20" s="21">
        <f>'3-25-31'!U24</f>
        <v>975</v>
      </c>
      <c r="V20" s="21" t="e">
        <f>'3-25-31'!V24</f>
        <v>#REF!</v>
      </c>
      <c r="W20" s="62">
        <f>'3-25-31'!W24</f>
        <v>1575</v>
      </c>
      <c r="X20" s="21">
        <f>'3-25-31'!X24</f>
        <v>201</v>
      </c>
      <c r="Y20" s="21">
        <f>'3-25-31'!Y24</f>
        <v>1632</v>
      </c>
      <c r="Z20" s="21">
        <f>'3-25-31'!Z24</f>
        <v>4337</v>
      </c>
      <c r="AA20" s="21">
        <f>'3-25-31'!AA24</f>
        <v>1960</v>
      </c>
      <c r="AB20" s="21">
        <f>'3-25-31'!AB24</f>
        <v>600</v>
      </c>
      <c r="AC20" s="21">
        <f>'3-25-31'!AC24</f>
        <v>300</v>
      </c>
      <c r="AD20" s="21">
        <f>'3-25-31'!AD24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>
        <f>235*36</f>
        <v>8460</v>
      </c>
      <c r="G21" s="24">
        <f>F21/62*25</f>
        <v>3411.2903225806449</v>
      </c>
      <c r="H21" s="23"/>
      <c r="I21" s="23"/>
      <c r="J21" s="30"/>
      <c r="K21" s="26"/>
      <c r="L21" s="30"/>
      <c r="M21" s="26"/>
      <c r="N21" s="30"/>
      <c r="O21" s="26"/>
      <c r="P21" s="23">
        <v>0</v>
      </c>
      <c r="Q21" s="26">
        <f>P21/91*25</f>
        <v>0</v>
      </c>
      <c r="R21" s="23"/>
      <c r="S21" s="26"/>
      <c r="T21" s="23"/>
      <c r="U21" s="23">
        <v>0</v>
      </c>
      <c r="V21" s="23"/>
      <c r="W21" s="23">
        <v>1000</v>
      </c>
      <c r="X21" s="23">
        <v>200</v>
      </c>
      <c r="Y21" s="23">
        <v>1760</v>
      </c>
      <c r="Z21" s="23">
        <v>5330</v>
      </c>
      <c r="AA21" s="31">
        <v>3000</v>
      </c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186</v>
      </c>
      <c r="E22" s="80">
        <f t="shared" ref="E22:AD22" si="0">E20+E21</f>
        <v>75</v>
      </c>
      <c r="F22" s="34">
        <f>F20+F21</f>
        <v>12600</v>
      </c>
      <c r="G22" s="34">
        <f t="shared" si="0"/>
        <v>6286.2903225806449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2575</v>
      </c>
      <c r="X22" s="34">
        <f t="shared" si="0"/>
        <v>401</v>
      </c>
      <c r="Y22" s="34">
        <f t="shared" si="0"/>
        <v>3392</v>
      </c>
      <c r="Z22" s="34">
        <f t="shared" si="0"/>
        <v>9667</v>
      </c>
      <c r="AA22" s="34">
        <f t="shared" si="0"/>
        <v>4960</v>
      </c>
      <c r="AB22" s="34">
        <f t="shared" si="0"/>
        <v>600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>
        <v>186</v>
      </c>
      <c r="E23" s="22">
        <f>D23/62*25</f>
        <v>75</v>
      </c>
      <c r="F23" s="22">
        <v>3600</v>
      </c>
      <c r="G23" s="26">
        <f>F23/36*25</f>
        <v>2500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160</v>
      </c>
      <c r="X23" s="22">
        <v>43</v>
      </c>
      <c r="Y23" s="22">
        <v>528</v>
      </c>
      <c r="Z23" s="30">
        <v>674</v>
      </c>
      <c r="AA23" s="30">
        <v>850</v>
      </c>
      <c r="AB23" s="30">
        <v>150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45389</v>
      </c>
      <c r="B24" s="336" t="s">
        <v>28</v>
      </c>
      <c r="C24" s="337"/>
      <c r="D24" s="40">
        <f>D22-D23</f>
        <v>0</v>
      </c>
      <c r="E24" s="40">
        <f t="shared" ref="E24:AC24" si="1">E22-E23</f>
        <v>0</v>
      </c>
      <c r="F24" s="40">
        <f>F22-F23</f>
        <v>9000</v>
      </c>
      <c r="G24" s="40">
        <f t="shared" si="1"/>
        <v>3786.2903225806449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2415</v>
      </c>
      <c r="X24" s="40">
        <f t="shared" si="1"/>
        <v>358</v>
      </c>
      <c r="Y24" s="40">
        <f t="shared" si="1"/>
        <v>2864</v>
      </c>
      <c r="Z24" s="41">
        <f t="shared" si="1"/>
        <v>8993</v>
      </c>
      <c r="AA24" s="41">
        <f t="shared" si="1"/>
        <v>4110</v>
      </c>
      <c r="AB24" s="41">
        <f t="shared" si="1"/>
        <v>450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63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94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65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>
    <tabColor theme="0"/>
  </sheetPr>
  <dimension ref="A10:AP47"/>
  <sheetViews>
    <sheetView topLeftCell="A7" zoomScale="78" zoomScaleNormal="78" workbookViewId="0">
      <selection activeCell="Y20" sqref="Y2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customWidth="1"/>
    <col min="5" max="5" width="15.28515625" style="1" customWidth="1"/>
    <col min="6" max="6" width="14" style="1" customWidth="1"/>
    <col min="7" max="7" width="15.570312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95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106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39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45390</v>
      </c>
      <c r="B20" s="338" t="s">
        <v>23</v>
      </c>
      <c r="C20" s="339"/>
      <c r="D20" s="21">
        <f>'4-1-7-2024'!D24</f>
        <v>0</v>
      </c>
      <c r="E20" s="21">
        <f>'4-1-7-2024'!E24</f>
        <v>0</v>
      </c>
      <c r="F20" s="21">
        <f>'4-1-7-2024'!F24</f>
        <v>9000</v>
      </c>
      <c r="G20" s="63">
        <f>'4-1-7-2024'!G24</f>
        <v>3786.2903225806449</v>
      </c>
      <c r="H20" s="21" t="e">
        <f>'4-1-7-2024'!H24</f>
        <v>#REF!</v>
      </c>
      <c r="I20" s="21" t="e">
        <f>'4-1-7-2024'!I24</f>
        <v>#REF!</v>
      </c>
      <c r="J20" s="21">
        <f>'4-1-7-2024'!J24</f>
        <v>0</v>
      </c>
      <c r="K20" s="21">
        <f>'4-1-7-2024'!K24</f>
        <v>0</v>
      </c>
      <c r="L20" s="21">
        <f>'4-1-7-2024'!L24</f>
        <v>0</v>
      </c>
      <c r="M20" s="21">
        <f>'4-1-7-2024'!M24</f>
        <v>0</v>
      </c>
      <c r="N20" s="21" t="e">
        <f>'4-1-7-2024'!N24</f>
        <v>#REF!</v>
      </c>
      <c r="O20" s="21" t="e">
        <f>'4-1-7-2024'!O24</f>
        <v>#REF!</v>
      </c>
      <c r="P20" s="21">
        <f>'4-1-7-2024'!P24</f>
        <v>0</v>
      </c>
      <c r="Q20" s="21">
        <f>'4-1-7-2024'!Q24</f>
        <v>0</v>
      </c>
      <c r="R20" s="21">
        <f>'4-1-7-2024'!R24</f>
        <v>0</v>
      </c>
      <c r="S20" s="21">
        <f>'4-1-7-2024'!S24</f>
        <v>0</v>
      </c>
      <c r="T20" s="21" t="e">
        <f>'4-1-7-2024'!T24</f>
        <v>#REF!</v>
      </c>
      <c r="U20" s="21">
        <f>'4-1-7-2024'!U24</f>
        <v>975</v>
      </c>
      <c r="V20" s="21" t="e">
        <f>'4-1-7-2024'!V24</f>
        <v>#REF!</v>
      </c>
      <c r="W20" s="21">
        <f>'4-1-7-2024'!W24</f>
        <v>2415</v>
      </c>
      <c r="X20" s="21">
        <f>'4-1-7-2024'!X24</f>
        <v>358</v>
      </c>
      <c r="Y20" s="21">
        <f>'4-1-7-2024'!Y24</f>
        <v>2864</v>
      </c>
      <c r="Z20" s="21">
        <f>'4-1-7-2024'!Z24</f>
        <v>8993</v>
      </c>
      <c r="AA20" s="21">
        <f>'4-1-7-2024'!AA24</f>
        <v>4110</v>
      </c>
      <c r="AB20" s="21">
        <f>'4-1-7-2024'!AB24</f>
        <v>450</v>
      </c>
      <c r="AC20" s="21">
        <f>'4-1-7-2024'!AC24</f>
        <v>300</v>
      </c>
      <c r="AD20" s="21">
        <f>'4-1-7-2024'!AD24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/>
      <c r="Q21" s="26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D22" si="0">E20+E21</f>
        <v>0</v>
      </c>
      <c r="F22" s="34">
        <f>F20+F21</f>
        <v>9000</v>
      </c>
      <c r="G22" s="64">
        <f t="shared" si="0"/>
        <v>3786.2903225806449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2415</v>
      </c>
      <c r="X22" s="34">
        <f t="shared" si="0"/>
        <v>358</v>
      </c>
      <c r="Y22" s="34">
        <f t="shared" si="0"/>
        <v>2864</v>
      </c>
      <c r="Z22" s="34">
        <f t="shared" si="0"/>
        <v>8993</v>
      </c>
      <c r="AA22" s="34">
        <f t="shared" si="0"/>
        <v>4110</v>
      </c>
      <c r="AB22" s="34">
        <f t="shared" si="0"/>
        <v>450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3924</v>
      </c>
      <c r="G23" s="26">
        <f>F23/36*25</f>
        <v>2725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180</v>
      </c>
      <c r="X23" s="22">
        <v>48</v>
      </c>
      <c r="Y23" s="22">
        <v>771</v>
      </c>
      <c r="Z23" s="30">
        <v>629</v>
      </c>
      <c r="AA23" s="30">
        <v>870</v>
      </c>
      <c r="AB23" s="30">
        <v>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45396</v>
      </c>
      <c r="B24" s="336" t="s">
        <v>28</v>
      </c>
      <c r="C24" s="337"/>
      <c r="D24" s="40">
        <f>D22-D23</f>
        <v>0</v>
      </c>
      <c r="E24" s="40">
        <f t="shared" ref="E24:AC24" si="1">E22-E23</f>
        <v>0</v>
      </c>
      <c r="F24" s="40">
        <f>F22-F23</f>
        <v>5076</v>
      </c>
      <c r="G24" s="42">
        <f t="shared" si="1"/>
        <v>1061.2903225806449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0</v>
      </c>
      <c r="Q24" s="42">
        <f>Q22-Q23</f>
        <v>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2235</v>
      </c>
      <c r="X24" s="40">
        <f t="shared" si="1"/>
        <v>310</v>
      </c>
      <c r="Y24" s="40">
        <f t="shared" si="1"/>
        <v>2093</v>
      </c>
      <c r="Z24" s="41">
        <f t="shared" si="1"/>
        <v>8364</v>
      </c>
      <c r="AA24" s="41">
        <f t="shared" si="1"/>
        <v>3240</v>
      </c>
      <c r="AB24" s="41">
        <f t="shared" si="1"/>
        <v>450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E27" s="45" t="s">
        <v>56</v>
      </c>
      <c r="O27" s="46"/>
      <c r="R27" s="45" t="s">
        <v>30</v>
      </c>
      <c r="W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E28" s="49"/>
      <c r="H28" s="49"/>
      <c r="I28" s="49"/>
      <c r="J28" s="49"/>
      <c r="K28" s="49"/>
      <c r="L28" s="49"/>
      <c r="M28" s="49"/>
      <c r="N28" s="49"/>
      <c r="O28" s="49"/>
      <c r="P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E29" s="49"/>
      <c r="H29" s="49"/>
      <c r="I29" s="49"/>
      <c r="J29" s="49"/>
      <c r="K29" s="49"/>
      <c r="L29" s="49"/>
      <c r="M29" s="49"/>
      <c r="N29" s="49"/>
      <c r="O29" s="49"/>
      <c r="P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E30" s="50" t="s">
        <v>63</v>
      </c>
      <c r="H30" s="51"/>
      <c r="I30" s="51"/>
      <c r="J30" s="51"/>
      <c r="N30" s="46"/>
      <c r="O30" s="46"/>
      <c r="R30" s="50" t="s">
        <v>31</v>
      </c>
      <c r="W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E31" s="48" t="s">
        <v>94</v>
      </c>
      <c r="H31" s="46"/>
      <c r="I31" s="46"/>
      <c r="J31" s="46"/>
      <c r="K31" s="46"/>
      <c r="L31" s="46"/>
      <c r="M31" s="46"/>
      <c r="N31" s="46"/>
      <c r="O31" s="46"/>
      <c r="P31" s="46"/>
      <c r="R31" s="46" t="s">
        <v>32</v>
      </c>
      <c r="S31" s="46"/>
      <c r="W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E32" s="48" t="s">
        <v>46</v>
      </c>
      <c r="H32" s="46"/>
      <c r="I32" s="46"/>
      <c r="J32" s="46"/>
      <c r="K32" s="46"/>
      <c r="L32" s="46"/>
      <c r="M32" s="46"/>
      <c r="N32" s="46"/>
      <c r="O32" s="46"/>
      <c r="P32" s="46"/>
      <c r="R32" s="46"/>
      <c r="S32" s="46"/>
      <c r="T32" s="46"/>
      <c r="U32" s="46"/>
      <c r="V32" s="46" t="s">
        <v>34</v>
      </c>
      <c r="W32" s="46" t="s">
        <v>46</v>
      </c>
      <c r="Y32" s="46"/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E33" s="46" t="s">
        <v>65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>
    <tabColor theme="0"/>
  </sheetPr>
  <dimension ref="A10:AP47"/>
  <sheetViews>
    <sheetView topLeftCell="A13" zoomScale="78" zoomScaleNormal="78" workbookViewId="0">
      <selection activeCell="B24" sqref="B24:C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4" width="13.85546875" style="1" hidden="1" customWidth="1"/>
    <col min="5" max="5" width="15.28515625" style="1" hidden="1" customWidth="1"/>
    <col min="6" max="6" width="14" style="1" customWidth="1"/>
    <col min="7" max="7" width="18.710937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0.5703125" style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8" width="18.5703125" style="1" customWidth="1"/>
    <col min="29" max="29" width="12.42578125" style="1" bestFit="1" customWidth="1"/>
    <col min="30" max="30" width="9.140625" style="1" bestFit="1" customWidth="1"/>
    <col min="31" max="31" width="14.28515625" style="1" bestFit="1" customWidth="1"/>
    <col min="32" max="32" width="10.28515625" style="1" bestFit="1" customWidth="1"/>
    <col min="33" max="33" width="9.140625" style="1"/>
    <col min="34" max="34" width="10.7109375" style="1" bestFit="1" customWidth="1"/>
    <col min="35" max="16384" width="9.140625" style="1"/>
  </cols>
  <sheetData>
    <row r="10" spans="1:31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</row>
    <row r="11" spans="1:31" ht="34.5" x14ac:dyDescent="0.45">
      <c r="A11" s="315" t="s">
        <v>96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</row>
    <row r="12" spans="1:31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1" ht="22.5" thickBot="1" x14ac:dyDescent="0.35"/>
    <row r="14" spans="1:31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8"/>
    </row>
    <row r="15" spans="1:31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1"/>
    </row>
    <row r="16" spans="1:31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12</v>
      </c>
      <c r="AD16" s="107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40</v>
      </c>
      <c r="AC17" s="12"/>
      <c r="AD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20</v>
      </c>
    </row>
    <row r="20" spans="1:42" ht="68.25" customHeight="1" x14ac:dyDescent="0.3">
      <c r="A20" s="56">
        <v>45397</v>
      </c>
      <c r="B20" s="338" t="s">
        <v>23</v>
      </c>
      <c r="C20" s="339"/>
      <c r="D20" s="21">
        <f>'4-8-14,2024'!D24</f>
        <v>0</v>
      </c>
      <c r="E20" s="21">
        <f>'4-8-14,2024'!E24</f>
        <v>0</v>
      </c>
      <c r="F20" s="21">
        <f>'4-8-14,2024'!F24</f>
        <v>5076</v>
      </c>
      <c r="G20" s="108">
        <f>F20/36*25</f>
        <v>3525</v>
      </c>
      <c r="H20" s="21" t="e">
        <f>'4-8-14,2024'!H24</f>
        <v>#REF!</v>
      </c>
      <c r="I20" s="21" t="e">
        <f>'4-8-14,2024'!I24</f>
        <v>#REF!</v>
      </c>
      <c r="J20" s="21">
        <f>'4-8-14,2024'!J24</f>
        <v>0</v>
      </c>
      <c r="K20" s="21">
        <f>'4-8-14,2024'!K24</f>
        <v>0</v>
      </c>
      <c r="L20" s="21">
        <f>'4-8-14,2024'!L24</f>
        <v>0</v>
      </c>
      <c r="M20" s="21">
        <f>'4-8-14,2024'!M24</f>
        <v>0</v>
      </c>
      <c r="N20" s="21" t="e">
        <f>'4-8-14,2024'!N24</f>
        <v>#REF!</v>
      </c>
      <c r="O20" s="21" t="e">
        <f>'4-8-14,2024'!O24</f>
        <v>#REF!</v>
      </c>
      <c r="P20" s="21">
        <f>'4-8-14,2024'!P24</f>
        <v>0</v>
      </c>
      <c r="Q20" s="21">
        <f>'4-8-14,2024'!Q24</f>
        <v>0</v>
      </c>
      <c r="R20" s="21">
        <f>'4-8-14,2024'!R24</f>
        <v>0</v>
      </c>
      <c r="S20" s="21">
        <f>'4-8-14,2024'!S24</f>
        <v>0</v>
      </c>
      <c r="T20" s="21" t="e">
        <f>'4-8-14,2024'!T24</f>
        <v>#REF!</v>
      </c>
      <c r="U20" s="21">
        <f>'4-8-14,2024'!U24</f>
        <v>975</v>
      </c>
      <c r="V20" s="21" t="e">
        <f>'4-8-14,2024'!V24</f>
        <v>#REF!</v>
      </c>
      <c r="W20" s="21">
        <f>'4-8-14,2024'!W24</f>
        <v>2235</v>
      </c>
      <c r="X20" s="21">
        <f>'4-8-14,2024'!X24</f>
        <v>310</v>
      </c>
      <c r="Y20" s="21">
        <f>'4-8-14,2024'!Y24</f>
        <v>2093</v>
      </c>
      <c r="Z20" s="21">
        <f>'4-8-14,2024'!Z24</f>
        <v>8364</v>
      </c>
      <c r="AA20" s="21">
        <f>'4-8-14,2024'!AA24</f>
        <v>3240</v>
      </c>
      <c r="AB20" s="21">
        <f>'4-8-14,2024'!AB24</f>
        <v>450</v>
      </c>
      <c r="AC20" s="21">
        <f>'4-8-14,2024'!AC24</f>
        <v>300</v>
      </c>
      <c r="AD20" s="21">
        <f>'4-8-14,2024'!AD24</f>
        <v>96</v>
      </c>
      <c r="AE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/>
      <c r="G21" s="24"/>
      <c r="H21" s="23"/>
      <c r="I21" s="23"/>
      <c r="J21" s="30"/>
      <c r="K21" s="26"/>
      <c r="L21" s="30"/>
      <c r="M21" s="26"/>
      <c r="N21" s="30"/>
      <c r="O21" s="26"/>
      <c r="P21" s="23">
        <f>520*91</f>
        <v>47320</v>
      </c>
      <c r="Q21" s="22">
        <f>P21/91*25</f>
        <v>13000</v>
      </c>
      <c r="R21" s="23"/>
      <c r="S21" s="26"/>
      <c r="T21" s="23"/>
      <c r="U21" s="23"/>
      <c r="V21" s="23"/>
      <c r="W21" s="23">
        <v>1000</v>
      </c>
      <c r="X21" s="23">
        <v>200</v>
      </c>
      <c r="Y21" s="23"/>
      <c r="Z21" s="23"/>
      <c r="AA21" s="31">
        <v>3000</v>
      </c>
      <c r="AB21" s="31"/>
      <c r="AC21" s="23"/>
      <c r="AD21" s="32"/>
      <c r="AF21" s="33"/>
    </row>
    <row r="22" spans="1:42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D22" si="0">E20+E21</f>
        <v>0</v>
      </c>
      <c r="F22" s="34">
        <f>F20+F21</f>
        <v>5076</v>
      </c>
      <c r="G22" s="64">
        <f t="shared" si="0"/>
        <v>3525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47320</v>
      </c>
      <c r="Q22" s="34">
        <f t="shared" si="0"/>
        <v>13000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3235</v>
      </c>
      <c r="X22" s="34">
        <f t="shared" si="0"/>
        <v>510</v>
      </c>
      <c r="Y22" s="34">
        <f t="shared" si="0"/>
        <v>2093</v>
      </c>
      <c r="Z22" s="34">
        <f t="shared" si="0"/>
        <v>8364</v>
      </c>
      <c r="AA22" s="34">
        <f t="shared" si="0"/>
        <v>6240</v>
      </c>
      <c r="AB22" s="34">
        <f t="shared" si="0"/>
        <v>450</v>
      </c>
      <c r="AC22" s="34">
        <f t="shared" si="0"/>
        <v>300</v>
      </c>
      <c r="AD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f>94*36</f>
        <v>3384</v>
      </c>
      <c r="G23" s="26">
        <f>F23/36*25</f>
        <v>2350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0</v>
      </c>
      <c r="Q23" s="26">
        <f>P23/91*25</f>
        <v>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140</v>
      </c>
      <c r="X23" s="22">
        <v>38</v>
      </c>
      <c r="Y23" s="22">
        <v>493</v>
      </c>
      <c r="Z23" s="30">
        <v>571</v>
      </c>
      <c r="AA23" s="30">
        <v>700</v>
      </c>
      <c r="AB23" s="30">
        <v>0</v>
      </c>
      <c r="AC23" s="22">
        <v>0</v>
      </c>
      <c r="AD23" s="38">
        <v>0</v>
      </c>
    </row>
    <row r="24" spans="1:42" s="3" customFormat="1" ht="100.5" customHeight="1" thickBot="1" x14ac:dyDescent="0.25">
      <c r="A24" s="39">
        <v>45403</v>
      </c>
      <c r="B24" s="336" t="s">
        <v>28</v>
      </c>
      <c r="C24" s="337"/>
      <c r="D24" s="40">
        <f>D22-D23</f>
        <v>0</v>
      </c>
      <c r="E24" s="40">
        <f t="shared" ref="E24:AC24" si="1">E22-E23</f>
        <v>0</v>
      </c>
      <c r="F24" s="40">
        <f>F22-F23</f>
        <v>1692</v>
      </c>
      <c r="G24" s="42">
        <f t="shared" si="1"/>
        <v>1175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47320</v>
      </c>
      <c r="Q24" s="40">
        <f>Q22-Q23</f>
        <v>13000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3095</v>
      </c>
      <c r="X24" s="40">
        <f t="shared" si="1"/>
        <v>472</v>
      </c>
      <c r="Y24" s="40">
        <f t="shared" si="1"/>
        <v>1600</v>
      </c>
      <c r="Z24" s="41">
        <f t="shared" si="1"/>
        <v>7793</v>
      </c>
      <c r="AA24" s="41">
        <f t="shared" si="1"/>
        <v>5540</v>
      </c>
      <c r="AB24" s="41">
        <f t="shared" si="1"/>
        <v>450</v>
      </c>
      <c r="AC24" s="40">
        <f t="shared" si="1"/>
        <v>300</v>
      </c>
      <c r="AD24" s="44">
        <f>AD22-AD23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42" s="45" customFormat="1" ht="24" customHeight="1" x14ac:dyDescent="0.35">
      <c r="A27" s="45" t="s">
        <v>29</v>
      </c>
      <c r="G27" s="45" t="s">
        <v>56</v>
      </c>
      <c r="O27" s="46"/>
      <c r="R27" s="45" t="s">
        <v>30</v>
      </c>
      <c r="X27" s="45" t="s">
        <v>57</v>
      </c>
      <c r="AA27" s="47"/>
      <c r="AB27" s="47"/>
      <c r="AC27" s="46"/>
      <c r="AD27" s="46"/>
    </row>
    <row r="28" spans="1:42" s="45" customFormat="1" ht="37.5" customHeight="1" x14ac:dyDescent="0.35">
      <c r="A28" s="48"/>
      <c r="B28" s="46"/>
      <c r="G28" s="49"/>
      <c r="H28" s="49"/>
      <c r="I28" s="49"/>
      <c r="J28" s="49"/>
      <c r="K28" s="49"/>
      <c r="L28" s="49"/>
      <c r="M28" s="49"/>
      <c r="N28" s="49"/>
      <c r="O28" s="49"/>
      <c r="R28" s="49"/>
      <c r="S28" s="49"/>
      <c r="AA28" s="49"/>
      <c r="AB28" s="49"/>
      <c r="AC28" s="49"/>
      <c r="AD28" s="49"/>
      <c r="AE28" s="46"/>
    </row>
    <row r="29" spans="1:42" s="45" customFormat="1" ht="14.25" customHeight="1" x14ac:dyDescent="0.35">
      <c r="A29" s="48"/>
      <c r="B29" s="46"/>
      <c r="G29" s="49"/>
      <c r="H29" s="49"/>
      <c r="I29" s="49"/>
      <c r="J29" s="49"/>
      <c r="K29" s="49"/>
      <c r="L29" s="49"/>
      <c r="M29" s="49"/>
      <c r="N29" s="49"/>
      <c r="O29" s="49"/>
      <c r="R29" s="49"/>
      <c r="S29" s="49"/>
      <c r="AA29" s="49"/>
      <c r="AB29" s="49"/>
      <c r="AC29" s="49"/>
      <c r="AD29" s="49"/>
      <c r="AE29" s="46"/>
    </row>
    <row r="30" spans="1:42" s="45" customFormat="1" ht="24" customHeight="1" x14ac:dyDescent="0.35">
      <c r="A30" s="50" t="s">
        <v>42</v>
      </c>
      <c r="B30" s="46"/>
      <c r="G30" s="50" t="s">
        <v>63</v>
      </c>
      <c r="H30" s="51"/>
      <c r="I30" s="51"/>
      <c r="J30" s="51"/>
      <c r="N30" s="46"/>
      <c r="O30" s="46"/>
      <c r="R30" s="50" t="s">
        <v>31</v>
      </c>
      <c r="X30" s="51" t="s">
        <v>43</v>
      </c>
      <c r="AE30" s="46"/>
    </row>
    <row r="31" spans="1:42" s="45" customFormat="1" ht="21.75" customHeight="1" x14ac:dyDescent="0.35">
      <c r="A31" s="48" t="s">
        <v>44</v>
      </c>
      <c r="B31" s="46"/>
      <c r="C31" s="46"/>
      <c r="G31" s="48" t="s">
        <v>94</v>
      </c>
      <c r="H31" s="46"/>
      <c r="I31" s="46"/>
      <c r="J31" s="46"/>
      <c r="K31" s="46"/>
      <c r="L31" s="46"/>
      <c r="M31" s="46"/>
      <c r="N31" s="46"/>
      <c r="O31" s="46"/>
      <c r="R31" s="46" t="s">
        <v>32</v>
      </c>
      <c r="S31" s="46"/>
      <c r="X31" s="46" t="s">
        <v>45</v>
      </c>
      <c r="AA31" s="46"/>
      <c r="AB31" s="46"/>
      <c r="AC31" s="46"/>
      <c r="AD31" s="46"/>
    </row>
    <row r="32" spans="1:42" s="45" customFormat="1" ht="26.25" customHeight="1" x14ac:dyDescent="0.35">
      <c r="A32" s="48" t="s">
        <v>33</v>
      </c>
      <c r="B32" s="46"/>
      <c r="C32" s="46"/>
      <c r="G32" s="48" t="s">
        <v>46</v>
      </c>
      <c r="H32" s="46"/>
      <c r="I32" s="46"/>
      <c r="J32" s="46"/>
      <c r="K32" s="46"/>
      <c r="L32" s="46"/>
      <c r="M32" s="46"/>
      <c r="N32" s="46"/>
      <c r="O32" s="46"/>
      <c r="R32" s="46"/>
      <c r="S32" s="46"/>
      <c r="T32" s="46"/>
      <c r="U32" s="46"/>
      <c r="V32" s="46" t="s">
        <v>34</v>
      </c>
      <c r="X32" s="46" t="s">
        <v>46</v>
      </c>
      <c r="Z32" s="52"/>
      <c r="AA32" s="46"/>
      <c r="AB32" s="46"/>
      <c r="AC32" s="83"/>
      <c r="AD32" s="84"/>
      <c r="AE32" s="85"/>
      <c r="AF32" s="86"/>
      <c r="AG32" s="87"/>
      <c r="AH32" s="86"/>
      <c r="AI32" s="88"/>
      <c r="AJ32" s="84"/>
      <c r="AK32" s="84"/>
      <c r="AL32" s="86"/>
      <c r="AM32" s="86"/>
      <c r="AN32" s="86"/>
      <c r="AO32" s="84"/>
      <c r="AP32" s="82"/>
    </row>
    <row r="33" spans="1:31" s="46" customFormat="1" ht="24" customHeight="1" x14ac:dyDescent="0.35">
      <c r="A33" s="48" t="s">
        <v>47</v>
      </c>
      <c r="G33" s="46" t="s">
        <v>65</v>
      </c>
      <c r="U33" s="53"/>
      <c r="Y33" s="54"/>
    </row>
    <row r="34" spans="1:31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52"/>
    </row>
    <row r="36" spans="1:31" ht="22.5" x14ac:dyDescent="0.35">
      <c r="B36" s="55"/>
      <c r="C36" s="55"/>
      <c r="D36" s="55"/>
      <c r="E36" s="55"/>
    </row>
    <row r="37" spans="1:31" ht="15.75" customHeight="1" x14ac:dyDescent="0.3"/>
    <row r="40" spans="1:31" ht="15.75" customHeight="1" x14ac:dyDescent="0.3"/>
    <row r="42" spans="1:31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4" spans="1:31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7" spans="1:31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E10"/>
    <mergeCell ref="A11:AE11"/>
    <mergeCell ref="A14:C15"/>
    <mergeCell ref="D14:AD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8">
    <tabColor theme="0"/>
  </sheetPr>
  <dimension ref="A10:AQ47"/>
  <sheetViews>
    <sheetView topLeftCell="A4" zoomScale="78" zoomScaleNormal="78" workbookViewId="0">
      <selection activeCell="AA21" sqref="AA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customWidth="1"/>
    <col min="7" max="7" width="18.710937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2.5703125" style="1" bestFit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9" width="18.5703125" style="1" customWidth="1"/>
    <col min="30" max="30" width="12.42578125" style="1" bestFit="1" customWidth="1"/>
    <col min="31" max="31" width="9.140625" style="1" bestFit="1" customWidth="1"/>
    <col min="32" max="32" width="14.28515625" style="1" bestFit="1" customWidth="1"/>
    <col min="33" max="33" width="10.28515625" style="1" bestFit="1" customWidth="1"/>
    <col min="34" max="34" width="9.140625" style="1"/>
    <col min="35" max="35" width="10.7109375" style="1" bestFit="1" customWidth="1"/>
    <col min="36" max="16384" width="9.140625" style="1"/>
  </cols>
  <sheetData>
    <row r="10" spans="1:32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</row>
    <row r="11" spans="1:32" ht="34.5" x14ac:dyDescent="0.45">
      <c r="A11" s="315" t="s">
        <v>98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</row>
    <row r="12" spans="1:32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22.5" thickBot="1" x14ac:dyDescent="0.35"/>
    <row r="14" spans="1:32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8"/>
    </row>
    <row r="15" spans="1:32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1"/>
    </row>
    <row r="16" spans="1:32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41</v>
      </c>
      <c r="AD16" s="57" t="s">
        <v>12</v>
      </c>
      <c r="AE16" s="109" t="s">
        <v>13</v>
      </c>
    </row>
    <row r="17" spans="1:43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10</v>
      </c>
      <c r="AC17" s="11">
        <v>40</v>
      </c>
      <c r="AD17" s="12"/>
      <c r="AE17" s="12"/>
    </row>
    <row r="18" spans="1:43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  <c r="AE18" s="10"/>
    </row>
    <row r="19" spans="1:43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22</v>
      </c>
      <c r="AE19" s="19" t="s">
        <v>20</v>
      </c>
    </row>
    <row r="20" spans="1:43" ht="68.25" customHeight="1" x14ac:dyDescent="0.3">
      <c r="A20" s="56">
        <v>45404</v>
      </c>
      <c r="B20" s="338" t="s">
        <v>23</v>
      </c>
      <c r="C20" s="339"/>
      <c r="D20" s="21"/>
      <c r="E20" s="21">
        <f>'4-8-14,2024'!E24</f>
        <v>0</v>
      </c>
      <c r="F20" s="21">
        <f>'4-15-21,2024'!F24</f>
        <v>1692</v>
      </c>
      <c r="G20" s="62">
        <f>'4-15-21,2024'!G24</f>
        <v>1175</v>
      </c>
      <c r="H20" s="21" t="e">
        <f>'4-15-21,2024'!H24</f>
        <v>#REF!</v>
      </c>
      <c r="I20" s="21" t="e">
        <f>'4-15-21,2024'!I24</f>
        <v>#REF!</v>
      </c>
      <c r="J20" s="21">
        <f>'4-15-21,2024'!J24</f>
        <v>0</v>
      </c>
      <c r="K20" s="21">
        <f>'4-15-21,2024'!K24</f>
        <v>0</v>
      </c>
      <c r="L20" s="21">
        <f>'4-15-21,2024'!L24</f>
        <v>0</v>
      </c>
      <c r="M20" s="21">
        <f>'4-15-21,2024'!M24</f>
        <v>0</v>
      </c>
      <c r="N20" s="21" t="e">
        <f>'4-15-21,2024'!N24</f>
        <v>#REF!</v>
      </c>
      <c r="O20" s="21" t="e">
        <f>'4-15-21,2024'!O24</f>
        <v>#REF!</v>
      </c>
      <c r="P20" s="21">
        <f>'4-15-21,2024'!P24</f>
        <v>47320</v>
      </c>
      <c r="Q20" s="21">
        <f>'4-15-21,2024'!Q24</f>
        <v>13000</v>
      </c>
      <c r="R20" s="21">
        <f>'4-15-21,2024'!R24</f>
        <v>0</v>
      </c>
      <c r="S20" s="21">
        <f>'4-15-21,2024'!S24</f>
        <v>0</v>
      </c>
      <c r="T20" s="21" t="e">
        <f>'4-15-21,2024'!T24</f>
        <v>#REF!</v>
      </c>
      <c r="U20" s="21">
        <f>'4-15-21,2024'!U24</f>
        <v>975</v>
      </c>
      <c r="V20" s="21" t="e">
        <f>'4-15-21,2024'!V24</f>
        <v>#REF!</v>
      </c>
      <c r="W20" s="21">
        <f>'4-15-21,2024'!W24</f>
        <v>3095</v>
      </c>
      <c r="X20" s="21">
        <f>'4-15-21,2024'!X24</f>
        <v>472</v>
      </c>
      <c r="Y20" s="21">
        <f>'4-15-21,2024'!Y24</f>
        <v>1600</v>
      </c>
      <c r="Z20" s="21">
        <f>'4-15-21,2024'!Z24</f>
        <v>7793</v>
      </c>
      <c r="AA20" s="21">
        <f>5540-3000</f>
        <v>2540</v>
      </c>
      <c r="AB20" s="21">
        <v>3000</v>
      </c>
      <c r="AC20" s="21">
        <f>'4-15-21,2024'!AB24</f>
        <v>450</v>
      </c>
      <c r="AD20" s="21">
        <f>'4-15-21,2024'!AC24</f>
        <v>300</v>
      </c>
      <c r="AE20" s="21">
        <f>'4-15-21,2024'!AD24</f>
        <v>96</v>
      </c>
      <c r="AF20" s="28"/>
    </row>
    <row r="21" spans="1:43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3"/>
      <c r="Q21" s="22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31"/>
      <c r="AD21" s="23"/>
      <c r="AE21" s="32"/>
      <c r="AG21" s="33"/>
    </row>
    <row r="22" spans="1:43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E22" si="0">E20+E21</f>
        <v>0</v>
      </c>
      <c r="F22" s="34">
        <f>F20+F21</f>
        <v>1692</v>
      </c>
      <c r="G22" s="111">
        <f t="shared" si="0"/>
        <v>1175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47320</v>
      </c>
      <c r="Q22" s="34">
        <f t="shared" si="0"/>
        <v>13000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3095</v>
      </c>
      <c r="X22" s="34">
        <f t="shared" si="0"/>
        <v>472</v>
      </c>
      <c r="Y22" s="34">
        <f t="shared" si="0"/>
        <v>1600</v>
      </c>
      <c r="Z22" s="34">
        <f t="shared" si="0"/>
        <v>7793</v>
      </c>
      <c r="AA22" s="34">
        <f t="shared" si="0"/>
        <v>2540</v>
      </c>
      <c r="AB22" s="34">
        <f t="shared" ref="AB22" si="1">AB20+AB21</f>
        <v>3000</v>
      </c>
      <c r="AC22" s="34">
        <f t="shared" si="0"/>
        <v>450</v>
      </c>
      <c r="AD22" s="34">
        <f t="shared" si="0"/>
        <v>300</v>
      </c>
      <c r="AE22" s="34">
        <f t="shared" si="0"/>
        <v>96</v>
      </c>
    </row>
    <row r="23" spans="1:43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f>36*47</f>
        <v>1692</v>
      </c>
      <c r="G23" s="26">
        <f>F23/36*25</f>
        <v>1175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42*91</f>
        <v>3822</v>
      </c>
      <c r="Q23" s="26">
        <f>P23/91*25</f>
        <v>1050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160</v>
      </c>
      <c r="X23" s="22">
        <v>47</v>
      </c>
      <c r="Y23" s="22">
        <v>560</v>
      </c>
      <c r="Z23" s="30">
        <v>593</v>
      </c>
      <c r="AA23" s="30">
        <v>840</v>
      </c>
      <c r="AB23" s="30"/>
      <c r="AC23" s="30">
        <v>0</v>
      </c>
      <c r="AD23" s="22">
        <v>0</v>
      </c>
      <c r="AE23" s="38">
        <v>0</v>
      </c>
    </row>
    <row r="24" spans="1:43" s="3" customFormat="1" ht="100.5" customHeight="1" thickBot="1" x14ac:dyDescent="0.25">
      <c r="A24" s="39">
        <v>45410</v>
      </c>
      <c r="B24" s="336" t="s">
        <v>28</v>
      </c>
      <c r="C24" s="337"/>
      <c r="D24" s="40">
        <f>D22-D23</f>
        <v>0</v>
      </c>
      <c r="E24" s="40">
        <f t="shared" ref="E24:AD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O24" si="4">N22-N23</f>
        <v>#REF!</v>
      </c>
      <c r="O24" s="41" t="e">
        <f t="shared" si="4"/>
        <v>#REF!</v>
      </c>
      <c r="P24" s="40">
        <f>P22-P23</f>
        <v>43498</v>
      </c>
      <c r="Q24" s="40">
        <f>Q22-Q23</f>
        <v>11950</v>
      </c>
      <c r="R24" s="40">
        <f>R22-R23</f>
        <v>0</v>
      </c>
      <c r="S24" s="42">
        <f t="shared" ref="S24" si="5">S22-S23</f>
        <v>0</v>
      </c>
      <c r="T24" s="41" t="e">
        <f t="shared" si="2"/>
        <v>#REF!</v>
      </c>
      <c r="U24" s="41">
        <f t="shared" si="2"/>
        <v>975</v>
      </c>
      <c r="V24" s="41" t="e">
        <f t="shared" si="2"/>
        <v>#REF!</v>
      </c>
      <c r="W24" s="93">
        <f>W22-W23</f>
        <v>2935</v>
      </c>
      <c r="X24" s="40">
        <f t="shared" si="2"/>
        <v>425</v>
      </c>
      <c r="Y24" s="40">
        <f t="shared" si="2"/>
        <v>1040</v>
      </c>
      <c r="Z24" s="41">
        <f t="shared" si="2"/>
        <v>7200</v>
      </c>
      <c r="AA24" s="41">
        <f t="shared" si="2"/>
        <v>1700</v>
      </c>
      <c r="AB24" s="41">
        <f t="shared" ref="AB24" si="6">AB22-AB23</f>
        <v>3000</v>
      </c>
      <c r="AC24" s="41">
        <f t="shared" si="2"/>
        <v>450</v>
      </c>
      <c r="AD24" s="40">
        <f t="shared" si="2"/>
        <v>300</v>
      </c>
      <c r="AE24" s="44">
        <f>AE22-AE23</f>
        <v>96</v>
      </c>
    </row>
    <row r="25" spans="1:43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>
        <f>P24/91</f>
        <v>478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43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43" s="45" customFormat="1" ht="24" customHeight="1" x14ac:dyDescent="0.35">
      <c r="A27" s="45" t="s">
        <v>29</v>
      </c>
      <c r="G27" s="45" t="s">
        <v>56</v>
      </c>
      <c r="O27" s="46"/>
      <c r="R27" s="45" t="s">
        <v>30</v>
      </c>
      <c r="X27" s="45" t="s">
        <v>57</v>
      </c>
      <c r="AA27" s="47"/>
      <c r="AB27" s="47"/>
      <c r="AC27" s="47"/>
      <c r="AD27" s="46"/>
      <c r="AE27" s="46"/>
    </row>
    <row r="28" spans="1:43" s="45" customFormat="1" ht="37.5" customHeight="1" x14ac:dyDescent="0.35">
      <c r="A28" s="48"/>
      <c r="B28" s="46"/>
      <c r="G28" s="49"/>
      <c r="H28" s="49"/>
      <c r="I28" s="49"/>
      <c r="J28" s="49"/>
      <c r="K28" s="49"/>
      <c r="L28" s="49"/>
      <c r="M28" s="49"/>
      <c r="N28" s="49"/>
      <c r="O28" s="49"/>
      <c r="R28" s="49"/>
      <c r="S28" s="49"/>
      <c r="AA28" s="49"/>
      <c r="AB28" s="49"/>
      <c r="AC28" s="49"/>
      <c r="AD28" s="49"/>
      <c r="AE28" s="49"/>
      <c r="AF28" s="46"/>
    </row>
    <row r="29" spans="1:43" s="45" customFormat="1" ht="14.25" customHeight="1" x14ac:dyDescent="0.35">
      <c r="A29" s="48"/>
      <c r="B29" s="46"/>
      <c r="G29" s="49"/>
      <c r="H29" s="49"/>
      <c r="I29" s="49"/>
      <c r="J29" s="49"/>
      <c r="K29" s="49"/>
      <c r="L29" s="49"/>
      <c r="M29" s="49"/>
      <c r="N29" s="49"/>
      <c r="O29" s="49"/>
      <c r="R29" s="49"/>
      <c r="S29" s="49"/>
      <c r="AA29" s="49"/>
      <c r="AB29" s="49"/>
      <c r="AC29" s="49"/>
      <c r="AD29" s="49"/>
      <c r="AE29" s="49"/>
      <c r="AF29" s="46"/>
    </row>
    <row r="30" spans="1:43" s="45" customFormat="1" ht="24" customHeight="1" x14ac:dyDescent="0.35">
      <c r="A30" s="50" t="s">
        <v>42</v>
      </c>
      <c r="B30" s="46"/>
      <c r="G30" s="50" t="s">
        <v>63</v>
      </c>
      <c r="H30" s="51"/>
      <c r="I30" s="51"/>
      <c r="J30" s="51"/>
      <c r="N30" s="46"/>
      <c r="O30" s="46"/>
      <c r="R30" s="50" t="s">
        <v>31</v>
      </c>
      <c r="X30" s="51" t="s">
        <v>43</v>
      </c>
      <c r="AF30" s="46"/>
    </row>
    <row r="31" spans="1:43" s="45" customFormat="1" ht="21.75" customHeight="1" x14ac:dyDescent="0.35">
      <c r="A31" s="48" t="s">
        <v>44</v>
      </c>
      <c r="B31" s="46"/>
      <c r="C31" s="46"/>
      <c r="G31" s="48" t="s">
        <v>94</v>
      </c>
      <c r="H31" s="46"/>
      <c r="I31" s="46"/>
      <c r="J31" s="46"/>
      <c r="K31" s="46"/>
      <c r="L31" s="46"/>
      <c r="M31" s="46"/>
      <c r="N31" s="46"/>
      <c r="O31" s="46"/>
      <c r="R31" s="46" t="s">
        <v>32</v>
      </c>
      <c r="S31" s="46"/>
      <c r="X31" s="46" t="s">
        <v>45</v>
      </c>
      <c r="AA31" s="46"/>
      <c r="AB31" s="46"/>
      <c r="AC31" s="46"/>
      <c r="AD31" s="46"/>
      <c r="AE31" s="46"/>
    </row>
    <row r="32" spans="1:43" s="45" customFormat="1" ht="26.25" customHeight="1" x14ac:dyDescent="0.35">
      <c r="A32" s="48" t="s">
        <v>33</v>
      </c>
      <c r="B32" s="46"/>
      <c r="C32" s="46"/>
      <c r="G32" s="48" t="s">
        <v>46</v>
      </c>
      <c r="H32" s="46"/>
      <c r="I32" s="46"/>
      <c r="J32" s="46"/>
      <c r="K32" s="46"/>
      <c r="L32" s="46"/>
      <c r="M32" s="46"/>
      <c r="N32" s="46"/>
      <c r="O32" s="46"/>
      <c r="R32" s="46"/>
      <c r="S32" s="46"/>
      <c r="T32" s="46"/>
      <c r="U32" s="46"/>
      <c r="V32" s="46" t="s">
        <v>34</v>
      </c>
      <c r="X32" s="46" t="s">
        <v>46</v>
      </c>
      <c r="Z32" s="52"/>
      <c r="AA32" s="46"/>
      <c r="AB32" s="46"/>
      <c r="AC32" s="46"/>
      <c r="AD32" s="83"/>
      <c r="AE32" s="84"/>
      <c r="AF32" s="85"/>
      <c r="AG32" s="86"/>
      <c r="AH32" s="87"/>
      <c r="AI32" s="86"/>
      <c r="AJ32" s="88"/>
      <c r="AK32" s="84"/>
      <c r="AL32" s="84"/>
      <c r="AM32" s="86"/>
      <c r="AN32" s="86"/>
      <c r="AO32" s="86"/>
      <c r="AP32" s="84"/>
      <c r="AQ32" s="82"/>
    </row>
    <row r="33" spans="1:32" s="46" customFormat="1" ht="24" customHeight="1" x14ac:dyDescent="0.35">
      <c r="A33" s="48" t="s">
        <v>47</v>
      </c>
      <c r="G33" s="46" t="s">
        <v>65</v>
      </c>
      <c r="U33" s="53"/>
      <c r="Y33" s="54"/>
    </row>
    <row r="34" spans="1:32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52"/>
    </row>
    <row r="36" spans="1:32" ht="22.5" x14ac:dyDescent="0.35">
      <c r="B36" s="55"/>
      <c r="C36" s="55"/>
      <c r="D36" s="55"/>
      <c r="E36" s="55"/>
    </row>
    <row r="37" spans="1:32" ht="15.75" customHeight="1" x14ac:dyDescent="0.3"/>
    <row r="40" spans="1:32" ht="15.75" customHeight="1" x14ac:dyDescent="0.3"/>
    <row r="42" spans="1:32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</row>
    <row r="44" spans="1:32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7" spans="1:32" ht="22.5" x14ac:dyDescent="0.35">
      <c r="A47" s="55"/>
    </row>
  </sheetData>
  <mergeCells count="35">
    <mergeCell ref="A10:AF10"/>
    <mergeCell ref="A11:AF11"/>
    <mergeCell ref="A14:C15"/>
    <mergeCell ref="D14:AE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9">
    <tabColor theme="0"/>
  </sheetPr>
  <dimension ref="A10:AQ47"/>
  <sheetViews>
    <sheetView topLeftCell="A7" zoomScale="78" zoomScaleNormal="78" workbookViewId="0">
      <selection activeCell="AB20" sqref="AB2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customWidth="1"/>
    <col min="7" max="7" width="18.710937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2.5703125" style="1" bestFit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9" width="18.5703125" style="1" customWidth="1"/>
    <col min="30" max="30" width="12.42578125" style="1" bestFit="1" customWidth="1"/>
    <col min="31" max="31" width="9.140625" style="1" bestFit="1" customWidth="1"/>
    <col min="32" max="32" width="14.28515625" style="1" bestFit="1" customWidth="1"/>
    <col min="33" max="33" width="10.28515625" style="1" bestFit="1" customWidth="1"/>
    <col min="34" max="34" width="9.140625" style="1"/>
    <col min="35" max="35" width="10.7109375" style="1" bestFit="1" customWidth="1"/>
    <col min="36" max="16384" width="9.140625" style="1"/>
  </cols>
  <sheetData>
    <row r="10" spans="1:32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</row>
    <row r="11" spans="1:32" ht="34.5" x14ac:dyDescent="0.45">
      <c r="A11" s="315" t="s">
        <v>99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</row>
    <row r="12" spans="1:32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22.5" thickBot="1" x14ac:dyDescent="0.35"/>
    <row r="14" spans="1:32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8"/>
    </row>
    <row r="15" spans="1:32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1"/>
    </row>
    <row r="16" spans="1:32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41</v>
      </c>
      <c r="AD16" s="57" t="s">
        <v>12</v>
      </c>
      <c r="AE16" s="110" t="s">
        <v>13</v>
      </c>
    </row>
    <row r="17" spans="1:43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10</v>
      </c>
      <c r="AC17" s="11">
        <v>40</v>
      </c>
      <c r="AD17" s="12"/>
      <c r="AE17" s="12"/>
    </row>
    <row r="18" spans="1:43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  <c r="AE18" s="10"/>
    </row>
    <row r="19" spans="1:43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22</v>
      </c>
      <c r="AE19" s="19" t="s">
        <v>20</v>
      </c>
    </row>
    <row r="20" spans="1:43" ht="68.25" customHeight="1" x14ac:dyDescent="0.3">
      <c r="A20" s="56">
        <v>45411</v>
      </c>
      <c r="B20" s="338" t="s">
        <v>23</v>
      </c>
      <c r="C20" s="339"/>
      <c r="D20" s="21"/>
      <c r="E20" s="21">
        <f>'4-8-14,2024'!E24</f>
        <v>0</v>
      </c>
      <c r="F20" s="21">
        <f>'4-22-28,2024 '!F24</f>
        <v>0</v>
      </c>
      <c r="G20" s="21">
        <f>'4-22-28,2024 '!G24</f>
        <v>0</v>
      </c>
      <c r="H20" s="21" t="e">
        <f>'4-22-28,2024 '!H24</f>
        <v>#REF!</v>
      </c>
      <c r="I20" s="21" t="e">
        <f>'4-22-28,2024 '!I24</f>
        <v>#REF!</v>
      </c>
      <c r="J20" s="21">
        <f>'4-22-28,2024 '!J24</f>
        <v>0</v>
      </c>
      <c r="K20" s="21">
        <f>'4-22-28,2024 '!K24</f>
        <v>0</v>
      </c>
      <c r="L20" s="21">
        <f>'4-22-28,2024 '!L24</f>
        <v>0</v>
      </c>
      <c r="M20" s="21">
        <f>'4-22-28,2024 '!M24</f>
        <v>0</v>
      </c>
      <c r="N20" s="21" t="e">
        <f>'4-22-28,2024 '!N24</f>
        <v>#REF!</v>
      </c>
      <c r="O20" s="21" t="e">
        <f>'4-22-28,2024 '!O24</f>
        <v>#REF!</v>
      </c>
      <c r="P20" s="21">
        <f>'4-22-28,2024 '!P24</f>
        <v>43498</v>
      </c>
      <c r="Q20" s="21">
        <f>'4-22-28,2024 '!Q24</f>
        <v>11950</v>
      </c>
      <c r="R20" s="21">
        <f>'4-22-28,2024 '!R24</f>
        <v>0</v>
      </c>
      <c r="S20" s="21">
        <f>'4-22-28,2024 '!S24</f>
        <v>0</v>
      </c>
      <c r="T20" s="21" t="e">
        <f>'4-22-28,2024 '!T24</f>
        <v>#REF!</v>
      </c>
      <c r="U20" s="21">
        <f>'4-22-28,2024 '!U24</f>
        <v>975</v>
      </c>
      <c r="V20" s="21" t="e">
        <f>'4-22-28,2024 '!V24</f>
        <v>#REF!</v>
      </c>
      <c r="W20" s="21">
        <f>'4-22-28,2024 '!W24</f>
        <v>2935</v>
      </c>
      <c r="X20" s="21">
        <f>'4-22-28,2024 '!X24</f>
        <v>425</v>
      </c>
      <c r="Y20" s="21">
        <f>'4-22-28,2024 '!Y24</f>
        <v>1040</v>
      </c>
      <c r="Z20" s="21">
        <f>'4-22-28,2024 '!Z24</f>
        <v>7200</v>
      </c>
      <c r="AA20" s="21">
        <f>'4-22-28,2024 '!AA24</f>
        <v>1700</v>
      </c>
      <c r="AB20" s="21">
        <f>'4-22-28,2024 '!AB24</f>
        <v>3000</v>
      </c>
      <c r="AC20" s="21">
        <f>'4-22-28,2024 '!AC24</f>
        <v>450</v>
      </c>
      <c r="AD20" s="21">
        <f>'4-22-28,2024 '!AD24</f>
        <v>300</v>
      </c>
      <c r="AE20" s="21">
        <f>'4-22-28,2024 '!AE24</f>
        <v>96</v>
      </c>
      <c r="AF20" s="28"/>
    </row>
    <row r="21" spans="1:43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3"/>
      <c r="Q21" s="22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31"/>
      <c r="AD21" s="23"/>
      <c r="AE21" s="32"/>
      <c r="AG21" s="33"/>
    </row>
    <row r="22" spans="1:43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E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43498</v>
      </c>
      <c r="Q22" s="34">
        <f t="shared" si="0"/>
        <v>11950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2935</v>
      </c>
      <c r="X22" s="34">
        <f t="shared" si="0"/>
        <v>425</v>
      </c>
      <c r="Y22" s="34">
        <f t="shared" si="0"/>
        <v>1040</v>
      </c>
      <c r="Z22" s="34">
        <f t="shared" si="0"/>
        <v>7200</v>
      </c>
      <c r="AA22" s="34">
        <f t="shared" si="0"/>
        <v>1700</v>
      </c>
      <c r="AB22" s="34">
        <f t="shared" si="0"/>
        <v>3000</v>
      </c>
      <c r="AC22" s="34">
        <f t="shared" si="0"/>
        <v>450</v>
      </c>
      <c r="AD22" s="34">
        <f t="shared" si="0"/>
        <v>300</v>
      </c>
      <c r="AE22" s="34">
        <f t="shared" si="0"/>
        <v>96</v>
      </c>
    </row>
    <row r="23" spans="1:43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40*91</f>
        <v>3640</v>
      </c>
      <c r="Q23" s="26">
        <f>P23/91*25</f>
        <v>1000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65</v>
      </c>
      <c r="X23" s="22">
        <v>64</v>
      </c>
      <c r="Y23" s="22">
        <v>240</v>
      </c>
      <c r="Z23" s="30">
        <f>10+10+92+153+71</f>
        <v>336</v>
      </c>
      <c r="AA23" s="30">
        <v>258</v>
      </c>
      <c r="AB23" s="30">
        <v>40</v>
      </c>
      <c r="AC23" s="30">
        <v>200</v>
      </c>
      <c r="AD23" s="22">
        <v>0</v>
      </c>
      <c r="AE23" s="38">
        <v>0</v>
      </c>
    </row>
    <row r="24" spans="1:43" s="3" customFormat="1" ht="100.5" customHeight="1" thickBot="1" x14ac:dyDescent="0.25">
      <c r="A24" s="39">
        <v>45417</v>
      </c>
      <c r="B24" s="336" t="s">
        <v>28</v>
      </c>
      <c r="C24" s="337"/>
      <c r="D24" s="40">
        <f>D22-D23</f>
        <v>0</v>
      </c>
      <c r="E24" s="40">
        <f t="shared" ref="E24:AD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39858</v>
      </c>
      <c r="Q24" s="40">
        <f>Q22-Q23</f>
        <v>10950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2870</v>
      </c>
      <c r="X24" s="40">
        <f t="shared" si="1"/>
        <v>361</v>
      </c>
      <c r="Y24" s="40">
        <f t="shared" si="1"/>
        <v>800</v>
      </c>
      <c r="Z24" s="41">
        <f t="shared" si="1"/>
        <v>6864</v>
      </c>
      <c r="AA24" s="41">
        <f t="shared" si="1"/>
        <v>1442</v>
      </c>
      <c r="AB24" s="41">
        <f t="shared" si="1"/>
        <v>2960</v>
      </c>
      <c r="AC24" s="41">
        <f t="shared" si="1"/>
        <v>250</v>
      </c>
      <c r="AD24" s="40">
        <f t="shared" si="1"/>
        <v>300</v>
      </c>
      <c r="AE24" s="44">
        <f>AE22-AE23</f>
        <v>96</v>
      </c>
    </row>
    <row r="25" spans="1:43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43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43" s="45" customFormat="1" ht="24" customHeight="1" x14ac:dyDescent="0.35">
      <c r="A27" s="45" t="s">
        <v>29</v>
      </c>
      <c r="G27" s="45" t="s">
        <v>56</v>
      </c>
      <c r="O27" s="46"/>
      <c r="R27" s="45" t="s">
        <v>30</v>
      </c>
      <c r="X27" s="45" t="s">
        <v>57</v>
      </c>
      <c r="AA27" s="47"/>
      <c r="AB27" s="47"/>
      <c r="AC27" s="47"/>
      <c r="AD27" s="46"/>
      <c r="AE27" s="46"/>
    </row>
    <row r="28" spans="1:43" s="45" customFormat="1" ht="37.5" customHeight="1" x14ac:dyDescent="0.35">
      <c r="A28" s="48"/>
      <c r="B28" s="46"/>
      <c r="G28" s="49"/>
      <c r="H28" s="49"/>
      <c r="I28" s="49"/>
      <c r="J28" s="49"/>
      <c r="K28" s="49"/>
      <c r="L28" s="49"/>
      <c r="M28" s="49"/>
      <c r="N28" s="49"/>
      <c r="O28" s="49"/>
      <c r="R28" s="49"/>
      <c r="S28" s="49"/>
      <c r="AA28" s="49"/>
      <c r="AB28" s="49"/>
      <c r="AC28" s="49"/>
      <c r="AD28" s="49"/>
      <c r="AE28" s="49"/>
      <c r="AF28" s="46"/>
    </row>
    <row r="29" spans="1:43" s="45" customFormat="1" ht="14.25" customHeight="1" x14ac:dyDescent="0.35">
      <c r="A29" s="48"/>
      <c r="B29" s="46"/>
      <c r="G29" s="49"/>
      <c r="H29" s="49"/>
      <c r="I29" s="49"/>
      <c r="J29" s="49"/>
      <c r="K29" s="49"/>
      <c r="L29" s="49"/>
      <c r="M29" s="49"/>
      <c r="N29" s="49"/>
      <c r="O29" s="49"/>
      <c r="R29" s="49"/>
      <c r="S29" s="49"/>
      <c r="AA29" s="49"/>
      <c r="AB29" s="49"/>
      <c r="AC29" s="49"/>
      <c r="AD29" s="49"/>
      <c r="AE29" s="49"/>
      <c r="AF29" s="46"/>
    </row>
    <row r="30" spans="1:43" s="45" customFormat="1" ht="24" customHeight="1" x14ac:dyDescent="0.35">
      <c r="A30" s="50" t="s">
        <v>42</v>
      </c>
      <c r="B30" s="46"/>
      <c r="G30" s="50" t="s">
        <v>50</v>
      </c>
      <c r="H30" s="51"/>
      <c r="I30" s="51"/>
      <c r="J30" s="51"/>
      <c r="N30" s="46"/>
      <c r="O30" s="46"/>
      <c r="R30" s="50" t="s">
        <v>31</v>
      </c>
      <c r="X30" s="51" t="s">
        <v>43</v>
      </c>
      <c r="AF30" s="46"/>
    </row>
    <row r="31" spans="1:43" s="45" customFormat="1" ht="21.75" customHeight="1" x14ac:dyDescent="0.35">
      <c r="A31" s="48" t="s">
        <v>44</v>
      </c>
      <c r="B31" s="46"/>
      <c r="C31" s="46"/>
      <c r="G31" s="48" t="s">
        <v>34</v>
      </c>
      <c r="H31" s="46"/>
      <c r="I31" s="46"/>
      <c r="J31" s="46"/>
      <c r="K31" s="46"/>
      <c r="L31" s="46"/>
      <c r="M31" s="46"/>
      <c r="N31" s="46"/>
      <c r="O31" s="46"/>
      <c r="R31" s="46" t="s">
        <v>32</v>
      </c>
      <c r="S31" s="46"/>
      <c r="X31" s="46" t="s">
        <v>45</v>
      </c>
      <c r="AA31" s="46"/>
      <c r="AB31" s="46"/>
      <c r="AC31" s="46"/>
      <c r="AD31" s="46"/>
      <c r="AE31" s="46"/>
    </row>
    <row r="32" spans="1:43" s="45" customFormat="1" ht="26.25" customHeight="1" x14ac:dyDescent="0.35">
      <c r="A32" s="48" t="s">
        <v>33</v>
      </c>
      <c r="B32" s="46"/>
      <c r="C32" s="46"/>
      <c r="G32" s="48" t="s">
        <v>46</v>
      </c>
      <c r="H32" s="46"/>
      <c r="I32" s="46"/>
      <c r="J32" s="46"/>
      <c r="K32" s="46"/>
      <c r="L32" s="46"/>
      <c r="M32" s="46"/>
      <c r="N32" s="46"/>
      <c r="O32" s="46"/>
      <c r="R32" s="46"/>
      <c r="S32" s="46"/>
      <c r="T32" s="46"/>
      <c r="U32" s="46"/>
      <c r="V32" s="46" t="s">
        <v>34</v>
      </c>
      <c r="X32" s="46" t="s">
        <v>46</v>
      </c>
      <c r="Z32" s="52"/>
      <c r="AA32" s="46"/>
      <c r="AB32" s="46"/>
      <c r="AC32" s="46"/>
      <c r="AD32" s="83"/>
      <c r="AE32" s="84"/>
      <c r="AF32" s="85"/>
      <c r="AG32" s="86"/>
      <c r="AH32" s="87"/>
      <c r="AI32" s="86"/>
      <c r="AJ32" s="88"/>
      <c r="AK32" s="84"/>
      <c r="AL32" s="84"/>
      <c r="AM32" s="86"/>
      <c r="AN32" s="86"/>
      <c r="AO32" s="86"/>
      <c r="AP32" s="84"/>
      <c r="AQ32" s="82"/>
    </row>
    <row r="33" spans="1:32" s="46" customFormat="1" ht="24" customHeight="1" x14ac:dyDescent="0.35">
      <c r="A33" s="48" t="s">
        <v>47</v>
      </c>
      <c r="G33" s="46" t="s">
        <v>51</v>
      </c>
      <c r="U33" s="53"/>
      <c r="Y33" s="54"/>
    </row>
    <row r="34" spans="1:32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52"/>
    </row>
    <row r="36" spans="1:32" ht="22.5" x14ac:dyDescent="0.35">
      <c r="B36" s="55"/>
      <c r="C36" s="55"/>
      <c r="D36" s="55"/>
      <c r="E36" s="55"/>
    </row>
    <row r="37" spans="1:32" ht="15.75" customHeight="1" x14ac:dyDescent="0.3"/>
    <row r="40" spans="1:32" ht="15.75" customHeight="1" x14ac:dyDescent="0.3"/>
    <row r="42" spans="1:32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</row>
    <row r="44" spans="1:32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7" spans="1:32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F10"/>
    <mergeCell ref="A11:AF11"/>
    <mergeCell ref="A14:C15"/>
    <mergeCell ref="D14:AE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>
    <tabColor theme="0"/>
  </sheetPr>
  <dimension ref="A10:AQ47"/>
  <sheetViews>
    <sheetView topLeftCell="A5" zoomScale="78" zoomScaleNormal="78" workbookViewId="0">
      <selection activeCell="AA23" sqref="AA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customWidth="1"/>
    <col min="7" max="7" width="18.710937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2.5703125" style="1" bestFit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9" width="18.5703125" style="1" customWidth="1"/>
    <col min="30" max="30" width="12.42578125" style="1" bestFit="1" customWidth="1"/>
    <col min="31" max="31" width="9.140625" style="1" bestFit="1" customWidth="1"/>
    <col min="32" max="32" width="14.28515625" style="1" bestFit="1" customWidth="1"/>
    <col min="33" max="33" width="10.28515625" style="1" bestFit="1" customWidth="1"/>
    <col min="34" max="34" width="9.140625" style="1"/>
    <col min="35" max="35" width="10.7109375" style="1" bestFit="1" customWidth="1"/>
    <col min="36" max="16384" width="9.140625" style="1"/>
  </cols>
  <sheetData>
    <row r="10" spans="1:32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</row>
    <row r="11" spans="1:32" ht="34.5" x14ac:dyDescent="0.45">
      <c r="A11" s="315" t="s">
        <v>100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</row>
    <row r="12" spans="1:32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22.5" thickBot="1" x14ac:dyDescent="0.35"/>
    <row r="14" spans="1:32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8"/>
    </row>
    <row r="15" spans="1:32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1"/>
    </row>
    <row r="16" spans="1:32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41</v>
      </c>
      <c r="AD16" s="57" t="s">
        <v>12</v>
      </c>
      <c r="AE16" s="112" t="s">
        <v>13</v>
      </c>
    </row>
    <row r="17" spans="1:43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10</v>
      </c>
      <c r="AC17" s="11">
        <v>40</v>
      </c>
      <c r="AD17" s="12"/>
      <c r="AE17" s="12"/>
    </row>
    <row r="18" spans="1:43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  <c r="AE18" s="10"/>
    </row>
    <row r="19" spans="1:43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22</v>
      </c>
      <c r="AE19" s="19" t="s">
        <v>20</v>
      </c>
    </row>
    <row r="20" spans="1:43" ht="68.25" customHeight="1" x14ac:dyDescent="0.3">
      <c r="A20" s="56">
        <v>45418</v>
      </c>
      <c r="B20" s="338" t="s">
        <v>23</v>
      </c>
      <c r="C20" s="339"/>
      <c r="D20" s="21"/>
      <c r="E20" s="21">
        <f>'4-8-14,2024'!E24</f>
        <v>0</v>
      </c>
      <c r="F20" s="21">
        <f>'4-29-5-5,2024'!F24</f>
        <v>0</v>
      </c>
      <c r="G20" s="21">
        <f>'4-29-5-5,2024'!G24</f>
        <v>0</v>
      </c>
      <c r="H20" s="21" t="e">
        <f>'4-29-5-5,2024'!H24</f>
        <v>#REF!</v>
      </c>
      <c r="I20" s="21" t="e">
        <f>'4-29-5-5,2024'!I24</f>
        <v>#REF!</v>
      </c>
      <c r="J20" s="21">
        <f>'4-29-5-5,2024'!J24</f>
        <v>0</v>
      </c>
      <c r="K20" s="21">
        <f>'4-29-5-5,2024'!K24</f>
        <v>0</v>
      </c>
      <c r="L20" s="21">
        <f>'4-29-5-5,2024'!L24</f>
        <v>0</v>
      </c>
      <c r="M20" s="21">
        <f>'4-29-5-5,2024'!M24</f>
        <v>0</v>
      </c>
      <c r="N20" s="21" t="e">
        <f>'4-29-5-5,2024'!N24</f>
        <v>#REF!</v>
      </c>
      <c r="O20" s="21" t="e">
        <f>'4-29-5-5,2024'!O24</f>
        <v>#REF!</v>
      </c>
      <c r="P20" s="21">
        <f>'4-29-5-5,2024'!P24</f>
        <v>39858</v>
      </c>
      <c r="Q20" s="21">
        <f>'4-29-5-5,2024'!Q24</f>
        <v>10950</v>
      </c>
      <c r="R20" s="21">
        <f>'4-29-5-5,2024'!R24</f>
        <v>0</v>
      </c>
      <c r="S20" s="21">
        <f>'4-29-5-5,2024'!S24</f>
        <v>0</v>
      </c>
      <c r="T20" s="21" t="e">
        <f>'4-29-5-5,2024'!T24</f>
        <v>#REF!</v>
      </c>
      <c r="U20" s="21">
        <f>'4-29-5-5,2024'!U24</f>
        <v>975</v>
      </c>
      <c r="V20" s="21" t="e">
        <f>'4-29-5-5,2024'!V24</f>
        <v>#REF!</v>
      </c>
      <c r="W20" s="21">
        <f>'4-29-5-5,2024'!W24</f>
        <v>2870</v>
      </c>
      <c r="X20" s="21">
        <f>'4-29-5-5,2024'!X24</f>
        <v>361</v>
      </c>
      <c r="Y20" s="21">
        <f>'4-29-5-5,2024'!Y24</f>
        <v>800</v>
      </c>
      <c r="Z20" s="21">
        <f>'4-29-5-5,2024'!Z24</f>
        <v>6864</v>
      </c>
      <c r="AA20" s="21">
        <f>'4-29-5-5,2024'!AA24</f>
        <v>1442</v>
      </c>
      <c r="AB20" s="21">
        <f>'4-29-5-5,2024'!AB24</f>
        <v>2960</v>
      </c>
      <c r="AC20" s="21">
        <f>'4-29-5-5,2024'!AC24</f>
        <v>250</v>
      </c>
      <c r="AD20" s="21">
        <f>'4-29-5-5,2024'!AD24</f>
        <v>300</v>
      </c>
      <c r="AE20" s="21">
        <f>'4-29-5-5,2024'!AE24</f>
        <v>96</v>
      </c>
      <c r="AF20" s="28"/>
    </row>
    <row r="21" spans="1:43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3"/>
      <c r="Q21" s="22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31"/>
      <c r="AD21" s="23"/>
      <c r="AE21" s="32"/>
      <c r="AG21" s="33"/>
    </row>
    <row r="22" spans="1:43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E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39858</v>
      </c>
      <c r="Q22" s="34">
        <f t="shared" si="0"/>
        <v>10950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2870</v>
      </c>
      <c r="X22" s="34">
        <f t="shared" si="0"/>
        <v>361</v>
      </c>
      <c r="Y22" s="34">
        <f t="shared" si="0"/>
        <v>800</v>
      </c>
      <c r="Z22" s="34">
        <f t="shared" si="0"/>
        <v>6864</v>
      </c>
      <c r="AA22" s="34">
        <f t="shared" si="0"/>
        <v>1442</v>
      </c>
      <c r="AB22" s="34">
        <f t="shared" si="0"/>
        <v>2960</v>
      </c>
      <c r="AC22" s="34">
        <f t="shared" si="0"/>
        <v>250</v>
      </c>
      <c r="AD22" s="34">
        <f t="shared" si="0"/>
        <v>300</v>
      </c>
      <c r="AE22" s="34">
        <f t="shared" si="0"/>
        <v>96</v>
      </c>
    </row>
    <row r="23" spans="1:43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9737</v>
      </c>
      <c r="Q23" s="26">
        <f>P23/91*25</f>
        <v>2675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125</v>
      </c>
      <c r="X23" s="22">
        <v>60</v>
      </c>
      <c r="Y23" s="22">
        <v>640</v>
      </c>
      <c r="Z23" s="30">
        <v>764</v>
      </c>
      <c r="AA23" s="30">
        <v>530</v>
      </c>
      <c r="AB23" s="30">
        <v>0</v>
      </c>
      <c r="AC23" s="30">
        <v>0</v>
      </c>
      <c r="AD23" s="22">
        <v>0</v>
      </c>
      <c r="AE23" s="38">
        <v>0</v>
      </c>
    </row>
    <row r="24" spans="1:43" s="3" customFormat="1" ht="100.5" customHeight="1" thickBot="1" x14ac:dyDescent="0.25">
      <c r="A24" s="39">
        <v>45424</v>
      </c>
      <c r="B24" s="336" t="s">
        <v>28</v>
      </c>
      <c r="C24" s="337"/>
      <c r="D24" s="40">
        <f>D22-D23</f>
        <v>0</v>
      </c>
      <c r="E24" s="40">
        <f t="shared" ref="E24:AD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30121</v>
      </c>
      <c r="Q24" s="40">
        <f>Q22-Q23</f>
        <v>8275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2745</v>
      </c>
      <c r="X24" s="40">
        <f t="shared" si="1"/>
        <v>301</v>
      </c>
      <c r="Y24" s="40">
        <f t="shared" si="1"/>
        <v>160</v>
      </c>
      <c r="Z24" s="41">
        <f t="shared" si="1"/>
        <v>6100</v>
      </c>
      <c r="AA24" s="41">
        <f t="shared" si="1"/>
        <v>912</v>
      </c>
      <c r="AB24" s="41">
        <f t="shared" si="1"/>
        <v>2960</v>
      </c>
      <c r="AC24" s="41">
        <f t="shared" si="1"/>
        <v>250</v>
      </c>
      <c r="AD24" s="40">
        <f t="shared" si="1"/>
        <v>300</v>
      </c>
      <c r="AE24" s="44">
        <f>AE22-AE23</f>
        <v>96</v>
      </c>
    </row>
    <row r="25" spans="1:43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43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43" s="45" customFormat="1" ht="24" customHeight="1" x14ac:dyDescent="0.35">
      <c r="A27" s="45" t="s">
        <v>29</v>
      </c>
      <c r="G27" s="45" t="s">
        <v>56</v>
      </c>
      <c r="O27" s="46"/>
      <c r="R27" s="45" t="s">
        <v>30</v>
      </c>
      <c r="X27" s="45" t="s">
        <v>57</v>
      </c>
      <c r="AA27" s="47"/>
      <c r="AB27" s="47"/>
      <c r="AC27" s="47"/>
      <c r="AD27" s="46"/>
      <c r="AE27" s="46"/>
    </row>
    <row r="28" spans="1:43" s="45" customFormat="1" ht="37.5" customHeight="1" x14ac:dyDescent="0.35">
      <c r="A28" s="48"/>
      <c r="B28" s="46"/>
      <c r="G28" s="49"/>
      <c r="H28" s="49"/>
      <c r="I28" s="49"/>
      <c r="J28" s="49"/>
      <c r="K28" s="49"/>
      <c r="L28" s="49"/>
      <c r="M28" s="49"/>
      <c r="N28" s="49"/>
      <c r="O28" s="49"/>
      <c r="R28" s="49"/>
      <c r="S28" s="49"/>
      <c r="AA28" s="49"/>
      <c r="AB28" s="49"/>
      <c r="AC28" s="49"/>
      <c r="AD28" s="49"/>
      <c r="AE28" s="49"/>
      <c r="AF28" s="46"/>
    </row>
    <row r="29" spans="1:43" s="45" customFormat="1" ht="14.25" customHeight="1" x14ac:dyDescent="0.35">
      <c r="A29" s="48"/>
      <c r="B29" s="46"/>
      <c r="G29" s="49"/>
      <c r="H29" s="49"/>
      <c r="I29" s="49"/>
      <c r="J29" s="49"/>
      <c r="K29" s="49"/>
      <c r="L29" s="49"/>
      <c r="M29" s="49"/>
      <c r="N29" s="49"/>
      <c r="O29" s="49"/>
      <c r="R29" s="49"/>
      <c r="S29" s="49"/>
      <c r="AA29" s="49"/>
      <c r="AB29" s="49"/>
      <c r="AC29" s="49"/>
      <c r="AD29" s="49"/>
      <c r="AE29" s="49"/>
      <c r="AF29" s="46"/>
    </row>
    <row r="30" spans="1:43" s="45" customFormat="1" ht="24" customHeight="1" x14ac:dyDescent="0.35">
      <c r="A30" s="50" t="s">
        <v>42</v>
      </c>
      <c r="B30" s="46"/>
      <c r="G30" s="50" t="s">
        <v>63</v>
      </c>
      <c r="H30" s="51"/>
      <c r="I30" s="51"/>
      <c r="J30" s="51"/>
      <c r="N30" s="46"/>
      <c r="O30" s="46"/>
      <c r="R30" s="50" t="s">
        <v>31</v>
      </c>
      <c r="X30" s="51" t="s">
        <v>43</v>
      </c>
      <c r="AF30" s="46"/>
    </row>
    <row r="31" spans="1:43" s="45" customFormat="1" ht="21.75" customHeight="1" x14ac:dyDescent="0.35">
      <c r="A31" s="48" t="s">
        <v>44</v>
      </c>
      <c r="B31" s="46"/>
      <c r="C31" s="46"/>
      <c r="G31" s="48" t="s">
        <v>34</v>
      </c>
      <c r="H31" s="46"/>
      <c r="I31" s="46"/>
      <c r="J31" s="46"/>
      <c r="K31" s="46"/>
      <c r="L31" s="46"/>
      <c r="M31" s="46"/>
      <c r="N31" s="46"/>
      <c r="O31" s="46"/>
      <c r="R31" s="46" t="s">
        <v>32</v>
      </c>
      <c r="S31" s="46"/>
      <c r="X31" s="46" t="s">
        <v>45</v>
      </c>
      <c r="AA31" s="46"/>
      <c r="AB31" s="46"/>
      <c r="AC31" s="46"/>
      <c r="AD31" s="46"/>
      <c r="AE31" s="46"/>
    </row>
    <row r="32" spans="1:43" s="45" customFormat="1" ht="26.25" customHeight="1" x14ac:dyDescent="0.35">
      <c r="A32" s="48" t="s">
        <v>33</v>
      </c>
      <c r="B32" s="46"/>
      <c r="C32" s="46"/>
      <c r="G32" s="48" t="s">
        <v>46</v>
      </c>
      <c r="H32" s="46"/>
      <c r="I32" s="46"/>
      <c r="J32" s="46"/>
      <c r="K32" s="46"/>
      <c r="L32" s="46"/>
      <c r="M32" s="46"/>
      <c r="N32" s="46"/>
      <c r="O32" s="46"/>
      <c r="R32" s="46"/>
      <c r="S32" s="46"/>
      <c r="T32" s="46"/>
      <c r="U32" s="46"/>
      <c r="V32" s="46" t="s">
        <v>34</v>
      </c>
      <c r="X32" s="46" t="s">
        <v>46</v>
      </c>
      <c r="Z32" s="52"/>
      <c r="AA32" s="46"/>
      <c r="AB32" s="46"/>
      <c r="AC32" s="46"/>
      <c r="AD32" s="83"/>
      <c r="AE32" s="84"/>
      <c r="AF32" s="85"/>
      <c r="AG32" s="86"/>
      <c r="AH32" s="87"/>
      <c r="AI32" s="86"/>
      <c r="AJ32" s="88"/>
      <c r="AK32" s="84"/>
      <c r="AL32" s="84"/>
      <c r="AM32" s="86"/>
      <c r="AN32" s="86"/>
      <c r="AO32" s="86"/>
      <c r="AP32" s="84"/>
      <c r="AQ32" s="82"/>
    </row>
    <row r="33" spans="1:32" s="46" customFormat="1" ht="24" customHeight="1" x14ac:dyDescent="0.35">
      <c r="A33" s="48" t="s">
        <v>47</v>
      </c>
      <c r="G33" s="46" t="s">
        <v>65</v>
      </c>
      <c r="U33" s="53"/>
      <c r="Y33" s="54"/>
    </row>
    <row r="34" spans="1:32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52"/>
    </row>
    <row r="36" spans="1:32" ht="22.5" x14ac:dyDescent="0.35">
      <c r="B36" s="55"/>
      <c r="C36" s="55"/>
      <c r="D36" s="55"/>
      <c r="E36" s="55"/>
    </row>
    <row r="37" spans="1:32" ht="15.75" customHeight="1" x14ac:dyDescent="0.3"/>
    <row r="40" spans="1:32" ht="15.75" customHeight="1" x14ac:dyDescent="0.3"/>
    <row r="42" spans="1:32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</row>
    <row r="44" spans="1:32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7" spans="1:32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F10"/>
    <mergeCell ref="A11:AF11"/>
    <mergeCell ref="A14:C15"/>
    <mergeCell ref="D14:AE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>
    <tabColor theme="0"/>
  </sheetPr>
  <dimension ref="A10:AQ47"/>
  <sheetViews>
    <sheetView topLeftCell="A4" zoomScale="78" zoomScaleNormal="78" workbookViewId="0">
      <selection activeCell="AA23" sqref="AA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customWidth="1"/>
    <col min="7" max="7" width="18.710937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2.5703125" style="1" bestFit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9" width="18.5703125" style="1" customWidth="1"/>
    <col min="30" max="30" width="12.42578125" style="1" bestFit="1" customWidth="1"/>
    <col min="31" max="31" width="9.140625" style="1" bestFit="1" customWidth="1"/>
    <col min="32" max="32" width="14.28515625" style="1" bestFit="1" customWidth="1"/>
    <col min="33" max="33" width="10.28515625" style="1" bestFit="1" customWidth="1"/>
    <col min="34" max="34" width="9.140625" style="1"/>
    <col min="35" max="35" width="10.7109375" style="1" bestFit="1" customWidth="1"/>
    <col min="36" max="16384" width="9.140625" style="1"/>
  </cols>
  <sheetData>
    <row r="10" spans="1:32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</row>
    <row r="11" spans="1:32" ht="34.5" x14ac:dyDescent="0.45">
      <c r="A11" s="315" t="s">
        <v>101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</row>
    <row r="12" spans="1:32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22.5" thickBot="1" x14ac:dyDescent="0.35"/>
    <row r="14" spans="1:32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8"/>
    </row>
    <row r="15" spans="1:32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1"/>
    </row>
    <row r="16" spans="1:32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41</v>
      </c>
      <c r="AD16" s="57" t="s">
        <v>12</v>
      </c>
      <c r="AE16" s="113" t="s">
        <v>13</v>
      </c>
    </row>
    <row r="17" spans="1:43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10</v>
      </c>
      <c r="AC17" s="11">
        <v>40</v>
      </c>
      <c r="AD17" s="12"/>
      <c r="AE17" s="12"/>
    </row>
    <row r="18" spans="1:43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  <c r="AE18" s="10"/>
    </row>
    <row r="19" spans="1:43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22</v>
      </c>
      <c r="AE19" s="19" t="s">
        <v>20</v>
      </c>
    </row>
    <row r="20" spans="1:43" ht="68.25" customHeight="1" x14ac:dyDescent="0.3">
      <c r="A20" s="56">
        <v>45425</v>
      </c>
      <c r="B20" s="338" t="s">
        <v>23</v>
      </c>
      <c r="C20" s="339"/>
      <c r="D20" s="21"/>
      <c r="E20" s="21">
        <f>'4-8-14,2024'!E24</f>
        <v>0</v>
      </c>
      <c r="F20" s="21">
        <f>'5-6-12,2024'!F24</f>
        <v>0</v>
      </c>
      <c r="G20" s="21">
        <f>'5-6-12,2024'!G24</f>
        <v>0</v>
      </c>
      <c r="H20" s="21" t="e">
        <f>'5-6-12,2024'!H24</f>
        <v>#REF!</v>
      </c>
      <c r="I20" s="21" t="e">
        <f>'5-6-12,2024'!I24</f>
        <v>#REF!</v>
      </c>
      <c r="J20" s="21">
        <f>'5-6-12,2024'!J24</f>
        <v>0</v>
      </c>
      <c r="K20" s="21">
        <f>'5-6-12,2024'!K24</f>
        <v>0</v>
      </c>
      <c r="L20" s="21">
        <f>'5-6-12,2024'!L24</f>
        <v>0</v>
      </c>
      <c r="M20" s="21">
        <f>'5-6-12,2024'!M24</f>
        <v>0</v>
      </c>
      <c r="N20" s="21" t="e">
        <f>'5-6-12,2024'!N24</f>
        <v>#REF!</v>
      </c>
      <c r="O20" s="21" t="e">
        <f>'5-6-12,2024'!O24</f>
        <v>#REF!</v>
      </c>
      <c r="P20" s="21">
        <f>'5-6-12,2024'!P24</f>
        <v>30121</v>
      </c>
      <c r="Q20" s="62">
        <f>'5-6-12,2024'!Q24</f>
        <v>8275</v>
      </c>
      <c r="R20" s="21">
        <f>'5-6-12,2024'!R24</f>
        <v>0</v>
      </c>
      <c r="S20" s="21">
        <f>'5-6-12,2024'!S24</f>
        <v>0</v>
      </c>
      <c r="T20" s="21" t="e">
        <f>'5-6-12,2024'!T24</f>
        <v>#REF!</v>
      </c>
      <c r="U20" s="21">
        <f>'5-6-12,2024'!U24</f>
        <v>975</v>
      </c>
      <c r="V20" s="21" t="e">
        <f>'5-6-12,2024'!V24</f>
        <v>#REF!</v>
      </c>
      <c r="W20" s="21">
        <f>'5-6-12,2024'!W24</f>
        <v>2745</v>
      </c>
      <c r="X20" s="21">
        <f>'5-6-12,2024'!X24</f>
        <v>301</v>
      </c>
      <c r="Y20" s="21">
        <f>'5-6-12,2024'!Y24</f>
        <v>160</v>
      </c>
      <c r="Z20" s="21">
        <f>'5-6-12,2024'!Z24</f>
        <v>6100</v>
      </c>
      <c r="AA20" s="21">
        <f>'5-6-12,2024'!AA24</f>
        <v>912</v>
      </c>
      <c r="AB20" s="21">
        <f>'5-6-12,2024'!AB24</f>
        <v>2960</v>
      </c>
      <c r="AC20" s="21">
        <f>'5-6-12,2024'!AC24</f>
        <v>250</v>
      </c>
      <c r="AD20" s="21">
        <f>'5-6-12,2024'!AD24</f>
        <v>300</v>
      </c>
      <c r="AE20" s="21">
        <f>'5-6-12,2024'!AE24</f>
        <v>96</v>
      </c>
      <c r="AF20" s="28"/>
    </row>
    <row r="21" spans="1:43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3"/>
      <c r="Q21" s="22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31"/>
      <c r="AD21" s="23"/>
      <c r="AE21" s="32"/>
      <c r="AG21" s="33"/>
    </row>
    <row r="22" spans="1:43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E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30121</v>
      </c>
      <c r="Q22" s="34">
        <f t="shared" si="0"/>
        <v>8275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2745</v>
      </c>
      <c r="X22" s="34">
        <f t="shared" si="0"/>
        <v>301</v>
      </c>
      <c r="Y22" s="34">
        <f t="shared" si="0"/>
        <v>160</v>
      </c>
      <c r="Z22" s="34">
        <f t="shared" si="0"/>
        <v>6100</v>
      </c>
      <c r="AA22" s="34">
        <f t="shared" si="0"/>
        <v>912</v>
      </c>
      <c r="AB22" s="34">
        <f t="shared" si="0"/>
        <v>2960</v>
      </c>
      <c r="AC22" s="34">
        <f t="shared" si="0"/>
        <v>250</v>
      </c>
      <c r="AD22" s="34">
        <f t="shared" si="0"/>
        <v>300</v>
      </c>
      <c r="AE22" s="34">
        <f t="shared" si="0"/>
        <v>96</v>
      </c>
    </row>
    <row r="23" spans="1:43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8099</v>
      </c>
      <c r="Q23" s="26">
        <f>P23/91*25</f>
        <v>2225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105</v>
      </c>
      <c r="X23" s="22">
        <v>55</v>
      </c>
      <c r="Y23" s="22">
        <v>0</v>
      </c>
      <c r="Z23" s="30">
        <v>612</v>
      </c>
      <c r="AA23" s="30">
        <v>400</v>
      </c>
      <c r="AB23" s="30">
        <v>0</v>
      </c>
      <c r="AC23" s="30">
        <v>0</v>
      </c>
      <c r="AD23" s="22">
        <v>0</v>
      </c>
      <c r="AE23" s="38">
        <v>0</v>
      </c>
    </row>
    <row r="24" spans="1:43" s="3" customFormat="1" ht="100.5" customHeight="1" thickBot="1" x14ac:dyDescent="0.25">
      <c r="A24" s="39">
        <v>45431</v>
      </c>
      <c r="B24" s="336" t="s">
        <v>28</v>
      </c>
      <c r="C24" s="337"/>
      <c r="D24" s="40">
        <f>D22-D23</f>
        <v>0</v>
      </c>
      <c r="E24" s="40">
        <f t="shared" ref="E24:AD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22022</v>
      </c>
      <c r="Q24" s="40">
        <f>Q22-Q23</f>
        <v>6050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2640</v>
      </c>
      <c r="X24" s="40">
        <f t="shared" si="1"/>
        <v>246</v>
      </c>
      <c r="Y24" s="40">
        <f t="shared" si="1"/>
        <v>160</v>
      </c>
      <c r="Z24" s="41">
        <f t="shared" si="1"/>
        <v>5488</v>
      </c>
      <c r="AA24" s="41">
        <f t="shared" si="1"/>
        <v>512</v>
      </c>
      <c r="AB24" s="41">
        <f t="shared" si="1"/>
        <v>2960</v>
      </c>
      <c r="AC24" s="41">
        <f t="shared" si="1"/>
        <v>250</v>
      </c>
      <c r="AD24" s="40">
        <f t="shared" si="1"/>
        <v>300</v>
      </c>
      <c r="AE24" s="44">
        <f>AE22-AE23</f>
        <v>96</v>
      </c>
    </row>
    <row r="25" spans="1:43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43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43" s="45" customFormat="1" ht="24" customHeight="1" x14ac:dyDescent="0.35">
      <c r="A27" s="45" t="s">
        <v>29</v>
      </c>
      <c r="G27" s="45" t="s">
        <v>56</v>
      </c>
      <c r="O27" s="46"/>
      <c r="R27" s="45" t="s">
        <v>30</v>
      </c>
      <c r="X27" s="45" t="s">
        <v>57</v>
      </c>
      <c r="AA27" s="47"/>
      <c r="AB27" s="47"/>
      <c r="AC27" s="47"/>
      <c r="AD27" s="46"/>
      <c r="AE27" s="46"/>
    </row>
    <row r="28" spans="1:43" s="45" customFormat="1" ht="37.5" customHeight="1" x14ac:dyDescent="0.35">
      <c r="A28" s="48"/>
      <c r="B28" s="46"/>
      <c r="G28" s="49"/>
      <c r="H28" s="49"/>
      <c r="I28" s="49"/>
      <c r="J28" s="49"/>
      <c r="K28" s="49"/>
      <c r="L28" s="49"/>
      <c r="M28" s="49"/>
      <c r="N28" s="49"/>
      <c r="O28" s="49"/>
      <c r="R28" s="49"/>
      <c r="S28" s="49"/>
      <c r="AA28" s="49"/>
      <c r="AB28" s="49"/>
      <c r="AC28" s="49"/>
      <c r="AD28" s="49"/>
      <c r="AE28" s="49"/>
      <c r="AF28" s="46"/>
    </row>
    <row r="29" spans="1:43" s="45" customFormat="1" ht="14.25" customHeight="1" x14ac:dyDescent="0.35">
      <c r="A29" s="48"/>
      <c r="B29" s="46"/>
      <c r="G29" s="49"/>
      <c r="H29" s="49"/>
      <c r="I29" s="49"/>
      <c r="J29" s="49"/>
      <c r="K29" s="49"/>
      <c r="L29" s="49"/>
      <c r="M29" s="49"/>
      <c r="N29" s="49"/>
      <c r="O29" s="49"/>
      <c r="R29" s="49"/>
      <c r="S29" s="49"/>
      <c r="AA29" s="49"/>
      <c r="AB29" s="49"/>
      <c r="AC29" s="49"/>
      <c r="AD29" s="49"/>
      <c r="AE29" s="49"/>
      <c r="AF29" s="46"/>
    </row>
    <row r="30" spans="1:43" s="45" customFormat="1" ht="24" customHeight="1" x14ac:dyDescent="0.35">
      <c r="A30" s="50" t="s">
        <v>42</v>
      </c>
      <c r="B30" s="46"/>
      <c r="G30" s="50" t="s">
        <v>63</v>
      </c>
      <c r="H30" s="51"/>
      <c r="I30" s="51"/>
      <c r="J30" s="51"/>
      <c r="N30" s="46"/>
      <c r="O30" s="46"/>
      <c r="R30" s="50" t="s">
        <v>31</v>
      </c>
      <c r="X30" s="51" t="s">
        <v>43</v>
      </c>
      <c r="AF30" s="46"/>
    </row>
    <row r="31" spans="1:43" s="45" customFormat="1" ht="21.75" customHeight="1" x14ac:dyDescent="0.35">
      <c r="A31" s="48" t="s">
        <v>44</v>
      </c>
      <c r="B31" s="46"/>
      <c r="C31" s="46"/>
      <c r="G31" s="48" t="s">
        <v>34</v>
      </c>
      <c r="H31" s="46"/>
      <c r="I31" s="46"/>
      <c r="J31" s="46"/>
      <c r="K31" s="46"/>
      <c r="L31" s="46"/>
      <c r="M31" s="46"/>
      <c r="N31" s="46"/>
      <c r="O31" s="46"/>
      <c r="R31" s="46" t="s">
        <v>32</v>
      </c>
      <c r="S31" s="46"/>
      <c r="X31" s="46" t="s">
        <v>45</v>
      </c>
      <c r="AA31" s="46"/>
      <c r="AB31" s="46"/>
      <c r="AC31" s="46"/>
      <c r="AD31" s="46"/>
      <c r="AE31" s="46"/>
    </row>
    <row r="32" spans="1:43" s="45" customFormat="1" ht="26.25" customHeight="1" x14ac:dyDescent="0.35">
      <c r="A32" s="48" t="s">
        <v>33</v>
      </c>
      <c r="B32" s="46"/>
      <c r="C32" s="46"/>
      <c r="G32" s="48" t="s">
        <v>46</v>
      </c>
      <c r="H32" s="46"/>
      <c r="I32" s="46"/>
      <c r="J32" s="46"/>
      <c r="K32" s="46"/>
      <c r="L32" s="46"/>
      <c r="M32" s="46"/>
      <c r="N32" s="46"/>
      <c r="O32" s="46"/>
      <c r="R32" s="46"/>
      <c r="S32" s="46"/>
      <c r="T32" s="46"/>
      <c r="U32" s="46"/>
      <c r="V32" s="46" t="s">
        <v>34</v>
      </c>
      <c r="X32" s="46" t="s">
        <v>46</v>
      </c>
      <c r="Z32" s="52"/>
      <c r="AA32" s="46"/>
      <c r="AB32" s="46"/>
      <c r="AC32" s="46"/>
      <c r="AD32" s="83"/>
      <c r="AE32" s="84"/>
      <c r="AF32" s="85"/>
      <c r="AG32" s="86"/>
      <c r="AH32" s="87"/>
      <c r="AI32" s="86"/>
      <c r="AJ32" s="88"/>
      <c r="AK32" s="84"/>
      <c r="AL32" s="84"/>
      <c r="AM32" s="86"/>
      <c r="AN32" s="86"/>
      <c r="AO32" s="86"/>
      <c r="AP32" s="84"/>
      <c r="AQ32" s="82"/>
    </row>
    <row r="33" spans="1:32" s="46" customFormat="1" ht="24" customHeight="1" x14ac:dyDescent="0.35">
      <c r="A33" s="48" t="s">
        <v>47</v>
      </c>
      <c r="G33" s="46" t="s">
        <v>65</v>
      </c>
      <c r="U33" s="53"/>
      <c r="Y33" s="54"/>
    </row>
    <row r="34" spans="1:32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52"/>
    </row>
    <row r="36" spans="1:32" ht="22.5" x14ac:dyDescent="0.35">
      <c r="B36" s="55"/>
      <c r="C36" s="55"/>
      <c r="D36" s="55"/>
      <c r="E36" s="55"/>
    </row>
    <row r="37" spans="1:32" ht="15.75" customHeight="1" x14ac:dyDescent="0.3"/>
    <row r="40" spans="1:32" ht="15.75" customHeight="1" x14ac:dyDescent="0.3"/>
    <row r="42" spans="1:32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</row>
    <row r="44" spans="1:32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7" spans="1:32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F10"/>
    <mergeCell ref="A11:AF11"/>
    <mergeCell ref="A14:C15"/>
    <mergeCell ref="D14:AE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>
    <tabColor theme="0"/>
  </sheetPr>
  <dimension ref="A10:AQ47"/>
  <sheetViews>
    <sheetView topLeftCell="A8" zoomScale="78" zoomScaleNormal="78" workbookViewId="0">
      <selection activeCell="AC24" sqref="AC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customWidth="1"/>
    <col min="7" max="7" width="18.7109375" style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2.5703125" style="1" bestFit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9.140625" style="1" bestFit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9" width="18.5703125" style="1" customWidth="1"/>
    <col min="30" max="30" width="12.42578125" style="1" bestFit="1" customWidth="1"/>
    <col min="31" max="31" width="9.140625" style="1" bestFit="1" customWidth="1"/>
    <col min="32" max="32" width="14.28515625" style="1" bestFit="1" customWidth="1"/>
    <col min="33" max="33" width="10.28515625" style="1" bestFit="1" customWidth="1"/>
    <col min="34" max="34" width="9.140625" style="1"/>
    <col min="35" max="35" width="10.7109375" style="1" bestFit="1" customWidth="1"/>
    <col min="36" max="16384" width="9.140625" style="1"/>
  </cols>
  <sheetData>
    <row r="10" spans="1:32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</row>
    <row r="11" spans="1:32" ht="34.5" x14ac:dyDescent="0.45">
      <c r="A11" s="315" t="s">
        <v>102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</row>
    <row r="12" spans="1:32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22.5" thickBot="1" x14ac:dyDescent="0.35"/>
    <row r="14" spans="1:32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8"/>
    </row>
    <row r="15" spans="1:32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1"/>
    </row>
    <row r="16" spans="1:32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41</v>
      </c>
      <c r="AD16" s="57" t="s">
        <v>12</v>
      </c>
      <c r="AE16" s="114" t="s">
        <v>13</v>
      </c>
    </row>
    <row r="17" spans="1:43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10</v>
      </c>
      <c r="AC17" s="11">
        <v>40</v>
      </c>
      <c r="AD17" s="12"/>
      <c r="AE17" s="12"/>
    </row>
    <row r="18" spans="1:43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  <c r="AE18" s="10"/>
    </row>
    <row r="19" spans="1:43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22</v>
      </c>
      <c r="AE19" s="19" t="s">
        <v>20</v>
      </c>
    </row>
    <row r="20" spans="1:43" ht="68.25" customHeight="1" x14ac:dyDescent="0.3">
      <c r="A20" s="56">
        <v>45432</v>
      </c>
      <c r="B20" s="338" t="s">
        <v>23</v>
      </c>
      <c r="C20" s="339"/>
      <c r="D20" s="21"/>
      <c r="E20" s="21">
        <f>'4-8-14,2024'!E24</f>
        <v>0</v>
      </c>
      <c r="F20" s="21">
        <f>'5-13-19,2024'!F24</f>
        <v>0</v>
      </c>
      <c r="G20" s="21">
        <f>'5-13-19,2024'!G24</f>
        <v>0</v>
      </c>
      <c r="H20" s="21" t="e">
        <f>'5-13-19,2024'!H24</f>
        <v>#REF!</v>
      </c>
      <c r="I20" s="21" t="e">
        <f>'5-13-19,2024'!I24</f>
        <v>#REF!</v>
      </c>
      <c r="J20" s="21">
        <f>'5-13-19,2024'!J24</f>
        <v>0</v>
      </c>
      <c r="K20" s="21">
        <f>'5-13-19,2024'!K24</f>
        <v>0</v>
      </c>
      <c r="L20" s="21">
        <f>'5-13-19,2024'!L24</f>
        <v>0</v>
      </c>
      <c r="M20" s="21">
        <f>'5-13-19,2024'!M24</f>
        <v>0</v>
      </c>
      <c r="N20" s="21" t="e">
        <f>'5-13-19,2024'!N24</f>
        <v>#REF!</v>
      </c>
      <c r="O20" s="21" t="e">
        <f>'5-13-19,2024'!O24</f>
        <v>#REF!</v>
      </c>
      <c r="P20" s="21">
        <f>'5-13-19,2024'!P24</f>
        <v>22022</v>
      </c>
      <c r="Q20" s="21">
        <f>'5-13-19,2024'!Q24</f>
        <v>6050</v>
      </c>
      <c r="R20" s="21">
        <f>'5-13-19,2024'!R24</f>
        <v>0</v>
      </c>
      <c r="S20" s="21">
        <f>'5-13-19,2024'!S24</f>
        <v>0</v>
      </c>
      <c r="T20" s="21" t="e">
        <f>'5-13-19,2024'!T24</f>
        <v>#REF!</v>
      </c>
      <c r="U20" s="21">
        <f>'5-13-19,2024'!U24</f>
        <v>975</v>
      </c>
      <c r="V20" s="21" t="e">
        <f>'5-13-19,2024'!V24</f>
        <v>#REF!</v>
      </c>
      <c r="W20" s="21">
        <f>'5-13-19,2024'!W24</f>
        <v>2640</v>
      </c>
      <c r="X20" s="21">
        <f>'5-13-19,2024'!X24</f>
        <v>246</v>
      </c>
      <c r="Y20" s="21">
        <f>'5-13-19,2024'!Y24</f>
        <v>160</v>
      </c>
      <c r="Z20" s="21">
        <f>'5-13-19,2024'!Z24</f>
        <v>5488</v>
      </c>
      <c r="AA20" s="21">
        <f>'5-13-19,2024'!AA24</f>
        <v>512</v>
      </c>
      <c r="AB20" s="21">
        <f>'5-13-19,2024'!AB24</f>
        <v>2960</v>
      </c>
      <c r="AC20" s="21">
        <f>'5-13-19,2024'!AC24</f>
        <v>250</v>
      </c>
      <c r="AD20" s="21">
        <f>'5-13-19,2024'!AD24</f>
        <v>300</v>
      </c>
      <c r="AE20" s="21">
        <f>'5-13-19,2024'!AE24</f>
        <v>96</v>
      </c>
      <c r="AF20" s="28"/>
    </row>
    <row r="21" spans="1:43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3"/>
      <c r="Q21" s="22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31"/>
      <c r="AD21" s="23"/>
      <c r="AE21" s="32"/>
      <c r="AG21" s="33"/>
    </row>
    <row r="22" spans="1:43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E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22022</v>
      </c>
      <c r="Q22" s="34">
        <f t="shared" si="0"/>
        <v>6050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2640</v>
      </c>
      <c r="X22" s="34">
        <f t="shared" si="0"/>
        <v>246</v>
      </c>
      <c r="Y22" s="34">
        <f t="shared" si="0"/>
        <v>160</v>
      </c>
      <c r="Z22" s="34">
        <f t="shared" si="0"/>
        <v>5488</v>
      </c>
      <c r="AA22" s="34">
        <f t="shared" si="0"/>
        <v>512</v>
      </c>
      <c r="AB22" s="34">
        <f t="shared" si="0"/>
        <v>2960</v>
      </c>
      <c r="AC22" s="34">
        <f t="shared" si="0"/>
        <v>250</v>
      </c>
      <c r="AD22" s="34">
        <f t="shared" si="0"/>
        <v>300</v>
      </c>
      <c r="AE22" s="34">
        <f t="shared" si="0"/>
        <v>96</v>
      </c>
    </row>
    <row r="23" spans="1:43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67*91</f>
        <v>6097</v>
      </c>
      <c r="Q23" s="26">
        <f>P23/91*25</f>
        <v>1675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100</v>
      </c>
      <c r="X23" s="22">
        <v>55</v>
      </c>
      <c r="Y23" s="22">
        <v>0</v>
      </c>
      <c r="Z23" s="30">
        <v>477</v>
      </c>
      <c r="AA23" s="30">
        <v>330</v>
      </c>
      <c r="AB23" s="30">
        <v>60</v>
      </c>
      <c r="AC23" s="30">
        <v>0</v>
      </c>
      <c r="AD23" s="22">
        <v>0</v>
      </c>
      <c r="AE23" s="38">
        <v>0</v>
      </c>
    </row>
    <row r="24" spans="1:43" s="3" customFormat="1" ht="100.5" customHeight="1" thickBot="1" x14ac:dyDescent="0.25">
      <c r="A24" s="39">
        <v>45438</v>
      </c>
      <c r="B24" s="336" t="s">
        <v>28</v>
      </c>
      <c r="C24" s="337"/>
      <c r="D24" s="40">
        <f>D22-D23</f>
        <v>0</v>
      </c>
      <c r="E24" s="40">
        <f t="shared" ref="E24:AD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15925</v>
      </c>
      <c r="Q24" s="40">
        <f>Q22-Q23</f>
        <v>4375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2540</v>
      </c>
      <c r="X24" s="40">
        <f t="shared" si="1"/>
        <v>191</v>
      </c>
      <c r="Y24" s="40">
        <f t="shared" si="1"/>
        <v>160</v>
      </c>
      <c r="Z24" s="41">
        <f t="shared" si="1"/>
        <v>5011</v>
      </c>
      <c r="AA24" s="41">
        <f t="shared" si="1"/>
        <v>182</v>
      </c>
      <c r="AB24" s="41">
        <f t="shared" si="1"/>
        <v>2900</v>
      </c>
      <c r="AC24" s="41">
        <f t="shared" si="1"/>
        <v>250</v>
      </c>
      <c r="AD24" s="40">
        <f t="shared" si="1"/>
        <v>300</v>
      </c>
      <c r="AE24" s="44">
        <f>AE22-AE23</f>
        <v>96</v>
      </c>
    </row>
    <row r="25" spans="1:43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43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43" s="45" customFormat="1" ht="24" customHeight="1" x14ac:dyDescent="0.35">
      <c r="A27" s="45" t="s">
        <v>29</v>
      </c>
      <c r="G27" s="45" t="s">
        <v>56</v>
      </c>
      <c r="O27" s="46"/>
      <c r="R27" s="45" t="s">
        <v>30</v>
      </c>
      <c r="X27" s="45" t="s">
        <v>57</v>
      </c>
      <c r="AA27" s="47"/>
      <c r="AB27" s="47"/>
      <c r="AC27" s="47"/>
      <c r="AD27" s="46"/>
      <c r="AE27" s="46"/>
    </row>
    <row r="28" spans="1:43" s="45" customFormat="1" ht="37.5" customHeight="1" x14ac:dyDescent="0.35">
      <c r="A28" s="48"/>
      <c r="B28" s="46"/>
      <c r="G28" s="49"/>
      <c r="H28" s="49"/>
      <c r="I28" s="49"/>
      <c r="J28" s="49"/>
      <c r="K28" s="49"/>
      <c r="L28" s="49"/>
      <c r="M28" s="49"/>
      <c r="N28" s="49"/>
      <c r="O28" s="49"/>
      <c r="R28" s="49"/>
      <c r="S28" s="49"/>
      <c r="AA28" s="49"/>
      <c r="AB28" s="49"/>
      <c r="AC28" s="49"/>
      <c r="AD28" s="49"/>
      <c r="AE28" s="49"/>
      <c r="AF28" s="46"/>
    </row>
    <row r="29" spans="1:43" s="45" customFormat="1" ht="14.25" customHeight="1" x14ac:dyDescent="0.35">
      <c r="A29" s="48"/>
      <c r="B29" s="46"/>
      <c r="G29" s="49"/>
      <c r="H29" s="49"/>
      <c r="I29" s="49"/>
      <c r="J29" s="49"/>
      <c r="K29" s="49"/>
      <c r="L29" s="49"/>
      <c r="M29" s="49"/>
      <c r="N29" s="49"/>
      <c r="O29" s="49"/>
      <c r="R29" s="49"/>
      <c r="S29" s="49"/>
      <c r="AA29" s="49"/>
      <c r="AB29" s="49"/>
      <c r="AC29" s="49"/>
      <c r="AD29" s="49"/>
      <c r="AE29" s="49"/>
      <c r="AF29" s="46"/>
    </row>
    <row r="30" spans="1:43" s="45" customFormat="1" ht="24" customHeight="1" x14ac:dyDescent="0.35">
      <c r="A30" s="50" t="s">
        <v>42</v>
      </c>
      <c r="B30" s="46"/>
      <c r="G30" s="50" t="s">
        <v>50</v>
      </c>
      <c r="H30" s="51"/>
      <c r="I30" s="51"/>
      <c r="J30" s="51"/>
      <c r="N30" s="46"/>
      <c r="O30" s="46"/>
      <c r="R30" s="50" t="s">
        <v>31</v>
      </c>
      <c r="X30" s="51" t="s">
        <v>43</v>
      </c>
      <c r="AF30" s="46"/>
    </row>
    <row r="31" spans="1:43" s="45" customFormat="1" ht="21.75" customHeight="1" x14ac:dyDescent="0.35">
      <c r="A31" s="48" t="s">
        <v>44</v>
      </c>
      <c r="B31" s="46"/>
      <c r="C31" s="46"/>
      <c r="G31" s="48" t="s">
        <v>34</v>
      </c>
      <c r="H31" s="46"/>
      <c r="I31" s="46"/>
      <c r="J31" s="46"/>
      <c r="K31" s="46"/>
      <c r="L31" s="46"/>
      <c r="M31" s="46"/>
      <c r="N31" s="46"/>
      <c r="O31" s="46"/>
      <c r="R31" s="46" t="s">
        <v>32</v>
      </c>
      <c r="S31" s="46"/>
      <c r="X31" s="46" t="s">
        <v>45</v>
      </c>
      <c r="AA31" s="46"/>
      <c r="AB31" s="46"/>
      <c r="AC31" s="46"/>
      <c r="AD31" s="46"/>
      <c r="AE31" s="46"/>
    </row>
    <row r="32" spans="1:43" s="45" customFormat="1" ht="26.25" customHeight="1" x14ac:dyDescent="0.35">
      <c r="A32" s="48" t="s">
        <v>33</v>
      </c>
      <c r="B32" s="46"/>
      <c r="C32" s="46"/>
      <c r="G32" s="48" t="s">
        <v>46</v>
      </c>
      <c r="H32" s="46"/>
      <c r="I32" s="46"/>
      <c r="J32" s="46"/>
      <c r="K32" s="46"/>
      <c r="L32" s="46"/>
      <c r="M32" s="46"/>
      <c r="N32" s="46"/>
      <c r="O32" s="46"/>
      <c r="R32" s="46"/>
      <c r="S32" s="46"/>
      <c r="T32" s="46"/>
      <c r="U32" s="46"/>
      <c r="V32" s="46" t="s">
        <v>34</v>
      </c>
      <c r="X32" s="46" t="s">
        <v>46</v>
      </c>
      <c r="Z32" s="52"/>
      <c r="AA32" s="46"/>
      <c r="AB32" s="46"/>
      <c r="AC32" s="46"/>
      <c r="AD32" s="83"/>
      <c r="AE32" s="84"/>
      <c r="AF32" s="85"/>
      <c r="AG32" s="86"/>
      <c r="AH32" s="87"/>
      <c r="AI32" s="86"/>
      <c r="AJ32" s="88"/>
      <c r="AK32" s="84"/>
      <c r="AL32" s="84"/>
      <c r="AM32" s="86"/>
      <c r="AN32" s="86"/>
      <c r="AO32" s="86"/>
      <c r="AP32" s="84"/>
      <c r="AQ32" s="82"/>
    </row>
    <row r="33" spans="1:32" s="46" customFormat="1" ht="24" customHeight="1" x14ac:dyDescent="0.35">
      <c r="A33" s="48" t="s">
        <v>47</v>
      </c>
      <c r="G33" s="46" t="s">
        <v>65</v>
      </c>
      <c r="U33" s="53"/>
      <c r="Y33" s="54"/>
    </row>
    <row r="34" spans="1:32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52"/>
    </row>
    <row r="36" spans="1:32" ht="22.5" x14ac:dyDescent="0.35">
      <c r="B36" s="55"/>
      <c r="C36" s="55"/>
      <c r="D36" s="55"/>
      <c r="E36" s="55"/>
    </row>
    <row r="37" spans="1:32" ht="15.75" customHeight="1" x14ac:dyDescent="0.3"/>
    <row r="40" spans="1:32" ht="15.75" customHeight="1" x14ac:dyDescent="0.3"/>
    <row r="42" spans="1:32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</row>
    <row r="44" spans="1:32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7" spans="1:32" ht="22.5" x14ac:dyDescent="0.35">
      <c r="A47" s="55"/>
    </row>
  </sheetData>
  <mergeCells count="35">
    <mergeCell ref="B20:C20"/>
    <mergeCell ref="A21:C21"/>
    <mergeCell ref="A22:C22"/>
    <mergeCell ref="A23:C23"/>
    <mergeCell ref="B24:C24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A10:AF10"/>
    <mergeCell ref="A11:AF11"/>
    <mergeCell ref="A14:C15"/>
    <mergeCell ref="D14:AE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3">
    <tabColor theme="0"/>
  </sheetPr>
  <dimension ref="A10:AQ47"/>
  <sheetViews>
    <sheetView topLeftCell="A7" zoomScale="78" zoomScaleNormal="78" workbookViewId="0">
      <selection activeCell="X26" sqref="X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2.5703125" style="1" bestFit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12.1406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9" width="18.5703125" style="1" customWidth="1"/>
    <col min="30" max="30" width="12.42578125" style="1" bestFit="1" customWidth="1"/>
    <col min="31" max="31" width="9.140625" style="1" bestFit="1" customWidth="1"/>
    <col min="32" max="32" width="14.28515625" style="1" bestFit="1" customWidth="1"/>
    <col min="33" max="33" width="10.28515625" style="1" bestFit="1" customWidth="1"/>
    <col min="34" max="34" width="9.140625" style="1"/>
    <col min="35" max="35" width="10.7109375" style="1" bestFit="1" customWidth="1"/>
    <col min="36" max="16384" width="9.140625" style="1"/>
  </cols>
  <sheetData>
    <row r="10" spans="1:32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</row>
    <row r="11" spans="1:32" ht="34.5" x14ac:dyDescent="0.45">
      <c r="A11" s="315" t="s">
        <v>103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</row>
    <row r="12" spans="1:32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22.5" thickBot="1" x14ac:dyDescent="0.35"/>
    <row r="14" spans="1:32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8"/>
    </row>
    <row r="15" spans="1:32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1"/>
    </row>
    <row r="16" spans="1:32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41</v>
      </c>
      <c r="AD16" s="57" t="s">
        <v>12</v>
      </c>
      <c r="AE16" s="115" t="s">
        <v>13</v>
      </c>
    </row>
    <row r="17" spans="1:43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10</v>
      </c>
      <c r="AC17" s="11">
        <v>40</v>
      </c>
      <c r="AD17" s="12"/>
      <c r="AE17" s="12"/>
    </row>
    <row r="18" spans="1:43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  <c r="AE18" s="10"/>
    </row>
    <row r="19" spans="1:43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22</v>
      </c>
      <c r="AE19" s="19" t="s">
        <v>20</v>
      </c>
    </row>
    <row r="20" spans="1:43" ht="68.25" customHeight="1" x14ac:dyDescent="0.3">
      <c r="A20" s="56">
        <v>45439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'5-20-26,2024'!P24</f>
        <v>15925</v>
      </c>
      <c r="Q20" s="21">
        <f>'5-20-26,2024'!Q24</f>
        <v>4375</v>
      </c>
      <c r="R20" s="21">
        <f>'5-20-26,2024'!R24</f>
        <v>0</v>
      </c>
      <c r="S20" s="21">
        <f>'5-20-26,2024'!S24</f>
        <v>0</v>
      </c>
      <c r="T20" s="21" t="e">
        <f>'5-20-26,2024'!T24</f>
        <v>#REF!</v>
      </c>
      <c r="U20" s="21">
        <f>'5-20-26,2024'!U24</f>
        <v>975</v>
      </c>
      <c r="V20" s="21" t="e">
        <f>'5-20-26,2024'!V24</f>
        <v>#REF!</v>
      </c>
      <c r="W20" s="21">
        <f>'5-20-26,2024'!W24</f>
        <v>2540</v>
      </c>
      <c r="X20" s="21">
        <f>'5-20-26,2024'!X24</f>
        <v>191</v>
      </c>
      <c r="Y20" s="21">
        <f>'5-20-26,2024'!Y24</f>
        <v>160</v>
      </c>
      <c r="Z20" s="21">
        <f>'5-20-26,2024'!Z24</f>
        <v>5011</v>
      </c>
      <c r="AA20" s="21">
        <v>0</v>
      </c>
      <c r="AB20" s="21">
        <f>'5-20-26,2024'!AB24</f>
        <v>2900</v>
      </c>
      <c r="AC20" s="21">
        <f>'5-20-26,2024'!AC24</f>
        <v>250</v>
      </c>
      <c r="AD20" s="21">
        <f>'5-20-26,2024'!AD24</f>
        <v>300</v>
      </c>
      <c r="AE20" s="21">
        <f>'5-20-26,2024'!AE24</f>
        <v>96</v>
      </c>
      <c r="AF20" s="28"/>
    </row>
    <row r="21" spans="1:43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3">
        <f>200*91</f>
        <v>18200</v>
      </c>
      <c r="Q21" s="22">
        <f>P21/91*25</f>
        <v>5000</v>
      </c>
      <c r="R21" s="23"/>
      <c r="S21" s="26"/>
      <c r="T21" s="23"/>
      <c r="U21" s="23"/>
      <c r="V21" s="23"/>
      <c r="W21" s="23"/>
      <c r="X21" s="23">
        <v>200</v>
      </c>
      <c r="Y21" s="23"/>
      <c r="Z21" s="23">
        <v>5940</v>
      </c>
      <c r="AA21" s="31"/>
      <c r="AB21" s="31"/>
      <c r="AC21" s="31"/>
      <c r="AD21" s="23"/>
      <c r="AE21" s="32"/>
      <c r="AG21" s="33"/>
    </row>
    <row r="22" spans="1:43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E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34125</v>
      </c>
      <c r="Q22" s="34">
        <f t="shared" si="0"/>
        <v>9375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2540</v>
      </c>
      <c r="X22" s="34">
        <f t="shared" si="0"/>
        <v>391</v>
      </c>
      <c r="Y22" s="34">
        <f t="shared" si="0"/>
        <v>160</v>
      </c>
      <c r="Z22" s="34">
        <f t="shared" si="0"/>
        <v>10951</v>
      </c>
      <c r="AA22" s="34">
        <f t="shared" si="0"/>
        <v>0</v>
      </c>
      <c r="AB22" s="34">
        <f t="shared" si="0"/>
        <v>2900</v>
      </c>
      <c r="AC22" s="34">
        <f t="shared" si="0"/>
        <v>250</v>
      </c>
      <c r="AD22" s="34">
        <f t="shared" si="0"/>
        <v>300</v>
      </c>
      <c r="AE22" s="34">
        <f t="shared" si="0"/>
        <v>96</v>
      </c>
    </row>
    <row r="23" spans="1:43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65*91</f>
        <v>5915</v>
      </c>
      <c r="Q23" s="26">
        <f>P23/91*25</f>
        <v>1625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90</v>
      </c>
      <c r="X23" s="22">
        <v>30</v>
      </c>
      <c r="Y23" s="22">
        <v>0</v>
      </c>
      <c r="Z23" s="30">
        <v>410</v>
      </c>
      <c r="AA23" s="30">
        <v>0</v>
      </c>
      <c r="AB23" s="30">
        <v>360</v>
      </c>
      <c r="AC23" s="30">
        <v>225</v>
      </c>
      <c r="AD23" s="22">
        <v>0</v>
      </c>
      <c r="AE23" s="38">
        <v>0</v>
      </c>
    </row>
    <row r="24" spans="1:43" s="3" customFormat="1" ht="100.5" customHeight="1" thickBot="1" x14ac:dyDescent="0.25">
      <c r="A24" s="39">
        <v>45445</v>
      </c>
      <c r="B24" s="336" t="s">
        <v>28</v>
      </c>
      <c r="C24" s="337"/>
      <c r="D24" s="40">
        <f>D22-D23</f>
        <v>0</v>
      </c>
      <c r="E24" s="40">
        <f t="shared" ref="E24:AD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28210</v>
      </c>
      <c r="Q24" s="40">
        <f>Q22-Q23</f>
        <v>7750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2450</v>
      </c>
      <c r="X24" s="40">
        <f t="shared" si="1"/>
        <v>361</v>
      </c>
      <c r="Y24" s="40">
        <f t="shared" si="1"/>
        <v>160</v>
      </c>
      <c r="Z24" s="41">
        <f t="shared" si="1"/>
        <v>10541</v>
      </c>
      <c r="AA24" s="41">
        <f t="shared" si="1"/>
        <v>0</v>
      </c>
      <c r="AB24" s="41">
        <f t="shared" si="1"/>
        <v>2540</v>
      </c>
      <c r="AC24" s="41">
        <f t="shared" si="1"/>
        <v>25</v>
      </c>
      <c r="AD24" s="40">
        <f t="shared" si="1"/>
        <v>300</v>
      </c>
      <c r="AE24" s="44">
        <f>AE22-AE23</f>
        <v>96</v>
      </c>
    </row>
    <row r="25" spans="1:43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43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43" s="45" customFormat="1" ht="24" customHeight="1" x14ac:dyDescent="0.35">
      <c r="A27" s="45" t="s">
        <v>29</v>
      </c>
      <c r="O27" s="46"/>
      <c r="Q27" s="45" t="s">
        <v>56</v>
      </c>
      <c r="R27" s="45" t="s">
        <v>30</v>
      </c>
      <c r="Z27" s="45" t="s">
        <v>57</v>
      </c>
      <c r="AA27" s="47"/>
      <c r="AB27" s="47"/>
      <c r="AC27" s="47"/>
      <c r="AD27" s="46"/>
      <c r="AE27" s="46"/>
    </row>
    <row r="28" spans="1:43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Q28" s="49"/>
      <c r="R28" s="49"/>
      <c r="S28" s="49"/>
      <c r="AA28" s="49"/>
      <c r="AB28" s="49"/>
      <c r="AC28" s="49"/>
      <c r="AD28" s="49"/>
      <c r="AE28" s="49"/>
      <c r="AF28" s="46"/>
    </row>
    <row r="29" spans="1:43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Q29" s="49"/>
      <c r="R29" s="49"/>
      <c r="S29" s="49"/>
      <c r="AA29" s="49"/>
      <c r="AB29" s="49"/>
      <c r="AC29" s="49"/>
      <c r="AD29" s="49"/>
      <c r="AE29" s="49"/>
      <c r="AF29" s="46"/>
    </row>
    <row r="30" spans="1:43" s="45" customFormat="1" ht="24" customHeight="1" x14ac:dyDescent="0.35">
      <c r="A30" s="50" t="s">
        <v>42</v>
      </c>
      <c r="B30" s="46"/>
      <c r="H30" s="51"/>
      <c r="I30" s="51"/>
      <c r="J30" s="51"/>
      <c r="N30" s="46"/>
      <c r="O30" s="46"/>
      <c r="Q30" s="50" t="s">
        <v>50</v>
      </c>
      <c r="R30" s="50" t="s">
        <v>31</v>
      </c>
      <c r="Z30" s="51" t="s">
        <v>43</v>
      </c>
      <c r="AF30" s="46"/>
    </row>
    <row r="31" spans="1:43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Q31" s="48" t="s">
        <v>34</v>
      </c>
      <c r="R31" s="46" t="s">
        <v>32</v>
      </c>
      <c r="S31" s="46"/>
      <c r="Z31" s="46" t="s">
        <v>45</v>
      </c>
      <c r="AA31" s="46"/>
      <c r="AB31" s="46"/>
      <c r="AC31" s="46"/>
      <c r="AD31" s="46"/>
      <c r="AE31" s="46"/>
    </row>
    <row r="32" spans="1:43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Q32" s="48" t="s">
        <v>46</v>
      </c>
      <c r="R32" s="46"/>
      <c r="S32" s="46"/>
      <c r="T32" s="46"/>
      <c r="U32" s="46"/>
      <c r="V32" s="46" t="s">
        <v>34</v>
      </c>
      <c r="Z32" s="46" t="s">
        <v>46</v>
      </c>
      <c r="AA32" s="46"/>
      <c r="AB32" s="46"/>
      <c r="AC32" s="46"/>
      <c r="AD32" s="83"/>
      <c r="AE32" s="84"/>
      <c r="AF32" s="85"/>
      <c r="AG32" s="86"/>
      <c r="AH32" s="87"/>
      <c r="AI32" s="86"/>
      <c r="AJ32" s="88"/>
      <c r="AK32" s="84"/>
      <c r="AL32" s="84"/>
      <c r="AM32" s="86"/>
      <c r="AN32" s="86"/>
      <c r="AO32" s="86"/>
      <c r="AP32" s="84"/>
      <c r="AQ32" s="82"/>
    </row>
    <row r="33" spans="1:32" s="46" customFormat="1" ht="24" customHeight="1" x14ac:dyDescent="0.35">
      <c r="A33" s="48" t="s">
        <v>47</v>
      </c>
      <c r="Q33" s="46" t="s">
        <v>65</v>
      </c>
      <c r="U33" s="53"/>
      <c r="Y33" s="54"/>
    </row>
    <row r="34" spans="1:32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52"/>
    </row>
    <row r="36" spans="1:32" ht="22.5" x14ac:dyDescent="0.35">
      <c r="B36" s="55"/>
      <c r="C36" s="55"/>
      <c r="D36" s="55"/>
      <c r="E36" s="55"/>
    </row>
    <row r="37" spans="1:32" ht="15.75" customHeight="1" x14ac:dyDescent="0.3"/>
    <row r="40" spans="1:32" ht="15.75" customHeight="1" x14ac:dyDescent="0.3"/>
    <row r="42" spans="1:32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</row>
    <row r="44" spans="1:32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7" spans="1:32" ht="22.5" x14ac:dyDescent="0.35">
      <c r="A47" s="55"/>
    </row>
  </sheetData>
  <mergeCells count="35">
    <mergeCell ref="A10:AF10"/>
    <mergeCell ref="A11:AF11"/>
    <mergeCell ref="A14:C15"/>
    <mergeCell ref="D14:AE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>
    <tabColor theme="0"/>
  </sheetPr>
  <dimension ref="A10:AP47"/>
  <sheetViews>
    <sheetView topLeftCell="A13" zoomScale="78" zoomScaleNormal="78" workbookViewId="0">
      <selection activeCell="Y33" sqref="Y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2.5703125" style="1" bestFit="1" customWidth="1"/>
    <col min="17" max="17" width="14.85546875" style="1" customWidth="1"/>
    <col min="18" max="19" width="12.7109375" style="1" hidden="1" customWidth="1"/>
    <col min="20" max="20" width="0.85546875" style="1" hidden="1" customWidth="1"/>
    <col min="21" max="21" width="12.140625" style="1" customWidth="1"/>
    <col min="22" max="22" width="7" style="1" hidden="1" customWidth="1"/>
    <col min="23" max="23" width="17.140625" style="1" customWidth="1"/>
    <col min="24" max="24" width="12.28515625" style="1" customWidth="1"/>
    <col min="25" max="25" width="22.42578125" style="1" bestFit="1" customWidth="1"/>
    <col min="26" max="26" width="14" style="1" customWidth="1"/>
    <col min="27" max="27" width="18.5703125" style="1" bestFit="1" customWidth="1"/>
    <col min="28" max="29" width="18.5703125" style="1" customWidth="1"/>
    <col min="30" max="30" width="12.42578125" style="1" bestFit="1" customWidth="1"/>
    <col min="31" max="31" width="9.140625" style="1" bestFit="1" customWidth="1"/>
    <col min="32" max="32" width="14.28515625" style="1" bestFit="1" customWidth="1"/>
    <col min="33" max="33" width="10.28515625" style="1" bestFit="1" customWidth="1"/>
    <col min="34" max="34" width="9.140625" style="1"/>
    <col min="35" max="35" width="10.7109375" style="1" bestFit="1" customWidth="1"/>
    <col min="36" max="16384" width="9.140625" style="1"/>
  </cols>
  <sheetData>
    <row r="10" spans="1:32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</row>
    <row r="11" spans="1:32" ht="34.5" x14ac:dyDescent="0.45">
      <c r="A11" s="315" t="s">
        <v>104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</row>
    <row r="12" spans="1:32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22.5" thickBot="1" x14ac:dyDescent="0.35"/>
    <row r="14" spans="1:32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8"/>
    </row>
    <row r="15" spans="1:32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1"/>
    </row>
    <row r="16" spans="1:32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5" t="s">
        <v>6</v>
      </c>
      <c r="U16" s="6" t="s">
        <v>7</v>
      </c>
      <c r="V16" s="6" t="s">
        <v>8</v>
      </c>
      <c r="W16" s="7" t="s">
        <v>8</v>
      </c>
      <c r="X16" s="5" t="s">
        <v>9</v>
      </c>
      <c r="Y16" s="57" t="s">
        <v>11</v>
      </c>
      <c r="Z16" s="58" t="s">
        <v>10</v>
      </c>
      <c r="AA16" s="57" t="s">
        <v>40</v>
      </c>
      <c r="AB16" s="57" t="s">
        <v>41</v>
      </c>
      <c r="AC16" s="57" t="s">
        <v>41</v>
      </c>
      <c r="AD16" s="57" t="s">
        <v>12</v>
      </c>
      <c r="AE16" s="116" t="s">
        <v>13</v>
      </c>
    </row>
    <row r="17" spans="1:42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91</v>
      </c>
      <c r="Q17" s="333"/>
      <c r="R17" s="332">
        <v>135</v>
      </c>
      <c r="S17" s="333"/>
      <c r="T17" s="8" t="s">
        <v>14</v>
      </c>
      <c r="U17" s="9"/>
      <c r="V17" s="9" t="s">
        <v>15</v>
      </c>
      <c r="W17" s="10"/>
      <c r="X17" s="8"/>
      <c r="Y17" s="11">
        <v>4.8</v>
      </c>
      <c r="Z17" s="11">
        <v>4.9000000000000004</v>
      </c>
      <c r="AA17" s="11">
        <v>10</v>
      </c>
      <c r="AB17" s="11">
        <v>10</v>
      </c>
      <c r="AC17" s="11">
        <v>40</v>
      </c>
      <c r="AD17" s="12"/>
      <c r="AE17" s="12"/>
    </row>
    <row r="18" spans="1:42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19</v>
      </c>
      <c r="S18" s="333"/>
      <c r="T18" s="8"/>
      <c r="U18" s="10"/>
      <c r="V18" s="10"/>
      <c r="W18" s="10"/>
      <c r="X18" s="8"/>
      <c r="Y18" s="10"/>
      <c r="Z18" s="13"/>
      <c r="AA18" s="10"/>
      <c r="AB18" s="10"/>
      <c r="AC18" s="10"/>
      <c r="AD18" s="10"/>
      <c r="AE18" s="10"/>
    </row>
    <row r="19" spans="1:42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8" t="s">
        <v>20</v>
      </c>
      <c r="U19" s="19" t="s">
        <v>21</v>
      </c>
      <c r="V19" s="19" t="s">
        <v>22</v>
      </c>
      <c r="W19" s="19" t="s">
        <v>22</v>
      </c>
      <c r="X19" s="18" t="s">
        <v>20</v>
      </c>
      <c r="Y19" s="19" t="s">
        <v>20</v>
      </c>
      <c r="Z19" s="20" t="s">
        <v>20</v>
      </c>
      <c r="AA19" s="19" t="s">
        <v>22</v>
      </c>
      <c r="AB19" s="19" t="s">
        <v>22</v>
      </c>
      <c r="AC19" s="19" t="s">
        <v>22</v>
      </c>
      <c r="AD19" s="19" t="s">
        <v>22</v>
      </c>
      <c r="AE19" s="19" t="s">
        <v>20</v>
      </c>
    </row>
    <row r="20" spans="1:42" ht="68.25" customHeight="1" x14ac:dyDescent="0.3">
      <c r="A20" s="56">
        <v>45446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'5-27-JUNE 2, 2024'!P24</f>
        <v>28210</v>
      </c>
      <c r="Q20" s="21">
        <f>'5-27-JUNE 2, 2024'!Q24</f>
        <v>7750</v>
      </c>
      <c r="R20" s="21">
        <f>'5-27-JUNE 2, 2024'!R24</f>
        <v>0</v>
      </c>
      <c r="S20" s="21">
        <f>'5-27-JUNE 2, 2024'!S24</f>
        <v>0</v>
      </c>
      <c r="T20" s="21" t="e">
        <f>'5-27-JUNE 2, 2024'!T24</f>
        <v>#REF!</v>
      </c>
      <c r="U20" s="21">
        <f>'5-27-JUNE 2, 2024'!U24</f>
        <v>975</v>
      </c>
      <c r="V20" s="21" t="e">
        <f>'5-27-JUNE 2, 2024'!V24</f>
        <v>#REF!</v>
      </c>
      <c r="W20" s="21">
        <f>'5-27-JUNE 2, 2024'!W24</f>
        <v>2450</v>
      </c>
      <c r="X20" s="21">
        <f>'5-27-JUNE 2, 2024'!X24</f>
        <v>361</v>
      </c>
      <c r="Y20" s="21">
        <f>'5-27-JUNE 2, 2024'!Y24</f>
        <v>160</v>
      </c>
      <c r="Z20" s="21">
        <f>'5-27-JUNE 2, 2024'!Z24</f>
        <v>10541</v>
      </c>
      <c r="AA20" s="21">
        <f>'5-27-JUNE 2, 2024'!AA24</f>
        <v>0</v>
      </c>
      <c r="AB20" s="21">
        <f>'5-27-JUNE 2, 2024'!AB24</f>
        <v>2540</v>
      </c>
      <c r="AC20" s="21">
        <v>225</v>
      </c>
      <c r="AD20" s="21">
        <v>0</v>
      </c>
      <c r="AE20" s="21">
        <f>'5-27-JUNE 2, 2024'!AE24</f>
        <v>96</v>
      </c>
      <c r="AF20" s="28"/>
    </row>
    <row r="21" spans="1:42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3"/>
      <c r="Q21" s="22"/>
      <c r="R21" s="23"/>
      <c r="S21" s="26"/>
      <c r="T21" s="23"/>
      <c r="U21" s="23"/>
      <c r="V21" s="23"/>
      <c r="W21" s="23"/>
      <c r="X21" s="23"/>
      <c r="Y21" s="23"/>
      <c r="Z21" s="23"/>
      <c r="AA21" s="31"/>
      <c r="AB21" s="31"/>
      <c r="AC21" s="31"/>
      <c r="AD21" s="23"/>
      <c r="AE21" s="32"/>
      <c r="AG21" s="33"/>
    </row>
    <row r="22" spans="1:42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E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28210</v>
      </c>
      <c r="Q22" s="34">
        <f t="shared" si="0"/>
        <v>7750</v>
      </c>
      <c r="R22" s="34">
        <f t="shared" si="0"/>
        <v>0</v>
      </c>
      <c r="S22" s="34">
        <f t="shared" si="0"/>
        <v>0</v>
      </c>
      <c r="T22" s="34" t="e">
        <f t="shared" si="0"/>
        <v>#REF!</v>
      </c>
      <c r="U22" s="34">
        <f t="shared" si="0"/>
        <v>975</v>
      </c>
      <c r="V22" s="34" t="e">
        <f t="shared" si="0"/>
        <v>#REF!</v>
      </c>
      <c r="W22" s="34">
        <f t="shared" si="0"/>
        <v>2450</v>
      </c>
      <c r="X22" s="34">
        <f t="shared" si="0"/>
        <v>361</v>
      </c>
      <c r="Y22" s="34">
        <f t="shared" si="0"/>
        <v>160</v>
      </c>
      <c r="Z22" s="34">
        <f t="shared" si="0"/>
        <v>10541</v>
      </c>
      <c r="AA22" s="34">
        <f t="shared" si="0"/>
        <v>0</v>
      </c>
      <c r="AB22" s="34">
        <f t="shared" si="0"/>
        <v>2540</v>
      </c>
      <c r="AC22" s="34">
        <f t="shared" si="0"/>
        <v>225</v>
      </c>
      <c r="AD22" s="34">
        <f t="shared" si="0"/>
        <v>0</v>
      </c>
      <c r="AE22" s="34">
        <f t="shared" si="0"/>
        <v>96</v>
      </c>
    </row>
    <row r="23" spans="1:42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61*91</f>
        <v>5551</v>
      </c>
      <c r="Q23" s="26">
        <f>P23/91*25</f>
        <v>1525</v>
      </c>
      <c r="R23" s="22">
        <v>0</v>
      </c>
      <c r="S23" s="24">
        <f>R23/135*25</f>
        <v>0</v>
      </c>
      <c r="T23" s="30" t="s">
        <v>24</v>
      </c>
      <c r="U23" s="36">
        <v>0</v>
      </c>
      <c r="V23" s="30"/>
      <c r="W23" s="36">
        <v>75</v>
      </c>
      <c r="X23" s="22">
        <v>33</v>
      </c>
      <c r="Y23" s="22">
        <v>0</v>
      </c>
      <c r="Z23" s="30">
        <v>381</v>
      </c>
      <c r="AA23" s="30">
        <v>0</v>
      </c>
      <c r="AB23" s="30">
        <v>300</v>
      </c>
      <c r="AC23" s="30">
        <v>225</v>
      </c>
      <c r="AD23" s="22">
        <v>0</v>
      </c>
      <c r="AE23" s="38">
        <v>0</v>
      </c>
    </row>
    <row r="24" spans="1:42" s="3" customFormat="1" ht="100.5" customHeight="1" thickBot="1" x14ac:dyDescent="0.25">
      <c r="A24" s="39">
        <v>45452</v>
      </c>
      <c r="B24" s="336" t="s">
        <v>28</v>
      </c>
      <c r="C24" s="337"/>
      <c r="D24" s="40">
        <f>D22-D23</f>
        <v>0</v>
      </c>
      <c r="E24" s="40">
        <f t="shared" ref="E24:AD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O24" si="3">N22-N23</f>
        <v>#REF!</v>
      </c>
      <c r="O24" s="41" t="e">
        <f t="shared" si="3"/>
        <v>#REF!</v>
      </c>
      <c r="P24" s="40">
        <f>P22-P23</f>
        <v>22659</v>
      </c>
      <c r="Q24" s="40">
        <f>Q22-Q23</f>
        <v>6225</v>
      </c>
      <c r="R24" s="40">
        <f>R22-R23</f>
        <v>0</v>
      </c>
      <c r="S24" s="42">
        <f t="shared" ref="S24" si="4">S22-S23</f>
        <v>0</v>
      </c>
      <c r="T24" s="41" t="e">
        <f t="shared" si="1"/>
        <v>#REF!</v>
      </c>
      <c r="U24" s="41">
        <f t="shared" si="1"/>
        <v>975</v>
      </c>
      <c r="V24" s="41" t="e">
        <f t="shared" si="1"/>
        <v>#REF!</v>
      </c>
      <c r="W24" s="93">
        <f>W22-W23</f>
        <v>2375</v>
      </c>
      <c r="X24" s="40">
        <f t="shared" si="1"/>
        <v>328</v>
      </c>
      <c r="Y24" s="40">
        <f t="shared" si="1"/>
        <v>160</v>
      </c>
      <c r="Z24" s="41">
        <f t="shared" si="1"/>
        <v>10160</v>
      </c>
      <c r="AA24" s="41">
        <f t="shared" si="1"/>
        <v>0</v>
      </c>
      <c r="AB24" s="41">
        <f t="shared" si="1"/>
        <v>2240</v>
      </c>
      <c r="AC24" s="41">
        <f t="shared" si="1"/>
        <v>0</v>
      </c>
      <c r="AD24" s="40">
        <f t="shared" si="1"/>
        <v>0</v>
      </c>
      <c r="AE24" s="44">
        <f>AE22-AE23</f>
        <v>96</v>
      </c>
    </row>
    <row r="25" spans="1:42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</row>
    <row r="26" spans="1:42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spans="1:42" s="45" customFormat="1" ht="24" customHeight="1" x14ac:dyDescent="0.35">
      <c r="A27" s="45" t="s">
        <v>29</v>
      </c>
      <c r="O27" s="46"/>
      <c r="Q27" s="45" t="s">
        <v>56</v>
      </c>
      <c r="R27" s="45" t="s">
        <v>30</v>
      </c>
      <c r="Z27" s="45" t="s">
        <v>57</v>
      </c>
      <c r="AA27" s="47"/>
      <c r="AB27" s="47"/>
      <c r="AC27" s="47"/>
      <c r="AD27" s="46"/>
      <c r="AE27" s="46"/>
    </row>
    <row r="28" spans="1:42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Q28" s="49"/>
      <c r="R28" s="49"/>
      <c r="S28" s="49"/>
      <c r="AA28" s="49"/>
      <c r="AB28" s="49"/>
      <c r="AC28" s="49"/>
      <c r="AD28" s="49"/>
      <c r="AE28" s="49"/>
      <c r="AF28" s="46"/>
    </row>
    <row r="29" spans="1:42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Q29" s="49"/>
      <c r="R29" s="49"/>
      <c r="S29" s="49"/>
      <c r="AA29" s="49"/>
      <c r="AB29" s="49"/>
      <c r="AC29" s="49"/>
      <c r="AD29" s="49"/>
      <c r="AE29" s="49"/>
      <c r="AF29" s="46"/>
    </row>
    <row r="30" spans="1:42" s="45" customFormat="1" ht="24" customHeight="1" x14ac:dyDescent="0.35">
      <c r="A30" s="50" t="s">
        <v>42</v>
      </c>
      <c r="B30" s="46"/>
      <c r="H30" s="51"/>
      <c r="I30" s="51"/>
      <c r="J30" s="51"/>
      <c r="N30" s="46"/>
      <c r="O30" s="46"/>
      <c r="Q30" s="50" t="s">
        <v>31</v>
      </c>
      <c r="R30" s="50" t="s">
        <v>31</v>
      </c>
      <c r="Z30" s="51" t="s">
        <v>43</v>
      </c>
      <c r="AF30" s="46"/>
    </row>
    <row r="31" spans="1:42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Q31" s="48" t="s">
        <v>64</v>
      </c>
      <c r="R31" s="46" t="s">
        <v>32</v>
      </c>
      <c r="S31" s="46"/>
      <c r="Z31" s="46" t="s">
        <v>45</v>
      </c>
      <c r="AA31" s="46"/>
      <c r="AB31" s="46"/>
      <c r="AC31" s="46"/>
      <c r="AD31" s="46"/>
      <c r="AE31" s="46"/>
    </row>
    <row r="32" spans="1:42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Q32" s="48" t="s">
        <v>46</v>
      </c>
      <c r="R32" s="46"/>
      <c r="S32" s="46"/>
      <c r="T32" s="46"/>
      <c r="U32" s="46"/>
      <c r="V32" s="46" t="s">
        <v>34</v>
      </c>
      <c r="Z32" s="46" t="s">
        <v>46</v>
      </c>
      <c r="AA32" s="46"/>
      <c r="AB32" s="46"/>
      <c r="AC32" s="46"/>
      <c r="AD32" s="83"/>
      <c r="AE32" s="84"/>
      <c r="AF32" s="85"/>
      <c r="AG32" s="86"/>
      <c r="AH32" s="87"/>
      <c r="AI32" s="86"/>
      <c r="AJ32" s="88"/>
      <c r="AK32" s="84"/>
      <c r="AL32" s="84"/>
      <c r="AM32" s="86"/>
      <c r="AN32" s="86"/>
      <c r="AO32" s="86"/>
      <c r="AP32" s="84"/>
    </row>
    <row r="33" spans="1:32" s="46" customFormat="1" ht="24" customHeight="1" x14ac:dyDescent="0.35">
      <c r="A33" s="48" t="s">
        <v>47</v>
      </c>
      <c r="Q33" s="46" t="s">
        <v>65</v>
      </c>
      <c r="U33" s="53"/>
      <c r="Y33" s="54"/>
    </row>
    <row r="34" spans="1:32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52"/>
    </row>
    <row r="36" spans="1:32" ht="22.5" x14ac:dyDescent="0.35">
      <c r="B36" s="55"/>
      <c r="C36" s="55"/>
      <c r="D36" s="55"/>
      <c r="E36" s="55"/>
    </row>
    <row r="37" spans="1:32" ht="15.75" customHeight="1" x14ac:dyDescent="0.3"/>
    <row r="40" spans="1:32" ht="15.75" customHeight="1" x14ac:dyDescent="0.3"/>
    <row r="42" spans="1:32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</row>
    <row r="44" spans="1:32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7" spans="1:32" ht="22.5" x14ac:dyDescent="0.35">
      <c r="A47" s="55"/>
    </row>
  </sheetData>
  <mergeCells count="35">
    <mergeCell ref="A10:AF10"/>
    <mergeCell ref="A11:AF11"/>
    <mergeCell ref="A14:C15"/>
    <mergeCell ref="D14:AE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D17:E17"/>
    <mergeCell ref="F17:G17"/>
    <mergeCell ref="R17:S17"/>
    <mergeCell ref="D18:E18"/>
    <mergeCell ref="F18:G18"/>
    <mergeCell ref="H18:I18"/>
    <mergeCell ref="J18:K18"/>
    <mergeCell ref="L18:M18"/>
    <mergeCell ref="N18:O18"/>
    <mergeCell ref="P18:Q18"/>
    <mergeCell ref="R18:S18"/>
    <mergeCell ref="H17:I17"/>
    <mergeCell ref="J17:K17"/>
    <mergeCell ref="L17:M17"/>
    <mergeCell ref="N17:O17"/>
    <mergeCell ref="P17:Q17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>
    <tabColor theme="0"/>
  </sheetPr>
  <dimension ref="A10:AR47"/>
  <sheetViews>
    <sheetView topLeftCell="A16" zoomScale="78" zoomScaleNormal="78" workbookViewId="0">
      <selection activeCell="A30" sqref="A30:A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bestFit="1" customWidth="1"/>
    <col min="19" max="19" width="14.85546875" style="1" customWidth="1"/>
    <col min="20" max="21" width="12.7109375" style="1" hidden="1" customWidth="1"/>
    <col min="22" max="22" width="0.8554687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105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17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45453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v>3120</v>
      </c>
      <c r="Q20" s="21">
        <f>P20/208*25</f>
        <v>375</v>
      </c>
      <c r="R20" s="21">
        <f>'6-3-9, 2024'!P24</f>
        <v>22659</v>
      </c>
      <c r="S20" s="21">
        <f>'6-3-9, 2024'!Q24</f>
        <v>6225</v>
      </c>
      <c r="T20" s="21">
        <f>'6-3-9, 2024'!R24</f>
        <v>0</v>
      </c>
      <c r="U20" s="21">
        <f>'6-3-9, 2024'!S24</f>
        <v>0</v>
      </c>
      <c r="V20" s="21" t="e">
        <f>'6-3-9, 2024'!T24</f>
        <v>#REF!</v>
      </c>
      <c r="W20" s="21">
        <f>'6-3-9, 2024'!U24</f>
        <v>975</v>
      </c>
      <c r="X20" s="21" t="e">
        <f>'6-3-9, 2024'!V24</f>
        <v>#REF!</v>
      </c>
      <c r="Y20" s="21">
        <f>'6-3-9, 2024'!W24</f>
        <v>2375</v>
      </c>
      <c r="Z20" s="21">
        <f>'6-3-9, 2024'!X24</f>
        <v>328</v>
      </c>
      <c r="AA20" s="21">
        <f>'6-3-9, 2024'!Y24</f>
        <v>160</v>
      </c>
      <c r="AB20" s="21">
        <f>'6-3-9, 2024'!Z24</f>
        <v>10160</v>
      </c>
      <c r="AC20" s="21">
        <f>'6-3-9, 2024'!AA24</f>
        <v>0</v>
      </c>
      <c r="AD20" s="21">
        <f>'6-3-9, 2024'!AB24</f>
        <v>2240</v>
      </c>
      <c r="AE20" s="21">
        <f>'6-3-9, 2024'!AC24</f>
        <v>0</v>
      </c>
      <c r="AF20" s="21">
        <f>'6-3-9, 2024'!AD24</f>
        <v>0</v>
      </c>
      <c r="AG20" s="21">
        <f>'6-3-9, 2024'!AE24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>
        <v>0</v>
      </c>
      <c r="Q21" s="119">
        <v>0</v>
      </c>
      <c r="R21" s="23">
        <v>0</v>
      </c>
      <c r="S21" s="22">
        <v>0</v>
      </c>
      <c r="T21" s="23"/>
      <c r="U21" s="26"/>
      <c r="V21" s="23"/>
      <c r="W21" s="23">
        <v>0</v>
      </c>
      <c r="X21" s="23"/>
      <c r="Y21" s="23">
        <v>0</v>
      </c>
      <c r="Z21" s="23">
        <v>0</v>
      </c>
      <c r="AA21" s="23">
        <v>0</v>
      </c>
      <c r="AB21" s="23">
        <v>0</v>
      </c>
      <c r="AC21" s="31">
        <v>0</v>
      </c>
      <c r="AD21" s="31">
        <v>0</v>
      </c>
      <c r="AE21" s="31">
        <v>0</v>
      </c>
      <c r="AF21" s="23">
        <v>0</v>
      </c>
      <c r="AG21" s="32">
        <v>0</v>
      </c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3120</v>
      </c>
      <c r="Q22" s="34">
        <f t="shared" si="0"/>
        <v>375</v>
      </c>
      <c r="R22" s="34">
        <f t="shared" si="0"/>
        <v>22659</v>
      </c>
      <c r="S22" s="34">
        <f t="shared" si="0"/>
        <v>6225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975</v>
      </c>
      <c r="X22" s="34" t="e">
        <f t="shared" si="0"/>
        <v>#REF!</v>
      </c>
      <c r="Y22" s="34">
        <f t="shared" si="0"/>
        <v>2375</v>
      </c>
      <c r="Z22" s="34">
        <f t="shared" si="0"/>
        <v>328</v>
      </c>
      <c r="AA22" s="34">
        <f t="shared" si="0"/>
        <v>160</v>
      </c>
      <c r="AB22" s="34">
        <f t="shared" si="0"/>
        <v>10160</v>
      </c>
      <c r="AC22" s="34">
        <f t="shared" si="0"/>
        <v>0</v>
      </c>
      <c r="AD22" s="34">
        <f t="shared" si="0"/>
        <v>2240</v>
      </c>
      <c r="AE22" s="34">
        <f t="shared" si="0"/>
        <v>0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4*208</f>
        <v>832</v>
      </c>
      <c r="Q23" s="21">
        <f>P23/208*25</f>
        <v>100</v>
      </c>
      <c r="R23" s="30">
        <f>23*91</f>
        <v>2093</v>
      </c>
      <c r="S23" s="26">
        <f>R23/91*25</f>
        <v>575</v>
      </c>
      <c r="T23" s="22"/>
      <c r="U23" s="24"/>
      <c r="V23" s="30"/>
      <c r="W23" s="36">
        <v>0</v>
      </c>
      <c r="X23" s="30"/>
      <c r="Y23" s="36">
        <v>99</v>
      </c>
      <c r="Z23" s="22">
        <v>35</v>
      </c>
      <c r="AA23" s="22">
        <v>0</v>
      </c>
      <c r="AB23" s="30">
        <v>246</v>
      </c>
      <c r="AC23" s="30">
        <v>0</v>
      </c>
      <c r="AD23" s="30">
        <v>235</v>
      </c>
      <c r="AE23" s="30">
        <v>0</v>
      </c>
      <c r="AF23" s="22">
        <v>0</v>
      </c>
      <c r="AG23" s="38">
        <v>0</v>
      </c>
    </row>
    <row r="24" spans="1:44" s="3" customFormat="1" ht="100.5" customHeight="1" thickBot="1" x14ac:dyDescent="0.25">
      <c r="A24" s="39">
        <v>45459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2288</v>
      </c>
      <c r="Q24" s="40">
        <f t="shared" si="3"/>
        <v>275</v>
      </c>
      <c r="R24" s="40">
        <f>R22-R23</f>
        <v>20566</v>
      </c>
      <c r="S24" s="40">
        <f>S22-S23</f>
        <v>5650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975</v>
      </c>
      <c r="X24" s="41" t="e">
        <f t="shared" si="1"/>
        <v>#REF!</v>
      </c>
      <c r="Y24" s="93">
        <f>Y22-Y23</f>
        <v>2276</v>
      </c>
      <c r="Z24" s="40">
        <f t="shared" si="1"/>
        <v>293</v>
      </c>
      <c r="AA24" s="40">
        <f t="shared" si="1"/>
        <v>160</v>
      </c>
      <c r="AB24" s="41">
        <f t="shared" si="1"/>
        <v>9914</v>
      </c>
      <c r="AC24" s="41">
        <f t="shared" si="1"/>
        <v>0</v>
      </c>
      <c r="AD24" s="41">
        <f t="shared" si="1"/>
        <v>2005</v>
      </c>
      <c r="AE24" s="41">
        <f t="shared" si="1"/>
        <v>0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6"/>
      <c r="S27" s="45" t="s">
        <v>56</v>
      </c>
      <c r="T27" s="45" t="s">
        <v>30</v>
      </c>
      <c r="AB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S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S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42</v>
      </c>
      <c r="B30" s="46"/>
      <c r="H30" s="51"/>
      <c r="I30" s="51"/>
      <c r="J30" s="51"/>
      <c r="N30" s="46"/>
      <c r="O30" s="46"/>
      <c r="P30" s="46"/>
      <c r="Q30" s="46"/>
      <c r="S30" s="50" t="s">
        <v>31</v>
      </c>
      <c r="T30" s="50" t="s">
        <v>31</v>
      </c>
      <c r="AB30" s="51" t="s">
        <v>43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S31" s="48" t="s">
        <v>64</v>
      </c>
      <c r="T31" s="46" t="s">
        <v>32</v>
      </c>
      <c r="U31" s="46"/>
      <c r="AB31" s="46" t="s">
        <v>45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S32" s="48" t="s">
        <v>46</v>
      </c>
      <c r="T32" s="46"/>
      <c r="U32" s="46"/>
      <c r="V32" s="46"/>
      <c r="W32" s="46"/>
      <c r="X32" s="46" t="s">
        <v>34</v>
      </c>
      <c r="AB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47</v>
      </c>
      <c r="S33" s="46" t="s">
        <v>65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D17:E17"/>
    <mergeCell ref="F17:G17"/>
    <mergeCell ref="H17:I17"/>
    <mergeCell ref="J17:K17"/>
    <mergeCell ref="L17:M17"/>
    <mergeCell ref="N18:O18"/>
    <mergeCell ref="R18:S18"/>
    <mergeCell ref="T18:U18"/>
    <mergeCell ref="L16:M16"/>
    <mergeCell ref="N16:O16"/>
    <mergeCell ref="R16:S16"/>
    <mergeCell ref="T16:U16"/>
    <mergeCell ref="N17:O17"/>
    <mergeCell ref="P16:Q16"/>
    <mergeCell ref="P17:Q17"/>
    <mergeCell ref="P18:Q18"/>
    <mergeCell ref="R17:S17"/>
    <mergeCell ref="T17:U17"/>
    <mergeCell ref="D18:E18"/>
    <mergeCell ref="F18:G18"/>
    <mergeCell ref="H18:I18"/>
    <mergeCell ref="J18:K18"/>
    <mergeCell ref="L18:M18"/>
    <mergeCell ref="B20:C20"/>
    <mergeCell ref="A21:C21"/>
    <mergeCell ref="A22:C22"/>
    <mergeCell ref="A23:C23"/>
    <mergeCell ref="B24:C24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6">
    <tabColor theme="0"/>
  </sheetPr>
  <dimension ref="A10:AR47"/>
  <sheetViews>
    <sheetView topLeftCell="A10" zoomScale="78" zoomScaleNormal="78" workbookViewId="0">
      <selection activeCell="P21" sqref="P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bestFit="1" customWidth="1"/>
    <col min="19" max="19" width="14.85546875" style="1" customWidth="1"/>
    <col min="20" max="21" width="12.7109375" style="1" hidden="1" customWidth="1"/>
    <col min="22" max="22" width="0.8554687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106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18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45460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v>2288</v>
      </c>
      <c r="Q20" s="21">
        <f>P20/208*25</f>
        <v>275</v>
      </c>
      <c r="R20" s="21">
        <v>20566</v>
      </c>
      <c r="S20" s="21">
        <f>R20/91*25</f>
        <v>5650</v>
      </c>
      <c r="T20" s="21">
        <f>'6-3-9, 2024'!R24</f>
        <v>0</v>
      </c>
      <c r="U20" s="21">
        <f>'6-3-9, 2024'!S24</f>
        <v>0</v>
      </c>
      <c r="V20" s="21" t="e">
        <f>'6-3-9, 2024'!T24</f>
        <v>#REF!</v>
      </c>
      <c r="W20" s="21">
        <f>'6-3-9, 2024'!U24</f>
        <v>975</v>
      </c>
      <c r="X20" s="21" t="e">
        <f>'6-3-9, 2024'!V24</f>
        <v>#REF!</v>
      </c>
      <c r="Y20" s="21">
        <v>2276</v>
      </c>
      <c r="Z20" s="21">
        <v>293</v>
      </c>
      <c r="AA20" s="21">
        <f>'6-3-9, 2024'!Y24</f>
        <v>160</v>
      </c>
      <c r="AB20" s="21">
        <v>9914</v>
      </c>
      <c r="AC20" s="21">
        <f>'6-3-9, 2024'!AA24</f>
        <v>0</v>
      </c>
      <c r="AD20" s="21">
        <v>2005</v>
      </c>
      <c r="AE20" s="21">
        <f>'6-3-9, 2024'!AC24</f>
        <v>0</v>
      </c>
      <c r="AF20" s="21">
        <f>'6-3-9, 2024'!AD24</f>
        <v>0</v>
      </c>
      <c r="AG20" s="21">
        <f>'6-3-9, 2024'!AE24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>
        <f>15*208</f>
        <v>3120</v>
      </c>
      <c r="Q21" s="119">
        <v>0</v>
      </c>
      <c r="R21" s="23">
        <f>230*91</f>
        <v>20930</v>
      </c>
      <c r="S21" s="21">
        <f>R21/91*25</f>
        <v>5750</v>
      </c>
      <c r="T21" s="23"/>
      <c r="U21" s="26"/>
      <c r="V21" s="23"/>
      <c r="W21" s="23">
        <v>0</v>
      </c>
      <c r="X21" s="23"/>
      <c r="Y21" s="23">
        <v>0</v>
      </c>
      <c r="Z21" s="23">
        <v>0</v>
      </c>
      <c r="AA21" s="23">
        <v>0</v>
      </c>
      <c r="AB21" s="23">
        <v>0</v>
      </c>
      <c r="AC21" s="31">
        <v>3000</v>
      </c>
      <c r="AD21" s="31">
        <v>0</v>
      </c>
      <c r="AE21" s="31">
        <v>3000</v>
      </c>
      <c r="AF21" s="23">
        <v>0</v>
      </c>
      <c r="AG21" s="32">
        <v>0</v>
      </c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5408</v>
      </c>
      <c r="Q22" s="34">
        <f t="shared" si="0"/>
        <v>275</v>
      </c>
      <c r="R22" s="34">
        <f t="shared" si="0"/>
        <v>41496</v>
      </c>
      <c r="S22" s="34">
        <f>S20+S21</f>
        <v>11400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975</v>
      </c>
      <c r="X22" s="34" t="e">
        <f t="shared" si="0"/>
        <v>#REF!</v>
      </c>
      <c r="Y22" s="34">
        <f t="shared" si="0"/>
        <v>2276</v>
      </c>
      <c r="Z22" s="34">
        <f t="shared" si="0"/>
        <v>293</v>
      </c>
      <c r="AA22" s="34">
        <f t="shared" si="0"/>
        <v>160</v>
      </c>
      <c r="AB22" s="34">
        <f t="shared" si="0"/>
        <v>9914</v>
      </c>
      <c r="AC22" s="34">
        <f t="shared" si="0"/>
        <v>3000</v>
      </c>
      <c r="AD22" s="34">
        <f t="shared" si="0"/>
        <v>2005</v>
      </c>
      <c r="AE22" s="34">
        <f t="shared" si="0"/>
        <v>3000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10*208</f>
        <v>2080</v>
      </c>
      <c r="Q23" s="21">
        <f>P23/208*25</f>
        <v>250</v>
      </c>
      <c r="R23" s="30">
        <f>10*91</f>
        <v>910</v>
      </c>
      <c r="S23" s="21">
        <f>R23/91*25</f>
        <v>250</v>
      </c>
      <c r="T23" s="22"/>
      <c r="U23" s="24"/>
      <c r="V23" s="30"/>
      <c r="W23" s="36"/>
      <c r="X23" s="30"/>
      <c r="Y23" s="36">
        <v>252.72</v>
      </c>
      <c r="Z23" s="22">
        <v>40</v>
      </c>
      <c r="AA23" s="22"/>
      <c r="AB23" s="30">
        <v>307</v>
      </c>
      <c r="AC23" s="30"/>
      <c r="AD23" s="30">
        <v>290</v>
      </c>
      <c r="AE23" s="30">
        <v>75</v>
      </c>
      <c r="AF23" s="22"/>
      <c r="AG23" s="38"/>
    </row>
    <row r="24" spans="1:44" s="3" customFormat="1" ht="100.5" customHeight="1" thickBot="1" x14ac:dyDescent="0.25">
      <c r="A24" s="39">
        <v>45466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3328</v>
      </c>
      <c r="Q24" s="40">
        <f t="shared" si="3"/>
        <v>25</v>
      </c>
      <c r="R24" s="40">
        <f>R22-R23</f>
        <v>40586</v>
      </c>
      <c r="S24" s="40">
        <f>S22-S23</f>
        <v>11150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975</v>
      </c>
      <c r="X24" s="41" t="e">
        <f t="shared" si="1"/>
        <v>#REF!</v>
      </c>
      <c r="Y24" s="93">
        <f>Y22-Y23</f>
        <v>2023.28</v>
      </c>
      <c r="Z24" s="40">
        <f t="shared" si="1"/>
        <v>253</v>
      </c>
      <c r="AA24" s="40">
        <f t="shared" si="1"/>
        <v>160</v>
      </c>
      <c r="AB24" s="41">
        <f t="shared" si="1"/>
        <v>9607</v>
      </c>
      <c r="AC24" s="41">
        <f t="shared" si="1"/>
        <v>3000</v>
      </c>
      <c r="AD24" s="41">
        <f t="shared" si="1"/>
        <v>1715</v>
      </c>
      <c r="AE24" s="41">
        <f t="shared" si="1"/>
        <v>2925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6"/>
      <c r="S27" s="45" t="s">
        <v>56</v>
      </c>
      <c r="T27" s="45" t="s">
        <v>30</v>
      </c>
      <c r="AB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S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S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42</v>
      </c>
      <c r="B30" s="46"/>
      <c r="H30" s="51"/>
      <c r="I30" s="51"/>
      <c r="J30" s="51"/>
      <c r="N30" s="46"/>
      <c r="O30" s="46"/>
      <c r="P30" s="46"/>
      <c r="Q30" s="46"/>
      <c r="S30" s="50" t="s">
        <v>107</v>
      </c>
      <c r="T30" s="50" t="s">
        <v>31</v>
      </c>
      <c r="AB30" s="51" t="s">
        <v>43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S31" s="48" t="s">
        <v>34</v>
      </c>
      <c r="T31" s="46" t="s">
        <v>32</v>
      </c>
      <c r="U31" s="46"/>
      <c r="AB31" s="46" t="s">
        <v>45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S32" s="48" t="s">
        <v>46</v>
      </c>
      <c r="T32" s="46"/>
      <c r="U32" s="46"/>
      <c r="V32" s="46"/>
      <c r="W32" s="46"/>
      <c r="X32" s="46" t="s">
        <v>34</v>
      </c>
      <c r="AB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47</v>
      </c>
      <c r="S33" s="46" t="s">
        <v>51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23:C23"/>
    <mergeCell ref="B24:C24"/>
    <mergeCell ref="P18:Q18"/>
    <mergeCell ref="R18:S18"/>
    <mergeCell ref="T18:U18"/>
    <mergeCell ref="B20:C20"/>
    <mergeCell ref="A21:C21"/>
    <mergeCell ref="A22:C22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N17:O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7">
    <tabColor theme="0"/>
  </sheetPr>
  <dimension ref="A10:AR47"/>
  <sheetViews>
    <sheetView topLeftCell="A10" zoomScale="78" zoomScaleNormal="78" workbookViewId="0">
      <selection activeCell="Q20" sqref="Q2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bestFit="1" customWidth="1"/>
    <col min="19" max="19" width="14.85546875" style="1" customWidth="1"/>
    <col min="20" max="21" width="12.7109375" style="1" hidden="1" customWidth="1"/>
    <col min="22" max="22" width="0.8554687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108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20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45467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3328-3120</f>
        <v>208</v>
      </c>
      <c r="Q20" s="21">
        <f>P20/208*25</f>
        <v>25</v>
      </c>
      <c r="R20" s="21">
        <f>40586-38-3693</f>
        <v>36855</v>
      </c>
      <c r="S20" s="21">
        <f>R20/91*25</f>
        <v>10125</v>
      </c>
      <c r="T20" s="21">
        <f>'6-17-23, 2024'!T24</f>
        <v>0</v>
      </c>
      <c r="U20" s="21">
        <f>'6-17-23, 2024'!U24</f>
        <v>0</v>
      </c>
      <c r="V20" s="21" t="e">
        <f>'6-17-23, 2024'!V24</f>
        <v>#REF!</v>
      </c>
      <c r="W20" s="21">
        <f>'6-17-23, 2024'!W24</f>
        <v>975</v>
      </c>
      <c r="X20" s="21" t="e">
        <f>'6-17-23, 2024'!X24</f>
        <v>#REF!</v>
      </c>
      <c r="Y20" s="21">
        <f>'6-17-23, 2024'!Y24</f>
        <v>2023.28</v>
      </c>
      <c r="Z20" s="21">
        <f>253+23</f>
        <v>276</v>
      </c>
      <c r="AA20" s="21">
        <v>0</v>
      </c>
      <c r="AB20" s="21">
        <f>9607-285</f>
        <v>9322</v>
      </c>
      <c r="AC20" s="21">
        <f>'6-17-23, 2024'!AC24</f>
        <v>3000</v>
      </c>
      <c r="AD20" s="21">
        <f>1715+40</f>
        <v>1755</v>
      </c>
      <c r="AE20" s="21">
        <f>'6-17-23, 2024'!AE24</f>
        <v>2925</v>
      </c>
      <c r="AF20" s="21">
        <f>'6-17-23, 2024'!AF24</f>
        <v>0</v>
      </c>
      <c r="AG20" s="21">
        <f>'6-17-23, 2024'!AG24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119"/>
      <c r="R21" s="23"/>
      <c r="S21" s="22"/>
      <c r="T21" s="23"/>
      <c r="U21" s="26"/>
      <c r="V21" s="23"/>
      <c r="W21" s="23"/>
      <c r="X21" s="23"/>
      <c r="Y21" s="23"/>
      <c r="Z21" s="23"/>
      <c r="AA21" s="23"/>
      <c r="AB21" s="23"/>
      <c r="AC21" s="31"/>
      <c r="AD21" s="31"/>
      <c r="AE21" s="31"/>
      <c r="AF21" s="23"/>
      <c r="AG21" s="32"/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208</v>
      </c>
      <c r="Q22" s="34">
        <f t="shared" si="0"/>
        <v>25</v>
      </c>
      <c r="R22" s="34">
        <f t="shared" si="0"/>
        <v>36855</v>
      </c>
      <c r="S22" s="34">
        <f t="shared" si="0"/>
        <v>10125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975</v>
      </c>
      <c r="X22" s="34" t="e">
        <f t="shared" si="0"/>
        <v>#REF!</v>
      </c>
      <c r="Y22" s="34">
        <f t="shared" si="0"/>
        <v>2023.28</v>
      </c>
      <c r="Z22" s="34">
        <f t="shared" si="0"/>
        <v>276</v>
      </c>
      <c r="AA22" s="34">
        <f t="shared" si="0"/>
        <v>0</v>
      </c>
      <c r="AB22" s="34">
        <f t="shared" si="0"/>
        <v>9322</v>
      </c>
      <c r="AC22" s="34">
        <f t="shared" si="0"/>
        <v>3000</v>
      </c>
      <c r="AD22" s="34">
        <f t="shared" si="0"/>
        <v>1755</v>
      </c>
      <c r="AE22" s="34">
        <f t="shared" si="0"/>
        <v>2925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104+104</f>
        <v>208</v>
      </c>
      <c r="Q23" s="21">
        <f>P23/208*25</f>
        <v>25</v>
      </c>
      <c r="R23" s="30">
        <f>11*91</f>
        <v>1001</v>
      </c>
      <c r="S23" s="26">
        <f>R23/91*25</f>
        <v>275</v>
      </c>
      <c r="T23" s="22"/>
      <c r="U23" s="24"/>
      <c r="V23" s="30"/>
      <c r="W23" s="36">
        <v>0</v>
      </c>
      <c r="X23" s="30"/>
      <c r="Y23" s="36">
        <v>60</v>
      </c>
      <c r="Z23" s="22">
        <v>25</v>
      </c>
      <c r="AA23" s="22"/>
      <c r="AB23" s="30">
        <v>112</v>
      </c>
      <c r="AC23" s="30"/>
      <c r="AD23" s="30">
        <v>200</v>
      </c>
      <c r="AE23" s="30">
        <v>75</v>
      </c>
      <c r="AF23" s="22">
        <v>0</v>
      </c>
      <c r="AG23" s="38">
        <v>0</v>
      </c>
    </row>
    <row r="24" spans="1:44" s="3" customFormat="1" ht="100.5" customHeight="1" thickBot="1" x14ac:dyDescent="0.25">
      <c r="A24" s="39">
        <v>45473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0</v>
      </c>
      <c r="Q24" s="40">
        <f t="shared" si="3"/>
        <v>0</v>
      </c>
      <c r="R24" s="40">
        <f>R22-R23</f>
        <v>35854</v>
      </c>
      <c r="S24" s="40">
        <f>S22-S23</f>
        <v>9850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975</v>
      </c>
      <c r="X24" s="41" t="e">
        <f t="shared" si="1"/>
        <v>#REF!</v>
      </c>
      <c r="Y24" s="93">
        <f>Y22-Y23</f>
        <v>1963.28</v>
      </c>
      <c r="Z24" s="40">
        <f t="shared" si="1"/>
        <v>251</v>
      </c>
      <c r="AA24" s="40">
        <f t="shared" si="1"/>
        <v>0</v>
      </c>
      <c r="AB24" s="41">
        <f t="shared" si="1"/>
        <v>9210</v>
      </c>
      <c r="AC24" s="41">
        <f t="shared" si="1"/>
        <v>3000</v>
      </c>
      <c r="AD24" s="41">
        <f t="shared" si="1"/>
        <v>1555</v>
      </c>
      <c r="AE24" s="41">
        <f t="shared" si="1"/>
        <v>2850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5" t="s">
        <v>56</v>
      </c>
      <c r="T27" s="45" t="s">
        <v>30</v>
      </c>
      <c r="AA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42</v>
      </c>
      <c r="B30" s="46"/>
      <c r="H30" s="51"/>
      <c r="I30" s="51"/>
      <c r="J30" s="51"/>
      <c r="N30" s="46"/>
      <c r="O30" s="46"/>
      <c r="P30" s="46"/>
      <c r="Q30" s="50" t="s">
        <v>107</v>
      </c>
      <c r="T30" s="50" t="s">
        <v>31</v>
      </c>
      <c r="AA30" s="51" t="s">
        <v>43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 t="s">
        <v>34</v>
      </c>
      <c r="T31" s="46" t="s">
        <v>32</v>
      </c>
      <c r="U31" s="46"/>
      <c r="AA31" s="46" t="s">
        <v>45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 t="s">
        <v>46</v>
      </c>
      <c r="T32" s="46"/>
      <c r="U32" s="46"/>
      <c r="V32" s="46"/>
      <c r="W32" s="46"/>
      <c r="X32" s="46" t="s">
        <v>34</v>
      </c>
      <c r="AA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47</v>
      </c>
      <c r="Q33" s="46" t="s">
        <v>51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23:C23"/>
    <mergeCell ref="B24:C24"/>
    <mergeCell ref="P18:Q18"/>
    <mergeCell ref="R18:S18"/>
    <mergeCell ref="T18:U18"/>
    <mergeCell ref="B20:C20"/>
    <mergeCell ref="A21:C21"/>
    <mergeCell ref="A22:C22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N17:O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8">
    <tabColor theme="0"/>
  </sheetPr>
  <dimension ref="A10:AR47"/>
  <sheetViews>
    <sheetView topLeftCell="A7" zoomScale="78" zoomScaleNormal="78" workbookViewId="0">
      <selection activeCell="S20" sqref="S2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bestFit="1" customWidth="1"/>
    <col min="19" max="19" width="14.85546875" style="1" customWidth="1"/>
    <col min="20" max="21" width="12.7109375" style="1" hidden="1" customWidth="1"/>
    <col min="22" max="22" width="0.8554687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109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21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45474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'6-24-30,2024'!P24</f>
        <v>0</v>
      </c>
      <c r="Q20" s="21">
        <f>'6-24-30,2024'!Q24</f>
        <v>0</v>
      </c>
      <c r="R20" s="21">
        <v>35945</v>
      </c>
      <c r="S20" s="62">
        <f>'6-24-30,2024'!S24</f>
        <v>9850</v>
      </c>
      <c r="T20" s="21">
        <f>'6-24-30,2024'!T24</f>
        <v>0</v>
      </c>
      <c r="U20" s="21">
        <f>'6-24-30,2024'!U24</f>
        <v>0</v>
      </c>
      <c r="V20" s="21" t="e">
        <f>'6-24-30,2024'!V24</f>
        <v>#REF!</v>
      </c>
      <c r="W20" s="21">
        <f>'6-24-30,2024'!W24</f>
        <v>975</v>
      </c>
      <c r="X20" s="21" t="e">
        <f>'6-24-30,2024'!X24</f>
        <v>#REF!</v>
      </c>
      <c r="Y20" s="21">
        <v>2072</v>
      </c>
      <c r="Z20" s="21">
        <f>'6-24-30,2024'!Z24</f>
        <v>251</v>
      </c>
      <c r="AA20" s="21">
        <f>'6-24-30,2024'!AA24</f>
        <v>0</v>
      </c>
      <c r="AB20" s="21">
        <f>'6-24-30,2024'!AB24</f>
        <v>9210</v>
      </c>
      <c r="AC20" s="21">
        <f>'6-24-30,2024'!AC24</f>
        <v>3000</v>
      </c>
      <c r="AD20" s="21">
        <f>'6-24-30,2024'!AD24</f>
        <v>1555</v>
      </c>
      <c r="AE20" s="21">
        <f>'6-24-30,2024'!AE24</f>
        <v>2850</v>
      </c>
      <c r="AF20" s="21">
        <f>'6-24-30,2024'!AF24</f>
        <v>0</v>
      </c>
      <c r="AG20" s="21">
        <f>'6-24-30,2024'!AG24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119"/>
      <c r="R21" s="23"/>
      <c r="S21" s="22"/>
      <c r="T21" s="23"/>
      <c r="U21" s="26"/>
      <c r="V21" s="23"/>
      <c r="W21" s="23"/>
      <c r="X21" s="23"/>
      <c r="Y21" s="23"/>
      <c r="Z21" s="23"/>
      <c r="AA21" s="23"/>
      <c r="AB21" s="23"/>
      <c r="AC21" s="31"/>
      <c r="AD21" s="31"/>
      <c r="AE21" s="31"/>
      <c r="AF21" s="23"/>
      <c r="AG21" s="32"/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35945</v>
      </c>
      <c r="S22" s="34">
        <f t="shared" si="0"/>
        <v>9850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975</v>
      </c>
      <c r="X22" s="34" t="e">
        <f t="shared" si="0"/>
        <v>#REF!</v>
      </c>
      <c r="Y22" s="34">
        <f t="shared" si="0"/>
        <v>2072</v>
      </c>
      <c r="Z22" s="34">
        <f t="shared" si="0"/>
        <v>251</v>
      </c>
      <c r="AA22" s="34">
        <f t="shared" si="0"/>
        <v>0</v>
      </c>
      <c r="AB22" s="34">
        <f t="shared" si="0"/>
        <v>9210</v>
      </c>
      <c r="AC22" s="34">
        <f t="shared" si="0"/>
        <v>3000</v>
      </c>
      <c r="AD22" s="34">
        <f t="shared" si="0"/>
        <v>1555</v>
      </c>
      <c r="AE22" s="34">
        <f t="shared" si="0"/>
        <v>2850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P23/208*25</f>
        <v>0</v>
      </c>
      <c r="R23" s="30">
        <v>5642</v>
      </c>
      <c r="S23" s="26">
        <f>R23/91*25</f>
        <v>1550</v>
      </c>
      <c r="T23" s="22"/>
      <c r="U23" s="24"/>
      <c r="V23" s="30"/>
      <c r="W23" s="36">
        <v>0</v>
      </c>
      <c r="X23" s="30"/>
      <c r="Y23" s="36">
        <v>120</v>
      </c>
      <c r="Z23" s="22">
        <v>30</v>
      </c>
      <c r="AA23" s="22"/>
      <c r="AB23" s="30">
        <v>378</v>
      </c>
      <c r="AC23" s="30"/>
      <c r="AD23" s="30">
        <v>480</v>
      </c>
      <c r="AE23" s="30">
        <v>450</v>
      </c>
      <c r="AF23" s="22">
        <v>0</v>
      </c>
      <c r="AG23" s="38">
        <v>0</v>
      </c>
    </row>
    <row r="24" spans="1:44" s="3" customFormat="1" ht="100.5" customHeight="1" thickBot="1" x14ac:dyDescent="0.25">
      <c r="A24" s="39">
        <v>45480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0</v>
      </c>
      <c r="Q24" s="40">
        <f t="shared" si="3"/>
        <v>0</v>
      </c>
      <c r="R24" s="40">
        <f>R22-R23</f>
        <v>30303</v>
      </c>
      <c r="S24" s="40">
        <f>S22-S23</f>
        <v>8300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975</v>
      </c>
      <c r="X24" s="41" t="e">
        <f t="shared" si="1"/>
        <v>#REF!</v>
      </c>
      <c r="Y24" s="93">
        <f>Y22-Y23</f>
        <v>1952</v>
      </c>
      <c r="Z24" s="40">
        <f t="shared" si="1"/>
        <v>221</v>
      </c>
      <c r="AA24" s="40">
        <f t="shared" si="1"/>
        <v>0</v>
      </c>
      <c r="AB24" s="41">
        <f t="shared" si="1"/>
        <v>8832</v>
      </c>
      <c r="AC24" s="41">
        <f t="shared" si="1"/>
        <v>3000</v>
      </c>
      <c r="AD24" s="41">
        <f t="shared" si="1"/>
        <v>1075</v>
      </c>
      <c r="AE24" s="41">
        <f t="shared" si="1"/>
        <v>2400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5" t="s">
        <v>56</v>
      </c>
      <c r="T27" s="45" t="s">
        <v>30</v>
      </c>
      <c r="AA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42</v>
      </c>
      <c r="B30" s="46"/>
      <c r="H30" s="51"/>
      <c r="I30" s="51"/>
      <c r="J30" s="51"/>
      <c r="N30" s="46"/>
      <c r="O30" s="46"/>
      <c r="P30" s="46"/>
      <c r="Q30" s="50" t="s">
        <v>107</v>
      </c>
      <c r="T30" s="50" t="s">
        <v>31</v>
      </c>
      <c r="AA30" s="51" t="s">
        <v>43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 t="s">
        <v>34</v>
      </c>
      <c r="T31" s="46" t="s">
        <v>32</v>
      </c>
      <c r="U31" s="46"/>
      <c r="AA31" s="46" t="s">
        <v>45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 t="s">
        <v>46</v>
      </c>
      <c r="T32" s="46"/>
      <c r="U32" s="46"/>
      <c r="V32" s="46"/>
      <c r="W32" s="46"/>
      <c r="X32" s="46" t="s">
        <v>34</v>
      </c>
      <c r="AA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47</v>
      </c>
      <c r="Q33" s="46" t="s">
        <v>51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23:C23"/>
    <mergeCell ref="B24:C24"/>
    <mergeCell ref="P18:Q18"/>
    <mergeCell ref="R18:S18"/>
    <mergeCell ref="T18:U18"/>
    <mergeCell ref="B20:C20"/>
    <mergeCell ref="A21:C21"/>
    <mergeCell ref="A22:C22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N17:O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9">
    <tabColor theme="0"/>
  </sheetPr>
  <dimension ref="A10:AR47"/>
  <sheetViews>
    <sheetView topLeftCell="A16" zoomScale="78" zoomScaleNormal="78" workbookViewId="0">
      <selection activeCell="Q30" sqref="Q30:W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bestFit="1" customWidth="1"/>
    <col min="19" max="19" width="14.85546875" style="1" customWidth="1"/>
    <col min="20" max="21" width="12.7109375" style="1" hidden="1" customWidth="1"/>
    <col min="22" max="22" width="0.8554687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110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22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45481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'6-24-30,2024'!P24</f>
        <v>0</v>
      </c>
      <c r="Q20" s="21">
        <f>'6-24-30,2024'!Q24</f>
        <v>0</v>
      </c>
      <c r="R20" s="21">
        <v>30303</v>
      </c>
      <c r="S20" s="62">
        <f>'6-24-30,2024'!S24</f>
        <v>9850</v>
      </c>
      <c r="T20" s="21">
        <f>'6-24-30,2024'!T24</f>
        <v>0</v>
      </c>
      <c r="U20" s="21">
        <f>'6-24-30,2024'!U24</f>
        <v>0</v>
      </c>
      <c r="V20" s="21" t="e">
        <f>'6-24-30,2024'!V24</f>
        <v>#REF!</v>
      </c>
      <c r="W20" s="21">
        <f>'6-24-30,2024'!W24</f>
        <v>975</v>
      </c>
      <c r="X20" s="21" t="e">
        <f>'6-24-30,2024'!X24</f>
        <v>#REF!</v>
      </c>
      <c r="Y20" s="21">
        <v>1952</v>
      </c>
      <c r="Z20" s="21">
        <v>221</v>
      </c>
      <c r="AA20" s="21">
        <f>'6-24-30,2024'!AA24</f>
        <v>0</v>
      </c>
      <c r="AB20" s="21">
        <v>8832</v>
      </c>
      <c r="AC20" s="21">
        <f>'6-24-30,2024'!AC24</f>
        <v>3000</v>
      </c>
      <c r="AD20" s="21">
        <v>1075</v>
      </c>
      <c r="AE20" s="21">
        <v>2400</v>
      </c>
      <c r="AF20" s="21">
        <f>'6-24-30,2024'!AF24</f>
        <v>0</v>
      </c>
      <c r="AG20" s="21">
        <f>'6-24-30,2024'!AG24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119"/>
      <c r="R21" s="23"/>
      <c r="S21" s="22"/>
      <c r="T21" s="23"/>
      <c r="U21" s="26"/>
      <c r="V21" s="23"/>
      <c r="W21" s="23"/>
      <c r="X21" s="23"/>
      <c r="Y21" s="23"/>
      <c r="Z21" s="23"/>
      <c r="AA21" s="23"/>
      <c r="AB21" s="23"/>
      <c r="AC21" s="31"/>
      <c r="AD21" s="31"/>
      <c r="AE21" s="31"/>
      <c r="AF21" s="23"/>
      <c r="AG21" s="32"/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30303</v>
      </c>
      <c r="S22" s="34">
        <f t="shared" si="0"/>
        <v>9850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975</v>
      </c>
      <c r="X22" s="34" t="e">
        <f t="shared" si="0"/>
        <v>#REF!</v>
      </c>
      <c r="Y22" s="34">
        <f t="shared" si="0"/>
        <v>1952</v>
      </c>
      <c r="Z22" s="34">
        <f t="shared" si="0"/>
        <v>221</v>
      </c>
      <c r="AA22" s="34">
        <f t="shared" si="0"/>
        <v>0</v>
      </c>
      <c r="AB22" s="34">
        <f t="shared" si="0"/>
        <v>8832</v>
      </c>
      <c r="AC22" s="34">
        <f t="shared" si="0"/>
        <v>3000</v>
      </c>
      <c r="AD22" s="34">
        <f t="shared" si="0"/>
        <v>1075</v>
      </c>
      <c r="AE22" s="34">
        <f t="shared" si="0"/>
        <v>2400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P23/208*25</f>
        <v>0</v>
      </c>
      <c r="R23" s="30">
        <v>7644</v>
      </c>
      <c r="S23" s="26">
        <f>R23/91*25</f>
        <v>2100</v>
      </c>
      <c r="T23" s="22"/>
      <c r="U23" s="24"/>
      <c r="V23" s="30"/>
      <c r="W23" s="36">
        <v>0</v>
      </c>
      <c r="X23" s="30"/>
      <c r="Y23" s="36">
        <v>160</v>
      </c>
      <c r="Z23" s="22">
        <v>40</v>
      </c>
      <c r="AA23" s="22"/>
      <c r="AB23" s="30">
        <v>504</v>
      </c>
      <c r="AC23" s="30"/>
      <c r="AD23" s="30">
        <v>650</v>
      </c>
      <c r="AE23" s="30">
        <v>600</v>
      </c>
      <c r="AF23" s="22">
        <v>0</v>
      </c>
      <c r="AG23" s="38">
        <v>0</v>
      </c>
    </row>
    <row r="24" spans="1:44" s="3" customFormat="1" ht="100.5" customHeight="1" thickBot="1" x14ac:dyDescent="0.25">
      <c r="A24" s="39">
        <v>45487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0</v>
      </c>
      <c r="Q24" s="40">
        <f t="shared" si="3"/>
        <v>0</v>
      </c>
      <c r="R24" s="40">
        <f>R22-R23</f>
        <v>22659</v>
      </c>
      <c r="S24" s="40">
        <f>S22-S23</f>
        <v>7750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975</v>
      </c>
      <c r="X24" s="41" t="e">
        <f t="shared" si="1"/>
        <v>#REF!</v>
      </c>
      <c r="Y24" s="93">
        <f>Y22-Y23</f>
        <v>1792</v>
      </c>
      <c r="Z24" s="40">
        <f t="shared" si="1"/>
        <v>181</v>
      </c>
      <c r="AA24" s="40">
        <f t="shared" si="1"/>
        <v>0</v>
      </c>
      <c r="AB24" s="41">
        <f t="shared" si="1"/>
        <v>8328</v>
      </c>
      <c r="AC24" s="41">
        <f t="shared" si="1"/>
        <v>3000</v>
      </c>
      <c r="AD24" s="41">
        <f t="shared" si="1"/>
        <v>425</v>
      </c>
      <c r="AE24" s="41">
        <f t="shared" si="1"/>
        <v>1800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5" t="s">
        <v>56</v>
      </c>
      <c r="T27" s="45" t="s">
        <v>30</v>
      </c>
      <c r="AA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 t="s">
        <v>31</v>
      </c>
      <c r="T30" s="50" t="s">
        <v>31</v>
      </c>
      <c r="AA30" s="51" t="s">
        <v>43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 t="s">
        <v>64</v>
      </c>
      <c r="T31" s="46" t="s">
        <v>32</v>
      </c>
      <c r="U31" s="46"/>
      <c r="AA31" s="46" t="s">
        <v>45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 t="s">
        <v>46</v>
      </c>
      <c r="T32" s="46"/>
      <c r="U32" s="46"/>
      <c r="V32" s="46"/>
      <c r="W32" s="46"/>
      <c r="X32" s="46" t="s">
        <v>34</v>
      </c>
      <c r="AA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112</v>
      </c>
      <c r="Q33" s="46" t="s">
        <v>65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23:C23"/>
    <mergeCell ref="B24:C24"/>
    <mergeCell ref="P18:Q18"/>
    <mergeCell ref="R18:S18"/>
    <mergeCell ref="T18:U18"/>
    <mergeCell ref="B20:C20"/>
    <mergeCell ref="A21:C21"/>
    <mergeCell ref="A22:C22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N17:O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0">
    <tabColor theme="0"/>
  </sheetPr>
  <dimension ref="A10:AR47"/>
  <sheetViews>
    <sheetView topLeftCell="A16" zoomScale="78" zoomScaleNormal="78" workbookViewId="0">
      <selection activeCell="Q30" sqref="Q30:W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bestFit="1" customWidth="1"/>
    <col min="19" max="19" width="14.85546875" style="1" customWidth="1"/>
    <col min="20" max="21" width="12.7109375" style="1" hidden="1" customWidth="1"/>
    <col min="22" max="22" width="0.8554687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113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23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45488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'6-24-30,2024'!P24</f>
        <v>0</v>
      </c>
      <c r="Q20" s="21">
        <f>'6-24-30,2024'!Q24</f>
        <v>0</v>
      </c>
      <c r="R20" s="21">
        <v>22659</v>
      </c>
      <c r="S20" s="62">
        <f>'6-24-30,2024'!S24</f>
        <v>9850</v>
      </c>
      <c r="T20" s="21">
        <f>'6-24-30,2024'!T24</f>
        <v>0</v>
      </c>
      <c r="U20" s="21">
        <f>'6-24-30,2024'!U24</f>
        <v>0</v>
      </c>
      <c r="V20" s="21" t="e">
        <f>'6-24-30,2024'!V24</f>
        <v>#REF!</v>
      </c>
      <c r="W20" s="21">
        <f>'6-24-30,2024'!W24</f>
        <v>975</v>
      </c>
      <c r="X20" s="21" t="e">
        <f>'6-24-30,2024'!X24</f>
        <v>#REF!</v>
      </c>
      <c r="Y20" s="21">
        <v>1792</v>
      </c>
      <c r="Z20" s="21">
        <v>181</v>
      </c>
      <c r="AA20" s="21">
        <f>'6-24-30,2024'!AA24</f>
        <v>0</v>
      </c>
      <c r="AB20" s="21">
        <v>8328</v>
      </c>
      <c r="AC20" s="21">
        <f>'6-24-30,2024'!AC24</f>
        <v>3000</v>
      </c>
      <c r="AD20" s="21">
        <v>425</v>
      </c>
      <c r="AE20" s="21">
        <v>1800</v>
      </c>
      <c r="AF20" s="21">
        <f>'6-24-30,2024'!AF24</f>
        <v>0</v>
      </c>
      <c r="AG20" s="21">
        <f>'6-24-30,2024'!AG24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119"/>
      <c r="R21" s="23"/>
      <c r="S21" s="22"/>
      <c r="T21" s="23"/>
      <c r="U21" s="26"/>
      <c r="V21" s="23"/>
      <c r="W21" s="23"/>
      <c r="X21" s="23"/>
      <c r="Y21" s="23"/>
      <c r="Z21" s="23"/>
      <c r="AA21" s="23"/>
      <c r="AB21" s="23"/>
      <c r="AC21" s="31"/>
      <c r="AD21" s="31"/>
      <c r="AE21" s="31"/>
      <c r="AF21" s="23"/>
      <c r="AG21" s="32"/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22659</v>
      </c>
      <c r="S22" s="34">
        <f t="shared" si="0"/>
        <v>9850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975</v>
      </c>
      <c r="X22" s="34" t="e">
        <f t="shared" si="0"/>
        <v>#REF!</v>
      </c>
      <c r="Y22" s="34">
        <f t="shared" si="0"/>
        <v>1792</v>
      </c>
      <c r="Z22" s="34">
        <f t="shared" si="0"/>
        <v>181</v>
      </c>
      <c r="AA22" s="34">
        <f t="shared" si="0"/>
        <v>0</v>
      </c>
      <c r="AB22" s="34">
        <f t="shared" si="0"/>
        <v>8328</v>
      </c>
      <c r="AC22" s="34">
        <f t="shared" si="0"/>
        <v>3000</v>
      </c>
      <c r="AD22" s="34">
        <f t="shared" si="0"/>
        <v>425</v>
      </c>
      <c r="AE22" s="34">
        <f t="shared" si="0"/>
        <v>1800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P23/208*25</f>
        <v>0</v>
      </c>
      <c r="R23" s="30">
        <f>93*91</f>
        <v>8463</v>
      </c>
      <c r="S23" s="26">
        <f>R23/91*25</f>
        <v>2325</v>
      </c>
      <c r="T23" s="22"/>
      <c r="U23" s="24"/>
      <c r="V23" s="30"/>
      <c r="W23" s="36"/>
      <c r="X23" s="30"/>
      <c r="Y23" s="36">
        <v>180</v>
      </c>
      <c r="Z23" s="22">
        <v>45</v>
      </c>
      <c r="AA23" s="22"/>
      <c r="AB23" s="30">
        <v>567</v>
      </c>
      <c r="AC23" s="30">
        <v>500</v>
      </c>
      <c r="AD23" s="30">
        <v>425</v>
      </c>
      <c r="AE23" s="30">
        <v>675</v>
      </c>
      <c r="AF23" s="22"/>
      <c r="AG23" s="38"/>
    </row>
    <row r="24" spans="1:44" s="3" customFormat="1" ht="100.5" customHeight="1" thickBot="1" x14ac:dyDescent="0.25">
      <c r="A24" s="39">
        <v>45494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0</v>
      </c>
      <c r="Q24" s="40">
        <f t="shared" si="3"/>
        <v>0</v>
      </c>
      <c r="R24" s="40">
        <f>R22-R23</f>
        <v>14196</v>
      </c>
      <c r="S24" s="40">
        <f>S22-S23</f>
        <v>7525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975</v>
      </c>
      <c r="X24" s="41" t="e">
        <f t="shared" si="1"/>
        <v>#REF!</v>
      </c>
      <c r="Y24" s="93">
        <f>Y22-Y23</f>
        <v>1612</v>
      </c>
      <c r="Z24" s="40">
        <f t="shared" si="1"/>
        <v>136</v>
      </c>
      <c r="AA24" s="40">
        <f t="shared" si="1"/>
        <v>0</v>
      </c>
      <c r="AB24" s="41">
        <f t="shared" si="1"/>
        <v>7761</v>
      </c>
      <c r="AC24" s="41">
        <f t="shared" si="1"/>
        <v>2500</v>
      </c>
      <c r="AD24" s="41">
        <f t="shared" si="1"/>
        <v>0</v>
      </c>
      <c r="AE24" s="41">
        <f t="shared" si="1"/>
        <v>1125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5" t="s">
        <v>56</v>
      </c>
      <c r="T27" s="45" t="s">
        <v>30</v>
      </c>
      <c r="AA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 t="s">
        <v>107</v>
      </c>
      <c r="T30" s="50" t="s">
        <v>31</v>
      </c>
      <c r="AA30" s="51" t="s">
        <v>43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 t="s">
        <v>34</v>
      </c>
      <c r="T31" s="46" t="s">
        <v>32</v>
      </c>
      <c r="U31" s="46"/>
      <c r="AA31" s="46" t="s">
        <v>45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 t="s">
        <v>46</v>
      </c>
      <c r="T32" s="46"/>
      <c r="U32" s="46"/>
      <c r="V32" s="46"/>
      <c r="W32" s="46"/>
      <c r="X32" s="46" t="s">
        <v>34</v>
      </c>
      <c r="AA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112</v>
      </c>
      <c r="Q33" s="46" t="s">
        <v>51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23:C23"/>
    <mergeCell ref="B24:C24"/>
    <mergeCell ref="P18:Q18"/>
    <mergeCell ref="R18:S18"/>
    <mergeCell ref="T18:U18"/>
    <mergeCell ref="B20:C20"/>
    <mergeCell ref="A21:C21"/>
    <mergeCell ref="A22:C22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N17:O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1">
    <tabColor theme="0"/>
  </sheetPr>
  <dimension ref="A10:AR47"/>
  <sheetViews>
    <sheetView topLeftCell="A7" zoomScale="78" zoomScaleNormal="78" workbookViewId="0">
      <selection activeCell="Q22" sqref="Q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bestFit="1" customWidth="1"/>
    <col min="19" max="19" width="14.85546875" style="1" customWidth="1"/>
    <col min="20" max="21" width="12.7109375" style="1" hidden="1" customWidth="1"/>
    <col min="22" max="22" width="0.8554687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114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24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45495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'7-15-21, 2024'!P24</f>
        <v>0</v>
      </c>
      <c r="Q20" s="21">
        <f>'7-15-21, 2024'!Q24</f>
        <v>0</v>
      </c>
      <c r="R20" s="21">
        <f>'7-15-21, 2024'!R24</f>
        <v>14196</v>
      </c>
      <c r="S20" s="62">
        <f>'7-15-21, 2024'!S24</f>
        <v>7525</v>
      </c>
      <c r="T20" s="21">
        <f>'7-15-21, 2024'!T24</f>
        <v>0</v>
      </c>
      <c r="U20" s="21">
        <f>'7-15-21, 2024'!U24</f>
        <v>0</v>
      </c>
      <c r="V20" s="21" t="e">
        <f>'7-15-21, 2024'!V24</f>
        <v>#REF!</v>
      </c>
      <c r="W20" s="21">
        <f>'7-15-21, 2024'!W24</f>
        <v>975</v>
      </c>
      <c r="X20" s="21" t="e">
        <f>'7-15-21, 2024'!X24</f>
        <v>#REF!</v>
      </c>
      <c r="Y20" s="21">
        <f>'7-15-21, 2024'!Y24</f>
        <v>1612</v>
      </c>
      <c r="Z20" s="21">
        <f>'7-15-21, 2024'!Z24</f>
        <v>136</v>
      </c>
      <c r="AA20" s="21">
        <f>'7-15-21, 2024'!AA24</f>
        <v>0</v>
      </c>
      <c r="AB20" s="21">
        <f>'7-15-21, 2024'!AB24</f>
        <v>7761</v>
      </c>
      <c r="AC20" s="21">
        <f>'7-15-21, 2024'!AC24</f>
        <v>2500</v>
      </c>
      <c r="AD20" s="21">
        <f>'7-15-21, 2024'!AD24</f>
        <v>0</v>
      </c>
      <c r="AE20" s="21">
        <f>'7-15-21, 2024'!AE24</f>
        <v>1125</v>
      </c>
      <c r="AF20" s="21">
        <f>'7-15-21, 2024'!AF24</f>
        <v>0</v>
      </c>
      <c r="AG20" s="21">
        <f>'7-15-21, 2024'!AG24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119"/>
      <c r="R21" s="23"/>
      <c r="S21" s="22"/>
      <c r="T21" s="23"/>
      <c r="U21" s="26"/>
      <c r="V21" s="23"/>
      <c r="W21" s="23"/>
      <c r="X21" s="23"/>
      <c r="Y21" s="23"/>
      <c r="Z21" s="23"/>
      <c r="AA21" s="23"/>
      <c r="AB21" s="23"/>
      <c r="AC21" s="31"/>
      <c r="AD21" s="31"/>
      <c r="AE21" s="31"/>
      <c r="AF21" s="23"/>
      <c r="AG21" s="32"/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14196</v>
      </c>
      <c r="S22" s="34">
        <f t="shared" si="0"/>
        <v>7525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975</v>
      </c>
      <c r="X22" s="34" t="e">
        <f t="shared" si="0"/>
        <v>#REF!</v>
      </c>
      <c r="Y22" s="34">
        <f t="shared" si="0"/>
        <v>1612</v>
      </c>
      <c r="Z22" s="34">
        <f t="shared" si="0"/>
        <v>136</v>
      </c>
      <c r="AA22" s="34">
        <f t="shared" si="0"/>
        <v>0</v>
      </c>
      <c r="AB22" s="34">
        <f t="shared" si="0"/>
        <v>7761</v>
      </c>
      <c r="AC22" s="34">
        <f t="shared" si="0"/>
        <v>2500</v>
      </c>
      <c r="AD22" s="34">
        <f t="shared" si="0"/>
        <v>0</v>
      </c>
      <c r="AE22" s="34">
        <f t="shared" si="0"/>
        <v>1125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P23/208*25</f>
        <v>0</v>
      </c>
      <c r="R23" s="30">
        <v>6825</v>
      </c>
      <c r="S23" s="26">
        <f>R23/91*25</f>
        <v>1875</v>
      </c>
      <c r="T23" s="22"/>
      <c r="U23" s="24"/>
      <c r="V23" s="30"/>
      <c r="W23" s="36"/>
      <c r="X23" s="30"/>
      <c r="Y23" s="36">
        <v>120</v>
      </c>
      <c r="Z23" s="22">
        <v>30</v>
      </c>
      <c r="AA23" s="22"/>
      <c r="AB23" s="30">
        <v>439</v>
      </c>
      <c r="AC23" s="30">
        <v>980</v>
      </c>
      <c r="AD23" s="30"/>
      <c r="AE23" s="30">
        <v>450</v>
      </c>
      <c r="AF23" s="22"/>
      <c r="AG23" s="38"/>
    </row>
    <row r="24" spans="1:44" s="3" customFormat="1" ht="100.5" customHeight="1" thickBot="1" x14ac:dyDescent="0.25">
      <c r="A24" s="39">
        <v>45501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0</v>
      </c>
      <c r="Q24" s="40">
        <f t="shared" si="3"/>
        <v>0</v>
      </c>
      <c r="R24" s="40">
        <f>R22-R23</f>
        <v>7371</v>
      </c>
      <c r="S24" s="40">
        <f>S22-S23</f>
        <v>5650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975</v>
      </c>
      <c r="X24" s="41" t="e">
        <f t="shared" si="1"/>
        <v>#REF!</v>
      </c>
      <c r="Y24" s="93">
        <f>Y22-Y23</f>
        <v>1492</v>
      </c>
      <c r="Z24" s="40">
        <f t="shared" si="1"/>
        <v>106</v>
      </c>
      <c r="AA24" s="40">
        <f t="shared" si="1"/>
        <v>0</v>
      </c>
      <c r="AB24" s="41">
        <f t="shared" si="1"/>
        <v>7322</v>
      </c>
      <c r="AC24" s="41">
        <f t="shared" si="1"/>
        <v>1520</v>
      </c>
      <c r="AD24" s="41">
        <f t="shared" si="1"/>
        <v>0</v>
      </c>
      <c r="AE24" s="41">
        <f t="shared" si="1"/>
        <v>675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5" t="s">
        <v>56</v>
      </c>
      <c r="T27" s="45" t="s">
        <v>30</v>
      </c>
      <c r="Z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42</v>
      </c>
      <c r="B30" s="46"/>
      <c r="H30" s="51"/>
      <c r="I30" s="51"/>
      <c r="J30" s="51"/>
      <c r="N30" s="46"/>
      <c r="O30" s="46"/>
      <c r="P30" s="46"/>
      <c r="Q30" s="50" t="s">
        <v>107</v>
      </c>
      <c r="T30" s="50" t="s">
        <v>31</v>
      </c>
      <c r="Z30" s="51" t="s">
        <v>43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 t="s">
        <v>34</v>
      </c>
      <c r="T31" s="46" t="s">
        <v>32</v>
      </c>
      <c r="U31" s="46"/>
      <c r="Z31" s="46" t="s">
        <v>45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 t="s">
        <v>46</v>
      </c>
      <c r="T32" s="46"/>
      <c r="U32" s="46"/>
      <c r="V32" s="46"/>
      <c r="W32" s="46"/>
      <c r="X32" s="46" t="s">
        <v>34</v>
      </c>
      <c r="Z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47</v>
      </c>
      <c r="Q33" s="46" t="s">
        <v>51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A23:C23"/>
    <mergeCell ref="B24:C24"/>
    <mergeCell ref="P18:Q18"/>
    <mergeCell ref="R18:S18"/>
    <mergeCell ref="T18:U18"/>
    <mergeCell ref="B20:C20"/>
    <mergeCell ref="A21:C21"/>
    <mergeCell ref="A22:C22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2">
    <tabColor theme="0"/>
  </sheetPr>
  <dimension ref="A10:AR47"/>
  <sheetViews>
    <sheetView topLeftCell="A16" zoomScale="78" zoomScaleNormal="78" workbookViewId="0">
      <selection activeCell="Z34" sqref="Z3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bestFit="1" customWidth="1"/>
    <col min="19" max="19" width="14.85546875" style="1" customWidth="1"/>
    <col min="20" max="21" width="12.7109375" style="1" hidden="1" customWidth="1"/>
    <col min="22" max="22" width="0.8554687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115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25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45501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'7-22-28,2024'!P24</f>
        <v>0</v>
      </c>
      <c r="Q20" s="21">
        <f>'7-22-28,2024'!Q24</f>
        <v>0</v>
      </c>
      <c r="R20" s="21">
        <f>'7-22-28,2024'!R24</f>
        <v>7371</v>
      </c>
      <c r="S20" s="21">
        <f>'7-22-28,2024'!S24</f>
        <v>5650</v>
      </c>
      <c r="T20" s="21">
        <f>'7-22-28,2024'!T24</f>
        <v>0</v>
      </c>
      <c r="U20" s="21">
        <f>'7-22-28,2024'!U24</f>
        <v>0</v>
      </c>
      <c r="V20" s="21" t="e">
        <f>'7-22-28,2024'!V24</f>
        <v>#REF!</v>
      </c>
      <c r="W20" s="21">
        <f>'7-22-28,2024'!W24</f>
        <v>975</v>
      </c>
      <c r="X20" s="21" t="e">
        <f>'7-22-28,2024'!X24</f>
        <v>#REF!</v>
      </c>
      <c r="Y20" s="21">
        <f>'7-22-28,2024'!Y24</f>
        <v>1492</v>
      </c>
      <c r="Z20" s="21">
        <f>'7-22-28,2024'!Z24</f>
        <v>106</v>
      </c>
      <c r="AA20" s="21">
        <f>'7-22-28,2024'!AA24</f>
        <v>0</v>
      </c>
      <c r="AB20" s="21">
        <f>'7-22-28,2024'!AB24</f>
        <v>7322</v>
      </c>
      <c r="AC20" s="21">
        <f>'7-22-28,2024'!AC24</f>
        <v>1520</v>
      </c>
      <c r="AD20" s="21">
        <f>'7-22-28,2024'!AD24</f>
        <v>0</v>
      </c>
      <c r="AE20" s="21">
        <f>'7-22-28,2024'!AE24</f>
        <v>675</v>
      </c>
      <c r="AF20" s="21">
        <f>'7-22-28,2024'!AF24</f>
        <v>0</v>
      </c>
      <c r="AG20" s="21">
        <f>'7-22-28,2024'!AG24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119"/>
      <c r="R21" s="23">
        <f>270*91</f>
        <v>24570</v>
      </c>
      <c r="S21" s="26">
        <f>R21/91*25</f>
        <v>6750</v>
      </c>
      <c r="T21" s="23"/>
      <c r="U21" s="26"/>
      <c r="V21" s="23"/>
      <c r="W21" s="23"/>
      <c r="X21" s="23"/>
      <c r="Y21" s="23">
        <v>1000</v>
      </c>
      <c r="Z21" s="23">
        <v>200</v>
      </c>
      <c r="AA21" s="23"/>
      <c r="AB21" s="23">
        <v>2420</v>
      </c>
      <c r="AC21" s="31">
        <v>3000</v>
      </c>
      <c r="AD21" s="31"/>
      <c r="AE21" s="31">
        <v>1200</v>
      </c>
      <c r="AF21" s="23">
        <v>0</v>
      </c>
      <c r="AG21" s="32"/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31941</v>
      </c>
      <c r="S22" s="34">
        <f t="shared" si="0"/>
        <v>12400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975</v>
      </c>
      <c r="X22" s="34" t="e">
        <f t="shared" si="0"/>
        <v>#REF!</v>
      </c>
      <c r="Y22" s="34">
        <f t="shared" si="0"/>
        <v>2492</v>
      </c>
      <c r="Z22" s="34">
        <f t="shared" si="0"/>
        <v>306</v>
      </c>
      <c r="AA22" s="34">
        <f t="shared" si="0"/>
        <v>0</v>
      </c>
      <c r="AB22" s="34">
        <f t="shared" si="0"/>
        <v>9742</v>
      </c>
      <c r="AC22" s="34">
        <f t="shared" si="0"/>
        <v>4520</v>
      </c>
      <c r="AD22" s="34">
        <f t="shared" si="0"/>
        <v>0</v>
      </c>
      <c r="AE22" s="34">
        <f t="shared" si="0"/>
        <v>1875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P23/208*25</f>
        <v>0</v>
      </c>
      <c r="R23" s="30">
        <f>112*91</f>
        <v>10192</v>
      </c>
      <c r="S23" s="26">
        <f>R23/91*25</f>
        <v>2800</v>
      </c>
      <c r="T23" s="22"/>
      <c r="U23" s="24"/>
      <c r="V23" s="30"/>
      <c r="W23" s="36"/>
      <c r="X23" s="30"/>
      <c r="Y23" s="36">
        <v>165</v>
      </c>
      <c r="Z23" s="22">
        <v>43</v>
      </c>
      <c r="AA23" s="22">
        <v>0</v>
      </c>
      <c r="AB23" s="30">
        <v>696</v>
      </c>
      <c r="AC23" s="30">
        <v>1390</v>
      </c>
      <c r="AD23" s="30"/>
      <c r="AE23" s="30">
        <v>450</v>
      </c>
      <c r="AF23" s="22"/>
      <c r="AG23" s="38"/>
    </row>
    <row r="24" spans="1:44" s="3" customFormat="1" ht="100.5" customHeight="1" thickBot="1" x14ac:dyDescent="0.25">
      <c r="A24" s="39">
        <v>45508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0</v>
      </c>
      <c r="Q24" s="40">
        <f t="shared" si="3"/>
        <v>0</v>
      </c>
      <c r="R24" s="40">
        <f>R22-R23</f>
        <v>21749</v>
      </c>
      <c r="S24" s="40">
        <f>S22-S23</f>
        <v>9600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975</v>
      </c>
      <c r="X24" s="41" t="e">
        <f t="shared" si="1"/>
        <v>#REF!</v>
      </c>
      <c r="Y24" s="93">
        <f>Y22-Y23</f>
        <v>2327</v>
      </c>
      <c r="Z24" s="40">
        <f t="shared" si="1"/>
        <v>263</v>
      </c>
      <c r="AA24" s="40">
        <f t="shared" si="1"/>
        <v>0</v>
      </c>
      <c r="AB24" s="41">
        <f t="shared" si="1"/>
        <v>9046</v>
      </c>
      <c r="AC24" s="41">
        <f t="shared" si="1"/>
        <v>3130</v>
      </c>
      <c r="AD24" s="41">
        <f t="shared" si="1"/>
        <v>0</v>
      </c>
      <c r="AE24" s="41">
        <f t="shared" si="1"/>
        <v>1425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5" t="s">
        <v>56</v>
      </c>
      <c r="T27" s="45" t="s">
        <v>30</v>
      </c>
      <c r="Z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42</v>
      </c>
      <c r="B30" s="46"/>
      <c r="H30" s="51"/>
      <c r="I30" s="51"/>
      <c r="J30" s="51"/>
      <c r="N30" s="46"/>
      <c r="O30" s="46"/>
      <c r="P30" s="46"/>
      <c r="Q30" s="50" t="s">
        <v>107</v>
      </c>
      <c r="T30" s="50" t="s">
        <v>31</v>
      </c>
      <c r="Z30" s="51" t="s">
        <v>43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 t="s">
        <v>34</v>
      </c>
      <c r="T31" s="46" t="s">
        <v>32</v>
      </c>
      <c r="U31" s="46"/>
      <c r="Z31" s="46" t="s">
        <v>45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 t="s">
        <v>46</v>
      </c>
      <c r="T32" s="46"/>
      <c r="U32" s="46"/>
      <c r="V32" s="46"/>
      <c r="W32" s="46"/>
      <c r="X32" s="46" t="s">
        <v>34</v>
      </c>
      <c r="Z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47</v>
      </c>
      <c r="Q33" s="46" t="s">
        <v>51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A23:C23"/>
    <mergeCell ref="B24:C24"/>
    <mergeCell ref="P18:Q18"/>
    <mergeCell ref="R18:S18"/>
    <mergeCell ref="T18:U18"/>
    <mergeCell ref="B20:C20"/>
    <mergeCell ref="A21:C21"/>
    <mergeCell ref="A22:C22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3">
    <tabColor theme="0"/>
  </sheetPr>
  <dimension ref="A10:AR47"/>
  <sheetViews>
    <sheetView topLeftCell="A16" zoomScale="78" zoomScaleNormal="78" workbookViewId="0">
      <selection activeCell="S21" sqref="S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bestFit="1" customWidth="1"/>
    <col min="19" max="19" width="14.85546875" style="1" customWidth="1"/>
    <col min="20" max="21" width="12.7109375" style="1" hidden="1" customWidth="1"/>
    <col min="22" max="22" width="0.8554687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116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26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45509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'7-29-8-4,2024'!P24</f>
        <v>0</v>
      </c>
      <c r="Q20" s="21">
        <f>'7-29-8-4,2024'!Q24</f>
        <v>0</v>
      </c>
      <c r="R20" s="21">
        <f>'7-29-8-4,2024'!R24</f>
        <v>21749</v>
      </c>
      <c r="S20" s="21">
        <f>'7-29-8-4,2024'!S24</f>
        <v>9600</v>
      </c>
      <c r="T20" s="21">
        <f>'7-29-8-4,2024'!T24</f>
        <v>0</v>
      </c>
      <c r="U20" s="21">
        <f>'7-29-8-4,2024'!U24</f>
        <v>0</v>
      </c>
      <c r="V20" s="21" t="e">
        <f>'7-29-8-4,2024'!V24</f>
        <v>#REF!</v>
      </c>
      <c r="W20" s="21">
        <f>'7-29-8-4,2024'!W24</f>
        <v>975</v>
      </c>
      <c r="X20" s="21" t="e">
        <f>'7-29-8-4,2024'!X24</f>
        <v>#REF!</v>
      </c>
      <c r="Y20" s="21">
        <f>'7-29-8-4,2024'!Y24</f>
        <v>2327</v>
      </c>
      <c r="Z20" s="21">
        <f>'7-29-8-4,2024'!Z24</f>
        <v>263</v>
      </c>
      <c r="AA20" s="21">
        <f>'7-29-8-4,2024'!AA24</f>
        <v>0</v>
      </c>
      <c r="AB20" s="21">
        <f>'7-29-8-4,2024'!AB24</f>
        <v>9046</v>
      </c>
      <c r="AC20" s="21">
        <f>'7-29-8-4,2024'!AC24</f>
        <v>3130</v>
      </c>
      <c r="AD20" s="21">
        <f>'7-29-8-4,2024'!AD24</f>
        <v>0</v>
      </c>
      <c r="AE20" s="21">
        <f>'7-29-8-4,2024'!AE24</f>
        <v>1425</v>
      </c>
      <c r="AF20" s="21">
        <f>'7-29-8-4,2024'!AF24</f>
        <v>0</v>
      </c>
      <c r="AG20" s="21">
        <f>'7-29-8-4,2024'!AG24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119"/>
      <c r="R21" s="23"/>
      <c r="S21" s="26">
        <f>R21/91*25</f>
        <v>0</v>
      </c>
      <c r="T21" s="23"/>
      <c r="U21" s="26"/>
      <c r="V21" s="23"/>
      <c r="W21" s="23"/>
      <c r="X21" s="23"/>
      <c r="Y21" s="23"/>
      <c r="Z21" s="23"/>
      <c r="AA21" s="23"/>
      <c r="AB21" s="23"/>
      <c r="AC21" s="31"/>
      <c r="AD21" s="31"/>
      <c r="AE21" s="31"/>
      <c r="AF21" s="23"/>
      <c r="AG21" s="32"/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21749</v>
      </c>
      <c r="S22" s="34">
        <f>S20+S21</f>
        <v>9600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975</v>
      </c>
      <c r="X22" s="34" t="e">
        <f t="shared" si="0"/>
        <v>#REF!</v>
      </c>
      <c r="Y22" s="34">
        <f t="shared" si="0"/>
        <v>2327</v>
      </c>
      <c r="Z22" s="34">
        <f t="shared" si="0"/>
        <v>263</v>
      </c>
      <c r="AA22" s="34">
        <f t="shared" si="0"/>
        <v>0</v>
      </c>
      <c r="AB22" s="34">
        <f t="shared" si="0"/>
        <v>9046</v>
      </c>
      <c r="AC22" s="34">
        <f t="shared" si="0"/>
        <v>3130</v>
      </c>
      <c r="AD22" s="34">
        <f t="shared" si="0"/>
        <v>0</v>
      </c>
      <c r="AE22" s="34">
        <f t="shared" si="0"/>
        <v>1425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P23/208*25</f>
        <v>0</v>
      </c>
      <c r="R23" s="30">
        <f>150*91</f>
        <v>13650</v>
      </c>
      <c r="S23" s="26">
        <f>R23/91*25</f>
        <v>3750</v>
      </c>
      <c r="T23" s="22"/>
      <c r="U23" s="24"/>
      <c r="V23" s="30"/>
      <c r="W23" s="36"/>
      <c r="X23" s="30"/>
      <c r="Y23" s="36">
        <v>212</v>
      </c>
      <c r="Z23" s="22">
        <v>67</v>
      </c>
      <c r="AA23" s="22">
        <v>0</v>
      </c>
      <c r="AB23" s="30">
        <v>877</v>
      </c>
      <c r="AC23" s="30">
        <v>1730</v>
      </c>
      <c r="AD23" s="30">
        <v>0</v>
      </c>
      <c r="AE23" s="30">
        <v>525</v>
      </c>
      <c r="AF23" s="22">
        <v>0</v>
      </c>
      <c r="AG23" s="38">
        <v>0</v>
      </c>
    </row>
    <row r="24" spans="1:44" s="3" customFormat="1" ht="100.5" customHeight="1" thickBot="1" x14ac:dyDescent="0.25">
      <c r="A24" s="39">
        <v>45515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0</v>
      </c>
      <c r="Q24" s="40">
        <f t="shared" si="3"/>
        <v>0</v>
      </c>
      <c r="R24" s="40">
        <f>R22-R23</f>
        <v>8099</v>
      </c>
      <c r="S24" s="40">
        <f>S22-S23</f>
        <v>5850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975</v>
      </c>
      <c r="X24" s="41" t="e">
        <f t="shared" si="1"/>
        <v>#REF!</v>
      </c>
      <c r="Y24" s="93">
        <f>Y22-Y23</f>
        <v>2115</v>
      </c>
      <c r="Z24" s="40">
        <f t="shared" si="1"/>
        <v>196</v>
      </c>
      <c r="AA24" s="40">
        <f t="shared" si="1"/>
        <v>0</v>
      </c>
      <c r="AB24" s="41">
        <f t="shared" si="1"/>
        <v>8169</v>
      </c>
      <c r="AC24" s="41">
        <f t="shared" si="1"/>
        <v>1400</v>
      </c>
      <c r="AD24" s="41">
        <f t="shared" si="1"/>
        <v>0</v>
      </c>
      <c r="AE24" s="41">
        <f t="shared" si="1"/>
        <v>900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5" t="s">
        <v>56</v>
      </c>
      <c r="T27" s="45" t="s">
        <v>30</v>
      </c>
      <c r="Z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 t="s">
        <v>107</v>
      </c>
      <c r="T30" s="50" t="s">
        <v>31</v>
      </c>
      <c r="Z30" s="51" t="s">
        <v>117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 t="s">
        <v>34</v>
      </c>
      <c r="T31" s="46" t="s">
        <v>32</v>
      </c>
      <c r="U31" s="46"/>
      <c r="Z31" s="46" t="s">
        <v>118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 t="s">
        <v>46</v>
      </c>
      <c r="T32" s="46"/>
      <c r="U32" s="46"/>
      <c r="V32" s="46"/>
      <c r="W32" s="46"/>
      <c r="X32" s="46" t="s">
        <v>34</v>
      </c>
      <c r="Z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112</v>
      </c>
      <c r="Q33" s="46" t="s">
        <v>51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23:C23"/>
    <mergeCell ref="B24:C24"/>
    <mergeCell ref="P18:Q18"/>
    <mergeCell ref="R18:S18"/>
    <mergeCell ref="T18:U18"/>
    <mergeCell ref="B20:C20"/>
    <mergeCell ref="A21:C21"/>
    <mergeCell ref="A22:C22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N17:O17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4">
    <tabColor theme="0"/>
  </sheetPr>
  <dimension ref="A10:AR47"/>
  <sheetViews>
    <sheetView topLeftCell="A16" zoomScale="78" zoomScaleNormal="78" workbookViewId="0">
      <selection activeCell="Q35" sqref="Q3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3.7109375" style="1" customWidth="1"/>
    <col min="19" max="19" width="14.85546875" style="1" customWidth="1"/>
    <col min="20" max="21" width="12.7109375" style="1" hidden="1" customWidth="1"/>
    <col min="22" max="22" width="1.42578125" style="1" hidden="1" customWidth="1"/>
    <col min="23" max="23" width="12.140625" style="1" customWidth="1"/>
    <col min="24" max="24" width="7" style="1" hidden="1" customWidth="1"/>
    <col min="25" max="25" width="17.140625" style="1" customWidth="1"/>
    <col min="26" max="26" width="12.28515625" style="1" customWidth="1"/>
    <col min="27" max="27" width="22.42578125" style="1" bestFit="1" customWidth="1"/>
    <col min="28" max="28" width="14" style="1" customWidth="1"/>
    <col min="29" max="29" width="18.5703125" style="1" bestFit="1" customWidth="1"/>
    <col min="30" max="31" width="18.5703125" style="1" customWidth="1"/>
    <col min="32" max="32" width="12.42578125" style="1" bestFit="1" customWidth="1"/>
    <col min="33" max="33" width="9.140625" style="1" bestFit="1" customWidth="1"/>
    <col min="34" max="34" width="14.28515625" style="1" bestFit="1" customWidth="1"/>
    <col min="35" max="35" width="10.28515625" style="1" bestFit="1" customWidth="1"/>
    <col min="36" max="36" width="9.140625" style="1"/>
    <col min="37" max="37" width="10.7109375" style="1" bestFit="1" customWidth="1"/>
    <col min="38" max="16384" width="9.140625" style="1"/>
  </cols>
  <sheetData>
    <row r="10" spans="1:3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</row>
    <row r="11" spans="1:34" ht="34.5" x14ac:dyDescent="0.45">
      <c r="A11" s="315" t="s">
        <v>119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1:34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4" ht="22.5" thickBot="1" x14ac:dyDescent="0.35"/>
    <row r="14" spans="1:34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8"/>
    </row>
    <row r="15" spans="1:34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1"/>
    </row>
    <row r="16" spans="1:34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5" t="s">
        <v>6</v>
      </c>
      <c r="W16" s="6" t="s">
        <v>7</v>
      </c>
      <c r="X16" s="6" t="s">
        <v>8</v>
      </c>
      <c r="Y16" s="7" t="s">
        <v>8</v>
      </c>
      <c r="Z16" s="5" t="s">
        <v>9</v>
      </c>
      <c r="AA16" s="57" t="s">
        <v>11</v>
      </c>
      <c r="AB16" s="58" t="s">
        <v>10</v>
      </c>
      <c r="AC16" s="57" t="s">
        <v>40</v>
      </c>
      <c r="AD16" s="57" t="s">
        <v>41</v>
      </c>
      <c r="AE16" s="57" t="s">
        <v>41</v>
      </c>
      <c r="AF16" s="57" t="s">
        <v>12</v>
      </c>
      <c r="AG16" s="127" t="s">
        <v>13</v>
      </c>
    </row>
    <row r="17" spans="1:44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208</v>
      </c>
      <c r="Q17" s="333"/>
      <c r="R17" s="332">
        <v>91</v>
      </c>
      <c r="S17" s="333"/>
      <c r="T17" s="332">
        <v>135</v>
      </c>
      <c r="U17" s="333"/>
      <c r="V17" s="8" t="s">
        <v>14</v>
      </c>
      <c r="W17" s="9"/>
      <c r="X17" s="9" t="s">
        <v>15</v>
      </c>
      <c r="Y17" s="10"/>
      <c r="Z17" s="8"/>
      <c r="AA17" s="11">
        <v>4.8</v>
      </c>
      <c r="AB17" s="11">
        <v>4.9000000000000004</v>
      </c>
      <c r="AC17" s="11">
        <v>10</v>
      </c>
      <c r="AD17" s="11">
        <v>10</v>
      </c>
      <c r="AE17" s="11">
        <v>40</v>
      </c>
      <c r="AF17" s="12"/>
      <c r="AG17" s="12"/>
    </row>
    <row r="18" spans="1:44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97</v>
      </c>
      <c r="Q18" s="333"/>
      <c r="R18" s="332" t="s">
        <v>97</v>
      </c>
      <c r="S18" s="333"/>
      <c r="T18" s="332" t="s">
        <v>19</v>
      </c>
      <c r="U18" s="333"/>
      <c r="V18" s="8"/>
      <c r="W18" s="10"/>
      <c r="X18" s="10"/>
      <c r="Y18" s="10"/>
      <c r="Z18" s="8"/>
      <c r="AA18" s="10"/>
      <c r="AB18" s="13"/>
      <c r="AC18" s="10"/>
      <c r="AD18" s="10"/>
      <c r="AE18" s="10"/>
      <c r="AF18" s="10"/>
      <c r="AG18" s="10"/>
    </row>
    <row r="19" spans="1:44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8" t="s">
        <v>20</v>
      </c>
      <c r="W19" s="19" t="s">
        <v>21</v>
      </c>
      <c r="X19" s="19" t="s">
        <v>22</v>
      </c>
      <c r="Y19" s="19" t="s">
        <v>22</v>
      </c>
      <c r="Z19" s="18" t="s">
        <v>20</v>
      </c>
      <c r="AA19" s="19" t="s">
        <v>20</v>
      </c>
      <c r="AB19" s="20" t="s">
        <v>20</v>
      </c>
      <c r="AC19" s="19" t="s">
        <v>22</v>
      </c>
      <c r="AD19" s="19" t="s">
        <v>22</v>
      </c>
      <c r="AE19" s="19" t="s">
        <v>22</v>
      </c>
      <c r="AF19" s="19" t="s">
        <v>22</v>
      </c>
      <c r="AG19" s="19" t="s">
        <v>20</v>
      </c>
    </row>
    <row r="20" spans="1:44" ht="68.25" customHeight="1" x14ac:dyDescent="0.3">
      <c r="A20" s="56">
        <v>45516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'8-5-11,2024'!P24</f>
        <v>0</v>
      </c>
      <c r="Q20" s="21">
        <f>'8-5-11,2024'!Q24</f>
        <v>0</v>
      </c>
      <c r="R20" s="21">
        <f>'8-5-11,2024'!R24</f>
        <v>8099</v>
      </c>
      <c r="S20" s="21">
        <f>'8-5-11,2024'!S24</f>
        <v>5850</v>
      </c>
      <c r="T20" s="21">
        <f>'8-5-11,2024'!T24</f>
        <v>0</v>
      </c>
      <c r="U20" s="21">
        <f>'8-5-11,2024'!U24</f>
        <v>0</v>
      </c>
      <c r="V20" s="21" t="e">
        <f>'8-5-11,2024'!V24</f>
        <v>#REF!</v>
      </c>
      <c r="W20" s="21">
        <f>'8-5-11,2024'!W24</f>
        <v>975</v>
      </c>
      <c r="X20" s="21" t="e">
        <f>'8-5-11,2024'!X24</f>
        <v>#REF!</v>
      </c>
      <c r="Y20" s="21">
        <f>'8-5-11,2024'!Y24</f>
        <v>2115</v>
      </c>
      <c r="Z20" s="21">
        <f>'8-5-11,2024'!Z24</f>
        <v>196</v>
      </c>
      <c r="AA20" s="21">
        <f>'8-5-11,2024'!AA24</f>
        <v>0</v>
      </c>
      <c r="AB20" s="21">
        <f>'8-5-11,2024'!AB24</f>
        <v>8169</v>
      </c>
      <c r="AC20" s="21">
        <f>'8-5-11,2024'!AC24</f>
        <v>1400</v>
      </c>
      <c r="AD20" s="21">
        <f>'8-5-11,2024'!AD24</f>
        <v>0</v>
      </c>
      <c r="AE20" s="21">
        <f>'8-5-11,2024'!AE24</f>
        <v>900</v>
      </c>
      <c r="AF20" s="21">
        <f>'8-5-11,2024'!AF24</f>
        <v>0</v>
      </c>
      <c r="AG20" s="21">
        <f>'8-5-11,2024'!AG24</f>
        <v>96</v>
      </c>
      <c r="AH20" s="28"/>
    </row>
    <row r="21" spans="1:44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P21/208*25</f>
        <v>0</v>
      </c>
      <c r="R21" s="23"/>
      <c r="S21" s="26">
        <f>R21/91*25</f>
        <v>0</v>
      </c>
      <c r="T21" s="23"/>
      <c r="U21" s="26"/>
      <c r="V21" s="23"/>
      <c r="W21" s="23">
        <f>70*25</f>
        <v>1750</v>
      </c>
      <c r="X21" s="23"/>
      <c r="Y21" s="23"/>
      <c r="Z21" s="23"/>
      <c r="AA21" s="23"/>
      <c r="AB21" s="23"/>
      <c r="AC21" s="31">
        <v>1000</v>
      </c>
      <c r="AD21" s="31"/>
      <c r="AE21" s="31"/>
      <c r="AF21" s="23"/>
      <c r="AG21" s="32"/>
      <c r="AI21" s="33"/>
    </row>
    <row r="22" spans="1:44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G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 t="shared" si="0"/>
        <v>0</v>
      </c>
      <c r="Q22" s="34">
        <f t="shared" si="0"/>
        <v>0</v>
      </c>
      <c r="R22" s="34">
        <f t="shared" si="0"/>
        <v>8099</v>
      </c>
      <c r="S22" s="34">
        <f t="shared" si="0"/>
        <v>5850</v>
      </c>
      <c r="T22" s="34">
        <f t="shared" si="0"/>
        <v>0</v>
      </c>
      <c r="U22" s="34">
        <f t="shared" si="0"/>
        <v>0</v>
      </c>
      <c r="V22" s="34" t="e">
        <f t="shared" si="0"/>
        <v>#REF!</v>
      </c>
      <c r="W22" s="34">
        <f t="shared" si="0"/>
        <v>2725</v>
      </c>
      <c r="X22" s="34" t="e">
        <f t="shared" si="0"/>
        <v>#REF!</v>
      </c>
      <c r="Y22" s="34">
        <f t="shared" si="0"/>
        <v>2115</v>
      </c>
      <c r="Z22" s="34">
        <f t="shared" si="0"/>
        <v>196</v>
      </c>
      <c r="AA22" s="34">
        <f t="shared" si="0"/>
        <v>0</v>
      </c>
      <c r="AB22" s="34">
        <f t="shared" si="0"/>
        <v>8169</v>
      </c>
      <c r="AC22" s="34">
        <f t="shared" si="0"/>
        <v>2400</v>
      </c>
      <c r="AD22" s="34">
        <f t="shared" si="0"/>
        <v>0</v>
      </c>
      <c r="AE22" s="34">
        <f t="shared" si="0"/>
        <v>900</v>
      </c>
      <c r="AF22" s="34">
        <f t="shared" si="0"/>
        <v>0</v>
      </c>
      <c r="AG22" s="34">
        <f t="shared" si="0"/>
        <v>96</v>
      </c>
    </row>
    <row r="23" spans="1:44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P23/208*25</f>
        <v>0</v>
      </c>
      <c r="R23" s="30">
        <v>7007</v>
      </c>
      <c r="S23" s="26">
        <f>R23/91*25</f>
        <v>1925</v>
      </c>
      <c r="T23" s="22"/>
      <c r="U23" s="24"/>
      <c r="V23" s="30"/>
      <c r="W23" s="36">
        <v>1375</v>
      </c>
      <c r="X23" s="30"/>
      <c r="Y23" s="36">
        <v>170</v>
      </c>
      <c r="Z23" s="22">
        <v>58</v>
      </c>
      <c r="AA23" s="22">
        <v>0</v>
      </c>
      <c r="AB23" s="30">
        <v>729</v>
      </c>
      <c r="AC23" s="30">
        <v>1060</v>
      </c>
      <c r="AD23" s="30">
        <v>0</v>
      </c>
      <c r="AE23" s="30">
        <v>450</v>
      </c>
      <c r="AF23" s="22">
        <v>0</v>
      </c>
      <c r="AG23" s="38">
        <v>0</v>
      </c>
    </row>
    <row r="24" spans="1:44" s="3" customFormat="1" ht="100.5" customHeight="1" thickBot="1" x14ac:dyDescent="0.25">
      <c r="A24" s="39">
        <v>45522</v>
      </c>
      <c r="B24" s="336" t="s">
        <v>28</v>
      </c>
      <c r="C24" s="337"/>
      <c r="D24" s="40">
        <f>D22-D23</f>
        <v>0</v>
      </c>
      <c r="E24" s="40">
        <f t="shared" ref="E24:AF24" si="1">E22-E23</f>
        <v>0</v>
      </c>
      <c r="F24" s="40">
        <f>F22-F23</f>
        <v>0</v>
      </c>
      <c r="G24" s="40">
        <f t="shared" si="1"/>
        <v>0</v>
      </c>
      <c r="H24" s="41" t="e">
        <f t="shared" si="1"/>
        <v>#REF!</v>
      </c>
      <c r="I24" s="41" t="e">
        <f t="shared" si="1"/>
        <v>#REF!</v>
      </c>
      <c r="J24" s="41">
        <f>J22-J23</f>
        <v>0</v>
      </c>
      <c r="K24" s="42">
        <f t="shared" ref="K24" si="2">K22-K23</f>
        <v>0</v>
      </c>
      <c r="L24" s="41">
        <f>L22-L23</f>
        <v>0</v>
      </c>
      <c r="M24" s="42">
        <f>M22-M23</f>
        <v>0</v>
      </c>
      <c r="N24" s="41" t="e">
        <f t="shared" ref="N24:Q24" si="3">N22-N23</f>
        <v>#REF!</v>
      </c>
      <c r="O24" s="41" t="e">
        <f t="shared" si="3"/>
        <v>#REF!</v>
      </c>
      <c r="P24" s="40">
        <f t="shared" si="3"/>
        <v>0</v>
      </c>
      <c r="Q24" s="40">
        <f t="shared" si="3"/>
        <v>0</v>
      </c>
      <c r="R24" s="40">
        <f>R22-R23</f>
        <v>1092</v>
      </c>
      <c r="S24" s="40">
        <f>S22-S23</f>
        <v>3925</v>
      </c>
      <c r="T24" s="40">
        <f>T22-T23</f>
        <v>0</v>
      </c>
      <c r="U24" s="42">
        <f t="shared" ref="U24" si="4">U22-U23</f>
        <v>0</v>
      </c>
      <c r="V24" s="41" t="e">
        <f t="shared" si="1"/>
        <v>#REF!</v>
      </c>
      <c r="W24" s="41">
        <f t="shared" si="1"/>
        <v>1350</v>
      </c>
      <c r="X24" s="41" t="e">
        <f t="shared" si="1"/>
        <v>#REF!</v>
      </c>
      <c r="Y24" s="93">
        <f>Y22-Y23</f>
        <v>1945</v>
      </c>
      <c r="Z24" s="40">
        <f t="shared" si="1"/>
        <v>138</v>
      </c>
      <c r="AA24" s="40">
        <f t="shared" si="1"/>
        <v>0</v>
      </c>
      <c r="AB24" s="41">
        <f t="shared" si="1"/>
        <v>7440</v>
      </c>
      <c r="AC24" s="41">
        <f t="shared" si="1"/>
        <v>1340</v>
      </c>
      <c r="AD24" s="41">
        <f t="shared" si="1"/>
        <v>0</v>
      </c>
      <c r="AE24" s="41">
        <f t="shared" si="1"/>
        <v>450</v>
      </c>
      <c r="AF24" s="40">
        <f t="shared" si="1"/>
        <v>0</v>
      </c>
      <c r="AG24" s="44">
        <f>AG22-AG23</f>
        <v>96</v>
      </c>
    </row>
    <row r="25" spans="1:44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44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44" s="45" customFormat="1" ht="24" customHeight="1" x14ac:dyDescent="0.35">
      <c r="A27" s="45" t="s">
        <v>29</v>
      </c>
      <c r="O27" s="46"/>
      <c r="P27" s="46"/>
      <c r="Q27" s="45" t="s">
        <v>56</v>
      </c>
      <c r="T27" s="45" t="s">
        <v>30</v>
      </c>
      <c r="Z27" s="45" t="s">
        <v>57</v>
      </c>
      <c r="AC27" s="47"/>
      <c r="AD27" s="47"/>
      <c r="AE27" s="47"/>
      <c r="AF27" s="46"/>
      <c r="AG27" s="46"/>
    </row>
    <row r="28" spans="1:44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T28" s="49"/>
      <c r="U28" s="49"/>
      <c r="AC28" s="49"/>
      <c r="AD28" s="49"/>
      <c r="AE28" s="49"/>
      <c r="AF28" s="49"/>
      <c r="AG28" s="49"/>
      <c r="AH28" s="46"/>
    </row>
    <row r="29" spans="1:44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T29" s="49"/>
      <c r="U29" s="49"/>
      <c r="AC29" s="49"/>
      <c r="AD29" s="49"/>
      <c r="AE29" s="49"/>
      <c r="AF29" s="49"/>
      <c r="AG29" s="49"/>
      <c r="AH29" s="46"/>
    </row>
    <row r="30" spans="1:44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 t="s">
        <v>31</v>
      </c>
      <c r="T30" s="50" t="s">
        <v>31</v>
      </c>
      <c r="Z30" s="51" t="s">
        <v>43</v>
      </c>
      <c r="AH30" s="46"/>
    </row>
    <row r="31" spans="1:44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 t="s">
        <v>64</v>
      </c>
      <c r="T31" s="46" t="s">
        <v>32</v>
      </c>
      <c r="U31" s="46"/>
      <c r="Z31" s="46" t="s">
        <v>120</v>
      </c>
      <c r="AC31" s="46"/>
      <c r="AD31" s="46"/>
      <c r="AE31" s="46"/>
      <c r="AF31" s="46"/>
      <c r="AG31" s="46"/>
    </row>
    <row r="32" spans="1:44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 t="s">
        <v>46</v>
      </c>
      <c r="T32" s="46"/>
      <c r="U32" s="46"/>
      <c r="V32" s="46"/>
      <c r="W32" s="46"/>
      <c r="X32" s="46" t="s">
        <v>34</v>
      </c>
      <c r="Z32" s="46" t="s">
        <v>46</v>
      </c>
      <c r="AC32" s="46"/>
      <c r="AD32" s="46"/>
      <c r="AE32" s="46"/>
      <c r="AF32" s="83"/>
      <c r="AG32" s="84"/>
      <c r="AH32" s="85"/>
      <c r="AI32" s="86"/>
      <c r="AJ32" s="87"/>
      <c r="AK32" s="86"/>
      <c r="AL32" s="88"/>
      <c r="AM32" s="84"/>
      <c r="AN32" s="84"/>
      <c r="AO32" s="86"/>
      <c r="AP32" s="86"/>
      <c r="AQ32" s="86"/>
      <c r="AR32" s="84"/>
    </row>
    <row r="33" spans="1:34" s="46" customFormat="1" ht="24" customHeight="1" x14ac:dyDescent="0.35">
      <c r="A33" s="48" t="s">
        <v>112</v>
      </c>
      <c r="Q33" s="46" t="s">
        <v>65</v>
      </c>
      <c r="W33" s="53"/>
      <c r="AA33" s="54"/>
    </row>
    <row r="34" spans="1:34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52"/>
    </row>
    <row r="36" spans="1:34" ht="22.5" x14ac:dyDescent="0.35">
      <c r="B36" s="55"/>
      <c r="C36" s="55"/>
      <c r="D36" s="55"/>
      <c r="E36" s="55"/>
    </row>
    <row r="37" spans="1:34" ht="15.75" customHeight="1" x14ac:dyDescent="0.3"/>
    <row r="40" spans="1:34" ht="15.75" customHeight="1" x14ac:dyDescent="0.3"/>
    <row r="42" spans="1:34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4" spans="1:34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7" spans="1:34" ht="22.5" x14ac:dyDescent="0.35">
      <c r="A47" s="55"/>
    </row>
  </sheetData>
  <mergeCells count="38">
    <mergeCell ref="A10:AH10"/>
    <mergeCell ref="A11:AH11"/>
    <mergeCell ref="A14:C15"/>
    <mergeCell ref="D14:AG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A23:C23"/>
    <mergeCell ref="B24:C24"/>
    <mergeCell ref="P18:Q18"/>
    <mergeCell ref="R18:S18"/>
    <mergeCell ref="T18:U18"/>
    <mergeCell ref="B20:C20"/>
    <mergeCell ref="A21:C21"/>
    <mergeCell ref="A22:C22"/>
  </mergeCells>
  <pageMargins left="0.39370078740157483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5">
    <tabColor theme="0"/>
  </sheetPr>
  <dimension ref="A10:AT47"/>
  <sheetViews>
    <sheetView topLeftCell="A18" zoomScale="78" zoomScaleNormal="78" workbookViewId="0">
      <selection activeCell="Q24" sqref="Q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2.1406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121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28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45523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v>0</v>
      </c>
      <c r="Q20" s="21">
        <v>0</v>
      </c>
      <c r="R20" s="21">
        <v>0</v>
      </c>
      <c r="S20" s="21">
        <v>0</v>
      </c>
      <c r="T20" s="21">
        <f>'8-12-18, 2024'!R24</f>
        <v>1092</v>
      </c>
      <c r="U20" s="21">
        <f>T20/91*25</f>
        <v>300</v>
      </c>
      <c r="V20" s="21">
        <f>'8-12-18, 2024'!T24</f>
        <v>0</v>
      </c>
      <c r="W20" s="21">
        <f>'8-12-18, 2024'!U24</f>
        <v>0</v>
      </c>
      <c r="X20" s="21" t="e">
        <f>'8-12-18, 2024'!V24</f>
        <v>#REF!</v>
      </c>
      <c r="Y20" s="21">
        <f>'8-12-18, 2024'!W24</f>
        <v>1350</v>
      </c>
      <c r="Z20" s="21" t="e">
        <f>'8-12-18, 2024'!X24</f>
        <v>#REF!</v>
      </c>
      <c r="AA20" s="21">
        <f>'8-12-18, 2024'!Y24</f>
        <v>1945</v>
      </c>
      <c r="AB20" s="21">
        <f>'8-12-18, 2024'!Z24</f>
        <v>138</v>
      </c>
      <c r="AC20" s="21">
        <f>'8-12-18, 2024'!AA24</f>
        <v>0</v>
      </c>
      <c r="AD20" s="21">
        <f>'8-12-18, 2024'!AB24</f>
        <v>7440</v>
      </c>
      <c r="AE20" s="21">
        <f>'8-12-18, 2024'!AC24</f>
        <v>1340</v>
      </c>
      <c r="AF20" s="21">
        <f>'8-12-18, 2024'!AD24</f>
        <v>0</v>
      </c>
      <c r="AG20" s="21">
        <f>'8-12-18, 2024'!AE24</f>
        <v>450</v>
      </c>
      <c r="AH20" s="21">
        <f>'8-12-18, 2024'!AF24</f>
        <v>0</v>
      </c>
      <c r="AI20" s="21">
        <f>'8-12-18, 2024'!AG24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>
        <f>300*80</f>
        <v>24000</v>
      </c>
      <c r="Q21" s="26">
        <f>P21/80*25</f>
        <v>7500</v>
      </c>
      <c r="R21" s="25">
        <v>208</v>
      </c>
      <c r="S21" s="26">
        <f>R21/208*25</f>
        <v>25</v>
      </c>
      <c r="T21" s="23"/>
      <c r="U21" s="26">
        <f>T21/91*25</f>
        <v>0</v>
      </c>
      <c r="V21" s="23"/>
      <c r="W21" s="26"/>
      <c r="X21" s="23"/>
      <c r="Y21" s="23"/>
      <c r="Z21" s="23"/>
      <c r="AA21" s="23">
        <v>1000</v>
      </c>
      <c r="AB21" s="23">
        <v>200</v>
      </c>
      <c r="AC21" s="23"/>
      <c r="AD21" s="23"/>
      <c r="AE21" s="31">
        <v>9000</v>
      </c>
      <c r="AF21" s="31">
        <v>1000</v>
      </c>
      <c r="AG21" s="31">
        <v>1800</v>
      </c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24000</v>
      </c>
      <c r="Q22" s="34">
        <f t="shared" si="0"/>
        <v>7500</v>
      </c>
      <c r="R22" s="34">
        <f>R20+R21</f>
        <v>208</v>
      </c>
      <c r="S22" s="34">
        <f t="shared" ref="S22" si="1">S20+S21</f>
        <v>25</v>
      </c>
      <c r="T22" s="34">
        <f t="shared" si="0"/>
        <v>1092</v>
      </c>
      <c r="U22" s="34">
        <f>U20+U21</f>
        <v>300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1350</v>
      </c>
      <c r="Z22" s="34" t="e">
        <f t="shared" si="0"/>
        <v>#REF!</v>
      </c>
      <c r="AA22" s="34">
        <f t="shared" si="0"/>
        <v>2945</v>
      </c>
      <c r="AB22" s="34">
        <f t="shared" si="0"/>
        <v>338</v>
      </c>
      <c r="AC22" s="34">
        <f t="shared" si="0"/>
        <v>0</v>
      </c>
      <c r="AD22" s="34">
        <f t="shared" si="0"/>
        <v>7440</v>
      </c>
      <c r="AE22" s="34">
        <f t="shared" si="0"/>
        <v>10340</v>
      </c>
      <c r="AF22" s="34">
        <f t="shared" si="0"/>
        <v>1000</v>
      </c>
      <c r="AG22" s="34">
        <f t="shared" si="0"/>
        <v>2250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47*80</f>
        <v>3760</v>
      </c>
      <c r="Q23" s="21">
        <f>P23/80*25</f>
        <v>1175</v>
      </c>
      <c r="R23" s="30">
        <v>208</v>
      </c>
      <c r="S23" s="21">
        <f>R23/208*25</f>
        <v>25</v>
      </c>
      <c r="T23" s="30">
        <v>1092</v>
      </c>
      <c r="U23" s="26">
        <f>T23/91*25</f>
        <v>300</v>
      </c>
      <c r="V23" s="22"/>
      <c r="W23" s="24"/>
      <c r="X23" s="30"/>
      <c r="Y23" s="30">
        <v>1325</v>
      </c>
      <c r="Z23" s="30"/>
      <c r="AA23" s="36">
        <v>160</v>
      </c>
      <c r="AB23" s="22">
        <v>55</v>
      </c>
      <c r="AC23" s="22">
        <v>0</v>
      </c>
      <c r="AD23" s="30">
        <v>566</v>
      </c>
      <c r="AE23" s="30">
        <v>760</v>
      </c>
      <c r="AF23" s="30">
        <v>150</v>
      </c>
      <c r="AG23" s="30">
        <v>450</v>
      </c>
      <c r="AH23" s="22">
        <v>0</v>
      </c>
      <c r="AI23" s="38">
        <v>0</v>
      </c>
    </row>
    <row r="24" spans="1:46" s="3" customFormat="1" ht="100.5" customHeight="1" thickBot="1" x14ac:dyDescent="0.25">
      <c r="A24" s="39">
        <v>45529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Q24" si="4">N22-N23</f>
        <v>#REF!</v>
      </c>
      <c r="O24" s="41" t="e">
        <f t="shared" si="4"/>
        <v>#REF!</v>
      </c>
      <c r="P24" s="40">
        <f>P22-P23</f>
        <v>20240</v>
      </c>
      <c r="Q24" s="40">
        <f t="shared" si="4"/>
        <v>6325</v>
      </c>
      <c r="R24" s="40">
        <f t="shared" ref="R24:S24" si="5">R22-R23</f>
        <v>0</v>
      </c>
      <c r="S24" s="40">
        <f t="shared" si="5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6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2785</v>
      </c>
      <c r="AB24" s="40">
        <f t="shared" si="2"/>
        <v>283</v>
      </c>
      <c r="AC24" s="40">
        <f t="shared" si="2"/>
        <v>0</v>
      </c>
      <c r="AD24" s="41">
        <f t="shared" si="2"/>
        <v>6874</v>
      </c>
      <c r="AE24" s="41">
        <f t="shared" si="2"/>
        <v>9580</v>
      </c>
      <c r="AF24" s="41">
        <f t="shared" si="2"/>
        <v>850</v>
      </c>
      <c r="AG24" s="41">
        <f t="shared" si="2"/>
        <v>1800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46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107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34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 t="s">
        <v>34</v>
      </c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51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V18:W18"/>
    <mergeCell ref="B20:C20"/>
    <mergeCell ref="A21:C21"/>
    <mergeCell ref="A22:C22"/>
    <mergeCell ref="R18:S18"/>
    <mergeCell ref="A23:C23"/>
    <mergeCell ref="B24:C24"/>
    <mergeCell ref="P18:Q18"/>
    <mergeCell ref="T18:U18"/>
    <mergeCell ref="N18:O18"/>
    <mergeCell ref="D18:E18"/>
    <mergeCell ref="F18:G18"/>
    <mergeCell ref="H18:I18"/>
    <mergeCell ref="J18:K18"/>
    <mergeCell ref="L18:M18"/>
    <mergeCell ref="D17:E17"/>
    <mergeCell ref="F17:G17"/>
    <mergeCell ref="H17:I17"/>
    <mergeCell ref="J17:K17"/>
    <mergeCell ref="L17:M17"/>
    <mergeCell ref="P17:Q17"/>
    <mergeCell ref="T17:U17"/>
    <mergeCell ref="V17:W17"/>
    <mergeCell ref="R16:S16"/>
    <mergeCell ref="R17:S17"/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L16:M16"/>
    <mergeCell ref="N16:O16"/>
    <mergeCell ref="P16:Q16"/>
    <mergeCell ref="T16:U16"/>
    <mergeCell ref="V16:W16"/>
    <mergeCell ref="N17:O17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6">
    <tabColor theme="0"/>
  </sheetPr>
  <dimension ref="A10:AT47"/>
  <sheetViews>
    <sheetView topLeftCell="A16" zoomScale="78" zoomScaleNormal="78" workbookViewId="0">
      <selection activeCell="Q24" sqref="Q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122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29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45530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'8-19-25,2024'!P24</f>
        <v>20240</v>
      </c>
      <c r="Q20" s="21">
        <f>'8-19-25,2024'!Q24</f>
        <v>6325</v>
      </c>
      <c r="R20" s="21">
        <f>'8-19-25,2024'!R24</f>
        <v>0</v>
      </c>
      <c r="S20" s="21">
        <f>'8-19-25,2024'!S24</f>
        <v>0</v>
      </c>
      <c r="T20" s="21">
        <f>'8-19-25,2024'!T24</f>
        <v>0</v>
      </c>
      <c r="U20" s="21">
        <f>'8-19-25,2024'!U24</f>
        <v>0</v>
      </c>
      <c r="V20" s="21">
        <f>'8-19-25,2024'!V24</f>
        <v>0</v>
      </c>
      <c r="W20" s="21">
        <f>'8-19-25,2024'!W24</f>
        <v>0</v>
      </c>
      <c r="X20" s="21" t="e">
        <f>'8-19-25,2024'!X24</f>
        <v>#REF!</v>
      </c>
      <c r="Y20" s="21">
        <f>'8-19-25,2024'!Y24</f>
        <v>25</v>
      </c>
      <c r="Z20" s="21" t="e">
        <f>'8-19-25,2024'!Z24</f>
        <v>#REF!</v>
      </c>
      <c r="AA20" s="21">
        <f>'8-19-25,2024'!AA24</f>
        <v>2785</v>
      </c>
      <c r="AB20" s="21">
        <f>'8-19-25,2024'!AB24</f>
        <v>283</v>
      </c>
      <c r="AC20" s="21">
        <f>'8-19-25,2024'!AC24</f>
        <v>0</v>
      </c>
      <c r="AD20" s="21">
        <f>'8-19-25,2024'!AD24</f>
        <v>6874</v>
      </c>
      <c r="AE20" s="21">
        <f>'8-19-25,2024'!AE24</f>
        <v>9580</v>
      </c>
      <c r="AF20" s="21">
        <f>'8-19-25,2024'!AF24</f>
        <v>850</v>
      </c>
      <c r="AG20" s="21">
        <f>'8-19-25,2024'!AG24</f>
        <v>1800</v>
      </c>
      <c r="AH20" s="21">
        <f>'8-19-25,2024'!AH24</f>
        <v>0</v>
      </c>
      <c r="AI20" s="21">
        <f>'8-19-25,2024'!AI24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P21/300*80</f>
        <v>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20240</v>
      </c>
      <c r="Q22" s="34">
        <f t="shared" si="0"/>
        <v>6325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2785</v>
      </c>
      <c r="AB22" s="34">
        <f t="shared" si="0"/>
        <v>283</v>
      </c>
      <c r="AC22" s="34">
        <f t="shared" si="0"/>
        <v>0</v>
      </c>
      <c r="AD22" s="34">
        <f t="shared" si="0"/>
        <v>6874</v>
      </c>
      <c r="AE22" s="34">
        <f t="shared" si="0"/>
        <v>9580</v>
      </c>
      <c r="AF22" s="34">
        <f t="shared" si="0"/>
        <v>850</v>
      </c>
      <c r="AG22" s="34">
        <f t="shared" si="0"/>
        <v>1800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8080</v>
      </c>
      <c r="Q23" s="21">
        <f>P23/80*25</f>
        <v>2525</v>
      </c>
      <c r="R23" s="30"/>
      <c r="S23" s="21">
        <f>R23/208*25</f>
        <v>0</v>
      </c>
      <c r="T23" s="30"/>
      <c r="U23" s="26">
        <f>T23/91*25</f>
        <v>0</v>
      </c>
      <c r="V23" s="22"/>
      <c r="W23" s="24"/>
      <c r="X23" s="30"/>
      <c r="Y23" s="30"/>
      <c r="Z23" s="30"/>
      <c r="AA23" s="36">
        <f>9*20</f>
        <v>180</v>
      </c>
      <c r="AB23" s="22">
        <v>45</v>
      </c>
      <c r="AC23" s="22">
        <v>0</v>
      </c>
      <c r="AD23" s="30">
        <f>541+91</f>
        <v>632</v>
      </c>
      <c r="AE23" s="30">
        <f>650+120</f>
        <v>770</v>
      </c>
      <c r="AF23" s="30">
        <f>325+55</f>
        <v>380</v>
      </c>
      <c r="AG23" s="30">
        <v>675</v>
      </c>
      <c r="AH23" s="22">
        <v>0</v>
      </c>
      <c r="AI23" s="38">
        <v>0</v>
      </c>
    </row>
    <row r="24" spans="1:46" s="3" customFormat="1" ht="100.5" customHeight="1" thickBot="1" x14ac:dyDescent="0.25">
      <c r="A24" s="39">
        <v>45536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12160</v>
      </c>
      <c r="Q24" s="40">
        <f t="shared" si="4"/>
        <v>3800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2605</v>
      </c>
      <c r="AB24" s="40">
        <f t="shared" si="2"/>
        <v>238</v>
      </c>
      <c r="AC24" s="40">
        <f t="shared" si="2"/>
        <v>0</v>
      </c>
      <c r="AD24" s="41">
        <f t="shared" si="2"/>
        <v>6242</v>
      </c>
      <c r="AE24" s="41">
        <f t="shared" si="2"/>
        <v>8810</v>
      </c>
      <c r="AF24" s="41">
        <f t="shared" si="2"/>
        <v>470</v>
      </c>
      <c r="AG24" s="41">
        <f t="shared" si="2"/>
        <v>1125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46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 t="s">
        <v>34</v>
      </c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7">
    <tabColor theme="0"/>
  </sheetPr>
  <dimension ref="A10:AT47"/>
  <sheetViews>
    <sheetView topLeftCell="A16" zoomScale="78" zoomScaleNormal="78" workbookViewId="0">
      <selection activeCell="Y27" sqref="Y2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123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30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45537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'8-26-9-1, 2024'!P24</f>
        <v>12160</v>
      </c>
      <c r="Q20" s="21">
        <f>'8-26-9-1, 2024'!Q24</f>
        <v>3800</v>
      </c>
      <c r="R20" s="21">
        <f>'8-26-9-1, 2024'!R24</f>
        <v>0</v>
      </c>
      <c r="S20" s="21">
        <f>'8-26-9-1, 2024'!S24</f>
        <v>0</v>
      </c>
      <c r="T20" s="21">
        <f>'8-26-9-1, 2024'!T24</f>
        <v>0</v>
      </c>
      <c r="U20" s="21">
        <f>'8-26-9-1, 2024'!U24</f>
        <v>0</v>
      </c>
      <c r="V20" s="21">
        <f>'8-26-9-1, 2024'!V24</f>
        <v>0</v>
      </c>
      <c r="W20" s="21">
        <f>'8-26-9-1, 2024'!W24</f>
        <v>0</v>
      </c>
      <c r="X20" s="21" t="e">
        <f>'8-26-9-1, 2024'!X24</f>
        <v>#REF!</v>
      </c>
      <c r="Y20" s="21">
        <f>'8-26-9-1, 2024'!Y24</f>
        <v>25</v>
      </c>
      <c r="Z20" s="21" t="e">
        <f>'8-26-9-1, 2024'!Z24</f>
        <v>#REF!</v>
      </c>
      <c r="AA20" s="21">
        <f>'8-26-9-1, 2024'!AA24</f>
        <v>2605</v>
      </c>
      <c r="AB20" s="21">
        <f>'8-26-9-1, 2024'!AB24</f>
        <v>238</v>
      </c>
      <c r="AC20" s="21">
        <f>'8-26-9-1, 2024'!AC24</f>
        <v>0</v>
      </c>
      <c r="AD20" s="21">
        <f>'8-26-9-1, 2024'!AD24</f>
        <v>6242</v>
      </c>
      <c r="AE20" s="21">
        <f>'8-26-9-1, 2024'!AE24</f>
        <v>8810</v>
      </c>
      <c r="AF20" s="21">
        <f>'8-26-9-1, 2024'!AF24</f>
        <v>470</v>
      </c>
      <c r="AG20" s="21">
        <f>'8-26-9-1, 2024'!AG24</f>
        <v>1125</v>
      </c>
      <c r="AH20" s="21">
        <f>'8-26-9-1, 2024'!AH24</f>
        <v>0</v>
      </c>
      <c r="AI20" s="21">
        <f>'8-26-9-1,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P21/300*80</f>
        <v>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12160</v>
      </c>
      <c r="Q22" s="34">
        <f t="shared" si="0"/>
        <v>3800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2605</v>
      </c>
      <c r="AB22" s="34">
        <f t="shared" si="0"/>
        <v>238</v>
      </c>
      <c r="AC22" s="34">
        <f t="shared" si="0"/>
        <v>0</v>
      </c>
      <c r="AD22" s="34">
        <f t="shared" si="0"/>
        <v>6242</v>
      </c>
      <c r="AE22" s="34">
        <f t="shared" si="0"/>
        <v>8810</v>
      </c>
      <c r="AF22" s="34">
        <f t="shared" si="0"/>
        <v>470</v>
      </c>
      <c r="AG22" s="34">
        <f t="shared" si="0"/>
        <v>1125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7760</v>
      </c>
      <c r="Q23" s="21">
        <f>P23/80*25</f>
        <v>2425</v>
      </c>
      <c r="R23" s="30"/>
      <c r="S23" s="21">
        <f>R23/208*25</f>
        <v>0</v>
      </c>
      <c r="T23" s="30"/>
      <c r="U23" s="26">
        <f>T23/91*25</f>
        <v>0</v>
      </c>
      <c r="V23" s="22"/>
      <c r="W23" s="24"/>
      <c r="X23" s="30"/>
      <c r="Y23" s="30"/>
      <c r="Z23" s="30"/>
      <c r="AA23" s="36">
        <v>190</v>
      </c>
      <c r="AB23" s="22">
        <v>52</v>
      </c>
      <c r="AC23" s="22">
        <v>0</v>
      </c>
      <c r="AD23" s="30">
        <v>633</v>
      </c>
      <c r="AE23" s="30">
        <v>885</v>
      </c>
      <c r="AF23" s="30">
        <v>140</v>
      </c>
      <c r="AG23" s="30">
        <v>600</v>
      </c>
      <c r="AH23" s="22">
        <v>0</v>
      </c>
      <c r="AI23" s="38">
        <v>0</v>
      </c>
    </row>
    <row r="24" spans="1:46" s="3" customFormat="1" ht="100.5" customHeight="1" thickBot="1" x14ac:dyDescent="0.25">
      <c r="A24" s="39">
        <v>45543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4400</v>
      </c>
      <c r="Q24" s="40">
        <f t="shared" si="4"/>
        <v>1375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2415</v>
      </c>
      <c r="AB24" s="40">
        <f t="shared" si="2"/>
        <v>186</v>
      </c>
      <c r="AC24" s="40">
        <f t="shared" si="2"/>
        <v>0</v>
      </c>
      <c r="AD24" s="41">
        <f t="shared" si="2"/>
        <v>5609</v>
      </c>
      <c r="AE24" s="41">
        <f t="shared" si="2"/>
        <v>7925</v>
      </c>
      <c r="AF24" s="41">
        <f t="shared" si="2"/>
        <v>330</v>
      </c>
      <c r="AG24" s="41">
        <f t="shared" si="2"/>
        <v>525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46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107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34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51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8">
    <tabColor theme="0"/>
  </sheetPr>
  <dimension ref="A10:AT47"/>
  <sheetViews>
    <sheetView topLeftCell="A16" zoomScale="78" zoomScaleNormal="78" workbookViewId="0">
      <selection activeCell="Q24" sqref="Q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16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124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31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45544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'9-2-8,2024'!P24</f>
        <v>4400</v>
      </c>
      <c r="Q20" s="21">
        <f>'9-2-8,2024'!Q24</f>
        <v>1375</v>
      </c>
      <c r="R20" s="21">
        <f>'9-2-8,2024'!R24</f>
        <v>0</v>
      </c>
      <c r="S20" s="21">
        <f>'9-2-8,2024'!S24</f>
        <v>0</v>
      </c>
      <c r="T20" s="21">
        <f>'9-2-8,2024'!T24</f>
        <v>0</v>
      </c>
      <c r="U20" s="21">
        <f>'9-2-8,2024'!U24</f>
        <v>0</v>
      </c>
      <c r="V20" s="21">
        <f>'9-2-8,2024'!V24</f>
        <v>0</v>
      </c>
      <c r="W20" s="21">
        <f>'9-2-8,2024'!W24</f>
        <v>0</v>
      </c>
      <c r="X20" s="21" t="e">
        <f>'9-2-8,2024'!X24</f>
        <v>#REF!</v>
      </c>
      <c r="Y20" s="21">
        <f>'9-2-8,2024'!Y24</f>
        <v>25</v>
      </c>
      <c r="Z20" s="21" t="e">
        <f>'9-2-8,2024'!Z24</f>
        <v>#REF!</v>
      </c>
      <c r="AA20" s="21">
        <f>'9-2-8,2024'!AA24</f>
        <v>2415</v>
      </c>
      <c r="AB20" s="21">
        <f>'9-2-8,2024'!AB24</f>
        <v>186</v>
      </c>
      <c r="AC20" s="21">
        <f>'9-2-8,2024'!AC24</f>
        <v>0</v>
      </c>
      <c r="AD20" s="21">
        <f>'9-2-8,2024'!AD24</f>
        <v>5609</v>
      </c>
      <c r="AE20" s="21">
        <f>'9-2-8,2024'!AE24</f>
        <v>7925</v>
      </c>
      <c r="AF20" s="21">
        <f>'9-2-8,2024'!AF24</f>
        <v>330</v>
      </c>
      <c r="AG20" s="21">
        <f>'9-2-8,2024'!AG24</f>
        <v>525</v>
      </c>
      <c r="AH20" s="21">
        <f>'9-2-8,2024'!AH24</f>
        <v>0</v>
      </c>
      <c r="AI20" s="21">
        <f>'9-2-8,2024'!AI24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>
        <f>300*80</f>
        <v>24000</v>
      </c>
      <c r="Q21" s="26">
        <f>P21/80*25</f>
        <v>7500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/>
      <c r="AB21" s="23">
        <v>200</v>
      </c>
      <c r="AC21" s="23"/>
      <c r="AD21" s="23">
        <v>3270</v>
      </c>
      <c r="AE21" s="31"/>
      <c r="AF21" s="31"/>
      <c r="AG21" s="31">
        <v>1500</v>
      </c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28400</v>
      </c>
      <c r="Q22" s="34">
        <f t="shared" si="0"/>
        <v>8875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2415</v>
      </c>
      <c r="AB22" s="34">
        <f t="shared" si="0"/>
        <v>386</v>
      </c>
      <c r="AC22" s="34">
        <f t="shared" si="0"/>
        <v>0</v>
      </c>
      <c r="AD22" s="34">
        <f t="shared" si="0"/>
        <v>8879</v>
      </c>
      <c r="AE22" s="34">
        <f t="shared" si="0"/>
        <v>7925</v>
      </c>
      <c r="AF22" s="34">
        <f t="shared" si="0"/>
        <v>330</v>
      </c>
      <c r="AG22" s="34">
        <f t="shared" si="0"/>
        <v>2025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7440</v>
      </c>
      <c r="Q23" s="21">
        <f>P23/80*25</f>
        <v>2325</v>
      </c>
      <c r="R23" s="30"/>
      <c r="S23" s="21">
        <f>R23/208*25</f>
        <v>0</v>
      </c>
      <c r="T23" s="30"/>
      <c r="U23" s="26">
        <f>T23/91*25</f>
        <v>0</v>
      </c>
      <c r="V23" s="22"/>
      <c r="W23" s="24"/>
      <c r="X23" s="30"/>
      <c r="Y23" s="30"/>
      <c r="Z23" s="30"/>
      <c r="AA23" s="36">
        <v>160</v>
      </c>
      <c r="AB23" s="22">
        <v>50</v>
      </c>
      <c r="AC23" s="22">
        <v>0</v>
      </c>
      <c r="AD23" s="30">
        <v>568</v>
      </c>
      <c r="AE23" s="30">
        <v>519</v>
      </c>
      <c r="AF23" s="30">
        <v>330</v>
      </c>
      <c r="AG23" s="30">
        <v>450</v>
      </c>
      <c r="AH23" s="22">
        <v>0</v>
      </c>
      <c r="AI23" s="38">
        <v>0</v>
      </c>
    </row>
    <row r="24" spans="1:46" s="3" customFormat="1" ht="100.5" customHeight="1" thickBot="1" x14ac:dyDescent="0.25">
      <c r="A24" s="39">
        <v>45550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20960</v>
      </c>
      <c r="Q24" s="40">
        <f t="shared" si="4"/>
        <v>6550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2255</v>
      </c>
      <c r="AB24" s="40">
        <f t="shared" si="2"/>
        <v>336</v>
      </c>
      <c r="AC24" s="40">
        <f t="shared" si="2"/>
        <v>0</v>
      </c>
      <c r="AD24" s="41">
        <f t="shared" si="2"/>
        <v>8311</v>
      </c>
      <c r="AE24" s="41">
        <f t="shared" si="2"/>
        <v>7406</v>
      </c>
      <c r="AF24" s="41">
        <f t="shared" si="2"/>
        <v>0</v>
      </c>
      <c r="AG24" s="41">
        <f t="shared" si="2"/>
        <v>1575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46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9">
    <tabColor theme="0"/>
  </sheetPr>
  <dimension ref="A10:AT47"/>
  <sheetViews>
    <sheetView topLeftCell="A22" zoomScale="78" zoomScaleNormal="78" workbookViewId="0">
      <selection activeCell="S25" sqref="S25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125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32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45551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'9-9-15, 2024'!P24</f>
        <v>20960</v>
      </c>
      <c r="Q20" s="21">
        <f>'9-9-15, 2024'!Q24</f>
        <v>6550</v>
      </c>
      <c r="R20" s="21">
        <f>'9-9-15, 2024'!R24</f>
        <v>0</v>
      </c>
      <c r="S20" s="21">
        <f>'9-9-15, 2024'!S24</f>
        <v>0</v>
      </c>
      <c r="T20" s="21">
        <f>'9-9-15, 2024'!T24</f>
        <v>0</v>
      </c>
      <c r="U20" s="21">
        <f>'9-9-15, 2024'!U24</f>
        <v>0</v>
      </c>
      <c r="V20" s="21">
        <f>'9-9-15, 2024'!V24</f>
        <v>0</v>
      </c>
      <c r="W20" s="21">
        <f>'9-9-15, 2024'!W24</f>
        <v>0</v>
      </c>
      <c r="X20" s="21" t="e">
        <f>'9-9-15, 2024'!X24</f>
        <v>#REF!</v>
      </c>
      <c r="Y20" s="21">
        <f>'9-9-15, 2024'!Y24</f>
        <v>25</v>
      </c>
      <c r="Z20" s="21" t="e">
        <f>'9-9-15, 2024'!Z24</f>
        <v>#REF!</v>
      </c>
      <c r="AA20" s="21">
        <f>'9-9-15, 2024'!AA24</f>
        <v>2255</v>
      </c>
      <c r="AB20" s="21">
        <f>'9-9-15, 2024'!AB24</f>
        <v>336</v>
      </c>
      <c r="AC20" s="21">
        <f>'9-9-15, 2024'!AC24</f>
        <v>0</v>
      </c>
      <c r="AD20" s="21">
        <f>'9-9-15, 2024'!AD24</f>
        <v>8311</v>
      </c>
      <c r="AE20" s="21">
        <f>'9-9-15, 2024'!AE24</f>
        <v>7406</v>
      </c>
      <c r="AF20" s="21">
        <f>'9-9-15, 2024'!AF24</f>
        <v>0</v>
      </c>
      <c r="AG20" s="21">
        <f>'9-9-15, 2024'!AG24</f>
        <v>1575</v>
      </c>
      <c r="AH20" s="21">
        <f>'9-9-15, 2024'!AH24</f>
        <v>0</v>
      </c>
      <c r="AI20" s="21">
        <f>'9-9-15,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20960</v>
      </c>
      <c r="Q22" s="34">
        <f t="shared" si="0"/>
        <v>6550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2255</v>
      </c>
      <c r="AB22" s="34">
        <f t="shared" si="0"/>
        <v>336</v>
      </c>
      <c r="AC22" s="34">
        <f t="shared" si="0"/>
        <v>0</v>
      </c>
      <c r="AD22" s="34">
        <f t="shared" si="0"/>
        <v>8311</v>
      </c>
      <c r="AE22" s="34">
        <f t="shared" si="0"/>
        <v>7406</v>
      </c>
      <c r="AF22" s="34">
        <f t="shared" si="0"/>
        <v>0</v>
      </c>
      <c r="AG22" s="34">
        <f t="shared" si="0"/>
        <v>1575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9520</v>
      </c>
      <c r="Q23" s="21">
        <f>P23/80*25</f>
        <v>2975</v>
      </c>
      <c r="R23" s="30"/>
      <c r="S23" s="21">
        <f>R23/208*25</f>
        <v>0</v>
      </c>
      <c r="T23" s="30"/>
      <c r="U23" s="26">
        <f>T23/91*25</f>
        <v>0</v>
      </c>
      <c r="V23" s="22"/>
      <c r="W23" s="24"/>
      <c r="X23" s="30"/>
      <c r="Y23" s="30"/>
      <c r="Z23" s="30"/>
      <c r="AA23" s="36">
        <v>183</v>
      </c>
      <c r="AB23" s="22">
        <v>55</v>
      </c>
      <c r="AC23" s="22">
        <v>0</v>
      </c>
      <c r="AD23" s="30">
        <v>788</v>
      </c>
      <c r="AE23" s="30">
        <v>1660</v>
      </c>
      <c r="AF23" s="30"/>
      <c r="AG23" s="30">
        <v>525</v>
      </c>
      <c r="AH23" s="22">
        <v>0</v>
      </c>
      <c r="AI23" s="38">
        <v>0</v>
      </c>
    </row>
    <row r="24" spans="1:46" s="3" customFormat="1" ht="100.5" customHeight="1" thickBot="1" x14ac:dyDescent="0.25">
      <c r="A24" s="39">
        <v>45557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11440</v>
      </c>
      <c r="Q24" s="40">
        <f t="shared" si="4"/>
        <v>3575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2072</v>
      </c>
      <c r="AB24" s="40">
        <f t="shared" si="2"/>
        <v>281</v>
      </c>
      <c r="AC24" s="40">
        <f t="shared" si="2"/>
        <v>0</v>
      </c>
      <c r="AD24" s="41">
        <f t="shared" si="2"/>
        <v>7523</v>
      </c>
      <c r="AE24" s="41">
        <f t="shared" si="2"/>
        <v>5746</v>
      </c>
      <c r="AF24" s="41">
        <f t="shared" si="2"/>
        <v>0</v>
      </c>
      <c r="AG24" s="41">
        <f t="shared" si="2"/>
        <v>1050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46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0">
    <tabColor theme="0"/>
  </sheetPr>
  <dimension ref="A10:AT47"/>
  <sheetViews>
    <sheetView topLeftCell="A16" zoomScale="78" zoomScaleNormal="78" workbookViewId="0">
      <selection activeCell="P21" sqref="P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126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33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45558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'9-16-22, 2024'!P24</f>
        <v>11440</v>
      </c>
      <c r="Q20" s="21">
        <f>'9-16-22, 2024'!Q24</f>
        <v>3575</v>
      </c>
      <c r="R20" s="21">
        <f>'9-16-22, 2024'!R24</f>
        <v>0</v>
      </c>
      <c r="S20" s="21">
        <f>'9-16-22, 2024'!S24</f>
        <v>0</v>
      </c>
      <c r="T20" s="21">
        <f>'9-16-22, 2024'!T24</f>
        <v>0</v>
      </c>
      <c r="U20" s="21">
        <f>'9-16-22, 2024'!U24</f>
        <v>0</v>
      </c>
      <c r="V20" s="21">
        <f>'9-16-22, 2024'!V24</f>
        <v>0</v>
      </c>
      <c r="W20" s="21">
        <f>'9-16-22, 2024'!W24</f>
        <v>0</v>
      </c>
      <c r="X20" s="21" t="e">
        <f>'9-16-22, 2024'!X24</f>
        <v>#REF!</v>
      </c>
      <c r="Y20" s="21">
        <f>'9-16-22, 2024'!Y24</f>
        <v>25</v>
      </c>
      <c r="Z20" s="21" t="e">
        <f>'9-16-22, 2024'!Z24</f>
        <v>#REF!</v>
      </c>
      <c r="AA20" s="21">
        <f>'9-16-22, 2024'!AA24</f>
        <v>2072</v>
      </c>
      <c r="AB20" s="21">
        <f>'9-16-22, 2024'!AB24</f>
        <v>281</v>
      </c>
      <c r="AC20" s="21">
        <f>'9-16-22, 2024'!AC24</f>
        <v>0</v>
      </c>
      <c r="AD20" s="21">
        <f>'9-16-22, 2024'!AD24</f>
        <v>7523</v>
      </c>
      <c r="AE20" s="21">
        <f>'9-16-22, 2024'!AE24</f>
        <v>5746</v>
      </c>
      <c r="AF20" s="21">
        <f>'9-16-22, 2024'!AF24</f>
        <v>0</v>
      </c>
      <c r="AG20" s="21">
        <f>'9-16-22, 2024'!AG24</f>
        <v>1050</v>
      </c>
      <c r="AH20" s="21">
        <f>'9-16-22, 2024'!AH24</f>
        <v>0</v>
      </c>
      <c r="AI20" s="21">
        <f>'9-16-22,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11440</v>
      </c>
      <c r="Q22" s="34">
        <f t="shared" si="0"/>
        <v>3575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2072</v>
      </c>
      <c r="AB22" s="34">
        <f t="shared" si="0"/>
        <v>281</v>
      </c>
      <c r="AC22" s="34">
        <f t="shared" si="0"/>
        <v>0</v>
      </c>
      <c r="AD22" s="34">
        <f t="shared" si="0"/>
        <v>7523</v>
      </c>
      <c r="AE22" s="34">
        <f t="shared" si="0"/>
        <v>5746</v>
      </c>
      <c r="AF22" s="34">
        <f t="shared" si="0"/>
        <v>0</v>
      </c>
      <c r="AG22" s="34">
        <f t="shared" si="0"/>
        <v>1050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7680</v>
      </c>
      <c r="Q23" s="21">
        <f>P23/80*25</f>
        <v>2400</v>
      </c>
      <c r="R23" s="30"/>
      <c r="S23" s="21">
        <f>R23/208*25</f>
        <v>0</v>
      </c>
      <c r="T23" s="30"/>
      <c r="U23" s="26">
        <f>T23/91*25</f>
        <v>0</v>
      </c>
      <c r="V23" s="22"/>
      <c r="W23" s="24"/>
      <c r="X23" s="30"/>
      <c r="Y23" s="30"/>
      <c r="Z23" s="30"/>
      <c r="AA23" s="36">
        <v>200</v>
      </c>
      <c r="AB23" s="22">
        <v>59</v>
      </c>
      <c r="AC23" s="22">
        <v>0</v>
      </c>
      <c r="AD23" s="30">
        <v>662</v>
      </c>
      <c r="AE23" s="30">
        <v>1750</v>
      </c>
      <c r="AF23" s="30"/>
      <c r="AG23" s="30">
        <v>525</v>
      </c>
      <c r="AH23" s="22">
        <v>0</v>
      </c>
      <c r="AI23" s="38">
        <v>0</v>
      </c>
    </row>
    <row r="24" spans="1:46" s="3" customFormat="1" ht="100.5" customHeight="1" thickBot="1" x14ac:dyDescent="0.25">
      <c r="A24" s="39">
        <v>45564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3760</v>
      </c>
      <c r="Q24" s="40">
        <f t="shared" si="4"/>
        <v>1175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1872</v>
      </c>
      <c r="AB24" s="40">
        <f t="shared" si="2"/>
        <v>222</v>
      </c>
      <c r="AC24" s="40">
        <f t="shared" si="2"/>
        <v>0</v>
      </c>
      <c r="AD24" s="41">
        <f t="shared" si="2"/>
        <v>6861</v>
      </c>
      <c r="AE24" s="41">
        <f t="shared" si="2"/>
        <v>3996</v>
      </c>
      <c r="AF24" s="41">
        <f t="shared" si="2"/>
        <v>0</v>
      </c>
      <c r="AG24" s="41">
        <f t="shared" si="2"/>
        <v>525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46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22:C22"/>
    <mergeCell ref="A23:C23"/>
    <mergeCell ref="B24:C24"/>
    <mergeCell ref="P18:Q18"/>
    <mergeCell ref="R18:S18"/>
    <mergeCell ref="B20:C20"/>
    <mergeCell ref="A21:C21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R16:S16"/>
    <mergeCell ref="T16:U16"/>
    <mergeCell ref="V18:W18"/>
    <mergeCell ref="V17:W17"/>
    <mergeCell ref="V16:W16"/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1">
    <tabColor theme="0"/>
  </sheetPr>
  <dimension ref="A10:AT47"/>
  <sheetViews>
    <sheetView topLeftCell="A13" zoomScale="70" zoomScaleNormal="70" workbookViewId="0">
      <selection activeCell="AA23" sqref="AA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127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34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45565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'9-23-29, 2024'!P24</f>
        <v>3760</v>
      </c>
      <c r="Q20" s="21">
        <f>'9-23-29, 2024'!Q24</f>
        <v>1175</v>
      </c>
      <c r="R20" s="21">
        <f>'9-23-29, 2024'!R24</f>
        <v>0</v>
      </c>
      <c r="S20" s="21">
        <f>'9-23-29, 2024'!S24</f>
        <v>0</v>
      </c>
      <c r="T20" s="21">
        <f>'9-23-29, 2024'!T24</f>
        <v>0</v>
      </c>
      <c r="U20" s="21">
        <f>'9-23-29, 2024'!U24</f>
        <v>0</v>
      </c>
      <c r="V20" s="21">
        <f>'9-23-29, 2024'!V24</f>
        <v>0</v>
      </c>
      <c r="W20" s="21">
        <f>'9-23-29, 2024'!W24</f>
        <v>0</v>
      </c>
      <c r="X20" s="21" t="e">
        <f>'9-23-29, 2024'!X24</f>
        <v>#REF!</v>
      </c>
      <c r="Y20" s="21">
        <f>'9-23-29, 2024'!Y24</f>
        <v>25</v>
      </c>
      <c r="Z20" s="21" t="e">
        <f>'9-23-29, 2024'!Z24</f>
        <v>#REF!</v>
      </c>
      <c r="AA20" s="21">
        <f>'9-23-29, 2024'!AA24</f>
        <v>1872</v>
      </c>
      <c r="AB20" s="21">
        <f>'9-23-29, 2024'!AB24</f>
        <v>222</v>
      </c>
      <c r="AC20" s="21">
        <f>'9-23-29, 2024'!AC24</f>
        <v>0</v>
      </c>
      <c r="AD20" s="21">
        <f>'9-23-29, 2024'!AD24</f>
        <v>6861</v>
      </c>
      <c r="AE20" s="21">
        <f>'9-23-29, 2024'!AE24</f>
        <v>3996</v>
      </c>
      <c r="AF20" s="21">
        <f>'9-23-29, 2024'!AF24</f>
        <v>0</v>
      </c>
      <c r="AG20" s="21">
        <f>'9-23-29, 2024'!AG24</f>
        <v>525</v>
      </c>
      <c r="AH20" s="21">
        <f>'9-23-29, 2024'!AH24</f>
        <v>0</v>
      </c>
      <c r="AI20" s="21">
        <f>'9-23-29,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>
        <f>300*80</f>
        <v>24000</v>
      </c>
      <c r="Q21" s="26">
        <f>P21/80*25</f>
        <v>7500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>
        <v>3000</v>
      </c>
      <c r="AG21" s="31">
        <v>1500</v>
      </c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27760</v>
      </c>
      <c r="Q22" s="34">
        <f t="shared" si="0"/>
        <v>8675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1872</v>
      </c>
      <c r="AB22" s="34">
        <f t="shared" si="0"/>
        <v>222</v>
      </c>
      <c r="AC22" s="34">
        <f t="shared" si="0"/>
        <v>0</v>
      </c>
      <c r="AD22" s="34">
        <f t="shared" si="0"/>
        <v>6861</v>
      </c>
      <c r="AE22" s="34">
        <f t="shared" si="0"/>
        <v>3996</v>
      </c>
      <c r="AF22" s="34">
        <f t="shared" si="0"/>
        <v>3000</v>
      </c>
      <c r="AG22" s="34">
        <f t="shared" si="0"/>
        <v>2025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7920</v>
      </c>
      <c r="Q23" s="21">
        <f>P23/80*25</f>
        <v>2475</v>
      </c>
      <c r="R23" s="30">
        <v>0</v>
      </c>
      <c r="S23" s="21">
        <f>R23/208*25</f>
        <v>0</v>
      </c>
      <c r="T23" s="30">
        <v>0</v>
      </c>
      <c r="U23" s="26">
        <f>T23/91*25</f>
        <v>0</v>
      </c>
      <c r="V23" s="22"/>
      <c r="W23" s="24"/>
      <c r="X23" s="30"/>
      <c r="Y23" s="30">
        <v>0</v>
      </c>
      <c r="Z23" s="30"/>
      <c r="AA23" s="36">
        <v>178</v>
      </c>
      <c r="AB23" s="22">
        <v>55</v>
      </c>
      <c r="AC23" s="22">
        <v>0</v>
      </c>
      <c r="AD23" s="30">
        <v>649</v>
      </c>
      <c r="AE23" s="30">
        <v>1000</v>
      </c>
      <c r="AF23" s="30">
        <v>360</v>
      </c>
      <c r="AG23" s="30">
        <v>525</v>
      </c>
      <c r="AH23" s="22">
        <v>0</v>
      </c>
      <c r="AI23" s="38">
        <v>0</v>
      </c>
    </row>
    <row r="24" spans="1:46" s="3" customFormat="1" ht="100.5" customHeight="1" thickBot="1" x14ac:dyDescent="0.25">
      <c r="A24" s="39">
        <v>45571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19840</v>
      </c>
      <c r="Q24" s="40">
        <f t="shared" si="4"/>
        <v>6200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1694</v>
      </c>
      <c r="AB24" s="40">
        <f t="shared" si="2"/>
        <v>167</v>
      </c>
      <c r="AC24" s="40">
        <f t="shared" si="2"/>
        <v>0</v>
      </c>
      <c r="AD24" s="41">
        <f t="shared" si="2"/>
        <v>6212</v>
      </c>
      <c r="AE24" s="41">
        <f t="shared" si="2"/>
        <v>2996</v>
      </c>
      <c r="AF24" s="41">
        <f t="shared" si="2"/>
        <v>2640</v>
      </c>
      <c r="AG24" s="41">
        <f t="shared" si="2"/>
        <v>1500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22:C22"/>
    <mergeCell ref="A23:C23"/>
    <mergeCell ref="B24:C24"/>
    <mergeCell ref="P18:Q18"/>
    <mergeCell ref="R18:S18"/>
    <mergeCell ref="B20:C20"/>
    <mergeCell ref="A21:C21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R16:S16"/>
    <mergeCell ref="T16:U16"/>
    <mergeCell ref="V18:W18"/>
    <mergeCell ref="V17:W17"/>
    <mergeCell ref="V16:W16"/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2">
    <tabColor theme="0"/>
  </sheetPr>
  <dimension ref="A10:AT47"/>
  <sheetViews>
    <sheetView topLeftCell="A16" zoomScale="70" zoomScaleNormal="70" workbookViewId="0">
      <selection activeCell="AB30" sqref="AB30:AE3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128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36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45572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'9-30-10-6, 2024'!P24</f>
        <v>19840</v>
      </c>
      <c r="Q20" s="21">
        <f>'9-30-10-6, 2024'!Q24</f>
        <v>6200</v>
      </c>
      <c r="R20" s="21">
        <f>'9-30-10-6, 2024'!R24</f>
        <v>0</v>
      </c>
      <c r="S20" s="21">
        <f>'9-30-10-6, 2024'!S24</f>
        <v>0</v>
      </c>
      <c r="T20" s="21">
        <f>'9-30-10-6, 2024'!T24</f>
        <v>0</v>
      </c>
      <c r="U20" s="21">
        <f>'9-30-10-6, 2024'!U24</f>
        <v>0</v>
      </c>
      <c r="V20" s="21">
        <f>'9-30-10-6, 2024'!V24</f>
        <v>0</v>
      </c>
      <c r="W20" s="21">
        <f>'9-30-10-6, 2024'!W24</f>
        <v>0</v>
      </c>
      <c r="X20" s="21" t="e">
        <f>'9-30-10-6, 2024'!X24</f>
        <v>#REF!</v>
      </c>
      <c r="Y20" s="21">
        <f>'9-30-10-6, 2024'!Y24</f>
        <v>25</v>
      </c>
      <c r="Z20" s="21" t="e">
        <f>'9-30-10-6, 2024'!Z24</f>
        <v>#REF!</v>
      </c>
      <c r="AA20" s="21">
        <f>'9-30-10-6, 2024'!AA24</f>
        <v>1694</v>
      </c>
      <c r="AB20" s="21">
        <f>'9-30-10-6, 2024'!AB24</f>
        <v>167</v>
      </c>
      <c r="AC20" s="21">
        <f>'9-30-10-6, 2024'!AC24</f>
        <v>0</v>
      </c>
      <c r="AD20" s="21">
        <f>'9-30-10-6, 2024'!AD24</f>
        <v>6212</v>
      </c>
      <c r="AE20" s="21">
        <f>'9-30-10-6, 2024'!AE24</f>
        <v>2996</v>
      </c>
      <c r="AF20" s="21">
        <f>'9-30-10-6, 2024'!AF24</f>
        <v>2640</v>
      </c>
      <c r="AG20" s="21">
        <f>'9-30-10-6, 2024'!AG24</f>
        <v>1500</v>
      </c>
      <c r="AH20" s="21">
        <f>'9-30-10-6, 2024'!AH24</f>
        <v>0</v>
      </c>
      <c r="AI20" s="21">
        <f>'9-30-10-6,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19840</v>
      </c>
      <c r="Q22" s="34">
        <f t="shared" si="0"/>
        <v>6200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1694</v>
      </c>
      <c r="AB22" s="34">
        <f t="shared" si="0"/>
        <v>167</v>
      </c>
      <c r="AC22" s="34">
        <f t="shared" si="0"/>
        <v>0</v>
      </c>
      <c r="AD22" s="34">
        <f t="shared" si="0"/>
        <v>6212</v>
      </c>
      <c r="AE22" s="34">
        <f t="shared" si="0"/>
        <v>2996</v>
      </c>
      <c r="AF22" s="34">
        <f t="shared" si="0"/>
        <v>2640</v>
      </c>
      <c r="AG22" s="34">
        <f t="shared" si="0"/>
        <v>1500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7920</v>
      </c>
      <c r="Q23" s="21">
        <f>P23/80*25</f>
        <v>2475</v>
      </c>
      <c r="R23" s="30">
        <v>0</v>
      </c>
      <c r="S23" s="21">
        <f>R23/208*25</f>
        <v>0</v>
      </c>
      <c r="T23" s="30">
        <v>0</v>
      </c>
      <c r="U23" s="26">
        <f>T23/91*25</f>
        <v>0</v>
      </c>
      <c r="V23" s="22"/>
      <c r="W23" s="24"/>
      <c r="X23" s="30"/>
      <c r="Y23" s="30">
        <v>0</v>
      </c>
      <c r="Z23" s="30"/>
      <c r="AA23" s="36">
        <v>180</v>
      </c>
      <c r="AB23" s="22">
        <v>51</v>
      </c>
      <c r="AC23" s="22">
        <v>0</v>
      </c>
      <c r="AD23" s="30">
        <v>624</v>
      </c>
      <c r="AE23" s="30">
        <v>1000</v>
      </c>
      <c r="AF23" s="30">
        <v>551</v>
      </c>
      <c r="AG23" s="30">
        <v>525</v>
      </c>
      <c r="AH23" s="22">
        <v>0</v>
      </c>
      <c r="AI23" s="38">
        <v>0</v>
      </c>
    </row>
    <row r="24" spans="1:46" s="3" customFormat="1" ht="100.5" customHeight="1" thickBot="1" x14ac:dyDescent="0.25">
      <c r="A24" s="39">
        <v>45578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11920</v>
      </c>
      <c r="Q24" s="40">
        <f t="shared" si="4"/>
        <v>3725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1514</v>
      </c>
      <c r="AB24" s="40">
        <f t="shared" si="2"/>
        <v>116</v>
      </c>
      <c r="AC24" s="40">
        <f t="shared" si="2"/>
        <v>0</v>
      </c>
      <c r="AD24" s="41">
        <f t="shared" si="2"/>
        <v>5588</v>
      </c>
      <c r="AE24" s="41">
        <f t="shared" si="2"/>
        <v>1996</v>
      </c>
      <c r="AF24" s="41">
        <f t="shared" si="2"/>
        <v>2089</v>
      </c>
      <c r="AG24" s="41">
        <f t="shared" si="2"/>
        <v>975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3">
    <tabColor theme="0"/>
  </sheetPr>
  <dimension ref="A10:AT47"/>
  <sheetViews>
    <sheetView topLeftCell="A13" zoomScale="70" zoomScaleNormal="70" workbookViewId="0">
      <selection activeCell="T21" sqref="T21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129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37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45579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'10-7-13, 2024'!P24</f>
        <v>11920</v>
      </c>
      <c r="Q20" s="21">
        <f>'10-7-13, 2024'!Q24</f>
        <v>3725</v>
      </c>
      <c r="R20" s="21">
        <f>'10-7-13, 2024'!R24</f>
        <v>0</v>
      </c>
      <c r="S20" s="21">
        <f>'10-7-13, 2024'!S24</f>
        <v>0</v>
      </c>
      <c r="T20" s="21">
        <f>'10-7-13, 2024'!T24</f>
        <v>0</v>
      </c>
      <c r="U20" s="21">
        <f>'10-7-13, 2024'!U24</f>
        <v>0</v>
      </c>
      <c r="V20" s="21">
        <f>'10-7-13, 2024'!V24</f>
        <v>0</v>
      </c>
      <c r="W20" s="21">
        <f>'10-7-13, 2024'!W24</f>
        <v>0</v>
      </c>
      <c r="X20" s="21" t="e">
        <f>'10-7-13, 2024'!X24</f>
        <v>#REF!</v>
      </c>
      <c r="Y20" s="21">
        <f>'10-7-13, 2024'!Y24</f>
        <v>25</v>
      </c>
      <c r="Z20" s="21" t="e">
        <f>'10-7-13, 2024'!Z24</f>
        <v>#REF!</v>
      </c>
      <c r="AA20" s="21">
        <f>'10-7-13, 2024'!AA24</f>
        <v>1514</v>
      </c>
      <c r="AB20" s="21">
        <f>'10-7-13, 2024'!AB24</f>
        <v>116</v>
      </c>
      <c r="AC20" s="21">
        <f>'10-7-13, 2024'!AC24</f>
        <v>0</v>
      </c>
      <c r="AD20" s="21">
        <f>'10-7-13, 2024'!AD24</f>
        <v>5588</v>
      </c>
      <c r="AE20" s="21">
        <f>'10-7-13, 2024'!AE24</f>
        <v>1996</v>
      </c>
      <c r="AF20" s="21">
        <f>'10-7-13, 2024'!AF24</f>
        <v>2089</v>
      </c>
      <c r="AG20" s="21">
        <f>'10-7-13, 2024'!AG24</f>
        <v>975</v>
      </c>
      <c r="AH20" s="21">
        <f>'10-7-13, 2024'!AH24</f>
        <v>0</v>
      </c>
      <c r="AI20" s="21">
        <f>'10-7-13,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11920</v>
      </c>
      <c r="Q22" s="34">
        <f t="shared" si="0"/>
        <v>3725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1514</v>
      </c>
      <c r="AB22" s="34">
        <f t="shared" si="0"/>
        <v>116</v>
      </c>
      <c r="AC22" s="34">
        <f t="shared" si="0"/>
        <v>0</v>
      </c>
      <c r="AD22" s="34">
        <f t="shared" si="0"/>
        <v>5588</v>
      </c>
      <c r="AE22" s="34">
        <f t="shared" si="0"/>
        <v>1996</v>
      </c>
      <c r="AF22" s="34">
        <f t="shared" si="0"/>
        <v>2089</v>
      </c>
      <c r="AG22" s="34">
        <f t="shared" si="0"/>
        <v>975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7360</v>
      </c>
      <c r="Q23" s="21">
        <f>P23/80*25</f>
        <v>2300</v>
      </c>
      <c r="R23" s="30"/>
      <c r="S23" s="21">
        <f>R23/208*25</f>
        <v>0</v>
      </c>
      <c r="T23" s="30"/>
      <c r="U23" s="26">
        <f>T23/91*25</f>
        <v>0</v>
      </c>
      <c r="V23" s="22"/>
      <c r="W23" s="24"/>
      <c r="X23" s="30"/>
      <c r="Y23" s="30"/>
      <c r="Z23" s="30"/>
      <c r="AA23" s="36">
        <v>130</v>
      </c>
      <c r="AB23" s="22">
        <v>51</v>
      </c>
      <c r="AC23" s="22"/>
      <c r="AD23" s="30">
        <v>589</v>
      </c>
      <c r="AE23" s="30">
        <v>680</v>
      </c>
      <c r="AF23" s="30">
        <v>545</v>
      </c>
      <c r="AG23" s="30">
        <v>525</v>
      </c>
      <c r="AH23" s="22"/>
      <c r="AI23" s="38"/>
    </row>
    <row r="24" spans="1:46" s="3" customFormat="1" ht="100.5" customHeight="1" thickBot="1" x14ac:dyDescent="0.25">
      <c r="A24" s="39">
        <v>45585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4560</v>
      </c>
      <c r="Q24" s="40">
        <f t="shared" si="4"/>
        <v>1425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1384</v>
      </c>
      <c r="AB24" s="40">
        <f t="shared" si="2"/>
        <v>65</v>
      </c>
      <c r="AC24" s="40">
        <f t="shared" si="2"/>
        <v>0</v>
      </c>
      <c r="AD24" s="41">
        <f t="shared" si="2"/>
        <v>4999</v>
      </c>
      <c r="AE24" s="41">
        <f t="shared" si="2"/>
        <v>1316</v>
      </c>
      <c r="AF24" s="41">
        <f t="shared" si="2"/>
        <v>1544</v>
      </c>
      <c r="AG24" s="41">
        <f t="shared" si="2"/>
        <v>450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43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45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4">
    <tabColor theme="0"/>
  </sheetPr>
  <dimension ref="A10:AT47"/>
  <sheetViews>
    <sheetView topLeftCell="A13" zoomScale="70" zoomScaleNormal="70" workbookViewId="0">
      <selection activeCell="Y24" sqref="Y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130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38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45586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'10-14-20, 2024'!P24</f>
        <v>4560</v>
      </c>
      <c r="Q20" s="21">
        <f>'10-14-20, 2024'!Q24</f>
        <v>1425</v>
      </c>
      <c r="R20" s="21">
        <f>'10-14-20, 2024'!R24</f>
        <v>0</v>
      </c>
      <c r="S20" s="21">
        <f>'10-14-20, 2024'!S24</f>
        <v>0</v>
      </c>
      <c r="T20" s="21">
        <f>'10-14-20, 2024'!T24</f>
        <v>0</v>
      </c>
      <c r="U20" s="21">
        <f>'10-14-20, 2024'!U24</f>
        <v>0</v>
      </c>
      <c r="V20" s="21">
        <f>'10-14-20, 2024'!V24</f>
        <v>0</v>
      </c>
      <c r="W20" s="21">
        <f>'10-14-20, 2024'!W24</f>
        <v>0</v>
      </c>
      <c r="X20" s="21" t="e">
        <f>'10-14-20, 2024'!X24</f>
        <v>#REF!</v>
      </c>
      <c r="Y20" s="21">
        <f>'10-14-20, 2024'!Y24</f>
        <v>25</v>
      </c>
      <c r="Z20" s="21" t="e">
        <f>'10-14-20, 2024'!Z24</f>
        <v>#REF!</v>
      </c>
      <c r="AA20" s="21">
        <f>'10-14-20, 2024'!AA24</f>
        <v>1384</v>
      </c>
      <c r="AB20" s="21">
        <f>'10-14-20, 2024'!AB24</f>
        <v>65</v>
      </c>
      <c r="AC20" s="21">
        <f>'10-14-20, 2024'!AC24</f>
        <v>0</v>
      </c>
      <c r="AD20" s="21">
        <f>'10-14-20, 2024'!AD24</f>
        <v>4999</v>
      </c>
      <c r="AE20" s="21">
        <f>'10-14-20, 2024'!AE24</f>
        <v>1316</v>
      </c>
      <c r="AF20" s="21">
        <f>'10-14-20, 2024'!AF24</f>
        <v>1544</v>
      </c>
      <c r="AG20" s="21">
        <f>'10-14-20, 2024'!AG24</f>
        <v>450</v>
      </c>
      <c r="AH20" s="21">
        <f>'10-14-20, 2024'!AH24</f>
        <v>0</v>
      </c>
      <c r="AI20" s="21">
        <f>'10-14-20,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>
        <v>24000</v>
      </c>
      <c r="Q21" s="26">
        <f>P21/80*25</f>
        <v>7500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>
        <v>1000</v>
      </c>
      <c r="AB21" s="23">
        <v>300</v>
      </c>
      <c r="AC21" s="23"/>
      <c r="AD21" s="23">
        <v>5500</v>
      </c>
      <c r="AE21" s="31"/>
      <c r="AF21" s="31">
        <v>2000</v>
      </c>
      <c r="AG21" s="31">
        <v>1500</v>
      </c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28560</v>
      </c>
      <c r="Q22" s="34">
        <f t="shared" si="0"/>
        <v>8925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2384</v>
      </c>
      <c r="AB22" s="34">
        <f t="shared" si="0"/>
        <v>365</v>
      </c>
      <c r="AC22" s="34">
        <f t="shared" si="0"/>
        <v>0</v>
      </c>
      <c r="AD22" s="34">
        <f t="shared" si="0"/>
        <v>10499</v>
      </c>
      <c r="AE22" s="34">
        <f t="shared" si="0"/>
        <v>1316</v>
      </c>
      <c r="AF22" s="34">
        <f t="shared" si="0"/>
        <v>3544</v>
      </c>
      <c r="AG22" s="34">
        <f t="shared" si="0"/>
        <v>1950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8080</v>
      </c>
      <c r="Q23" s="21">
        <f>P23/80*25</f>
        <v>2525</v>
      </c>
      <c r="R23" s="30"/>
      <c r="S23" s="21">
        <f>R23/208*25</f>
        <v>0</v>
      </c>
      <c r="T23" s="30"/>
      <c r="U23" s="26">
        <f>T23/91*25</f>
        <v>0</v>
      </c>
      <c r="V23" s="22"/>
      <c r="W23" s="24"/>
      <c r="X23" s="30"/>
      <c r="Y23" s="30"/>
      <c r="Z23" s="30"/>
      <c r="AA23" s="36">
        <v>125</v>
      </c>
      <c r="AB23" s="22">
        <v>54</v>
      </c>
      <c r="AC23" s="22"/>
      <c r="AD23" s="30">
        <v>677</v>
      </c>
      <c r="AE23" s="30">
        <v>1070</v>
      </c>
      <c r="AF23" s="30">
        <v>555</v>
      </c>
      <c r="AG23" s="30">
        <v>375</v>
      </c>
      <c r="AH23" s="22"/>
      <c r="AI23" s="38"/>
    </row>
    <row r="24" spans="1:46" s="3" customFormat="1" ht="100.5" customHeight="1" thickBot="1" x14ac:dyDescent="0.25">
      <c r="A24" s="39">
        <v>45592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20480</v>
      </c>
      <c r="Q24" s="40">
        <f t="shared" si="4"/>
        <v>6400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2259</v>
      </c>
      <c r="AB24" s="40">
        <f t="shared" si="2"/>
        <v>311</v>
      </c>
      <c r="AC24" s="40">
        <f t="shared" si="2"/>
        <v>0</v>
      </c>
      <c r="AD24" s="41">
        <f t="shared" si="2"/>
        <v>9822</v>
      </c>
      <c r="AE24" s="41">
        <f t="shared" si="2"/>
        <v>246</v>
      </c>
      <c r="AF24" s="41">
        <f t="shared" si="2"/>
        <v>2989</v>
      </c>
      <c r="AG24" s="41">
        <f t="shared" si="2"/>
        <v>1575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>
        <f>300*80</f>
        <v>24000</v>
      </c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22:C22"/>
    <mergeCell ref="A23:C23"/>
    <mergeCell ref="B24:C24"/>
    <mergeCell ref="P18:Q18"/>
    <mergeCell ref="R18:S18"/>
    <mergeCell ref="B20:C20"/>
    <mergeCell ref="A21:C21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R16:S16"/>
    <mergeCell ref="T16:U16"/>
    <mergeCell ref="V18:W18"/>
    <mergeCell ref="V17:W17"/>
    <mergeCell ref="V16:W16"/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5">
    <tabColor theme="0"/>
  </sheetPr>
  <dimension ref="A10:AT47"/>
  <sheetViews>
    <sheetView topLeftCell="A10" zoomScale="70" zoomScaleNormal="70" workbookViewId="0">
      <selection activeCell="U24" sqref="U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131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39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208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45593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'10-21-27, 2024'!P24</f>
        <v>20480</v>
      </c>
      <c r="Q20" s="21">
        <f>'10-21-27, 2024'!Q24</f>
        <v>6400</v>
      </c>
      <c r="R20" s="21">
        <f>'10-21-27, 2024'!R24</f>
        <v>0</v>
      </c>
      <c r="S20" s="21">
        <f>'10-21-27, 2024'!S24</f>
        <v>0</v>
      </c>
      <c r="T20" s="21">
        <f>'10-21-27, 2024'!T24</f>
        <v>0</v>
      </c>
      <c r="U20" s="21">
        <f>'10-21-27, 2024'!U24</f>
        <v>0</v>
      </c>
      <c r="V20" s="21">
        <f>'10-21-27, 2024'!V24</f>
        <v>0</v>
      </c>
      <c r="W20" s="21">
        <f>'10-21-27, 2024'!W24</f>
        <v>0</v>
      </c>
      <c r="X20" s="21" t="e">
        <f>'10-21-27, 2024'!X24</f>
        <v>#REF!</v>
      </c>
      <c r="Y20" s="21">
        <f>'10-21-27, 2024'!Y24</f>
        <v>25</v>
      </c>
      <c r="Z20" s="21" t="e">
        <f>'10-21-27, 2024'!Z24</f>
        <v>#REF!</v>
      </c>
      <c r="AA20" s="21">
        <f>'10-21-27, 2024'!AA24</f>
        <v>2259</v>
      </c>
      <c r="AB20" s="21">
        <f>'10-21-27, 2024'!AB24</f>
        <v>311</v>
      </c>
      <c r="AC20" s="21">
        <f>'10-21-27, 2024'!AC24</f>
        <v>0</v>
      </c>
      <c r="AD20" s="21">
        <f>'10-21-27, 2024'!AD24</f>
        <v>9822</v>
      </c>
      <c r="AE20" s="21">
        <f>'10-21-27, 2024'!AE24</f>
        <v>246</v>
      </c>
      <c r="AF20" s="21">
        <f>'10-21-27, 2024'!AF24</f>
        <v>2989</v>
      </c>
      <c r="AG20" s="21">
        <f>'10-21-27, 2024'!AG24</f>
        <v>1575</v>
      </c>
      <c r="AH20" s="21">
        <f>'10-21-27, 2024'!AH24</f>
        <v>0</v>
      </c>
      <c r="AI20" s="21">
        <f>'10-21-27,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R21/208*25</f>
        <v>0</v>
      </c>
      <c r="T21" s="23"/>
      <c r="U21" s="26">
        <f>T21/91*25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20480</v>
      </c>
      <c r="Q22" s="34">
        <f t="shared" si="0"/>
        <v>6400</v>
      </c>
      <c r="R22" s="34">
        <f>R20+R21</f>
        <v>0</v>
      </c>
      <c r="S22" s="34">
        <f t="shared" ref="S22" si="1">S20+S21</f>
        <v>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2259</v>
      </c>
      <c r="AB22" s="34">
        <f t="shared" si="0"/>
        <v>311</v>
      </c>
      <c r="AC22" s="34">
        <f t="shared" si="0"/>
        <v>0</v>
      </c>
      <c r="AD22" s="34">
        <f t="shared" si="0"/>
        <v>9822</v>
      </c>
      <c r="AE22" s="34">
        <f t="shared" si="0"/>
        <v>246</v>
      </c>
      <c r="AF22" s="34">
        <f t="shared" si="0"/>
        <v>2989</v>
      </c>
      <c r="AG22" s="34">
        <f t="shared" si="0"/>
        <v>1575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f>2080+5360</f>
        <v>7440</v>
      </c>
      <c r="Q23" s="21">
        <f>P23/80*25</f>
        <v>2325</v>
      </c>
      <c r="R23" s="30"/>
      <c r="S23" s="21">
        <f>R23/208*25</f>
        <v>0</v>
      </c>
      <c r="T23" s="30"/>
      <c r="U23" s="26">
        <f>T23/91*25</f>
        <v>0</v>
      </c>
      <c r="V23" s="22"/>
      <c r="W23" s="24"/>
      <c r="X23" s="30"/>
      <c r="Y23" s="30"/>
      <c r="Z23" s="30"/>
      <c r="AA23" s="36">
        <v>85</v>
      </c>
      <c r="AB23" s="22">
        <v>42</v>
      </c>
      <c r="AC23" s="22"/>
      <c r="AD23" s="30">
        <v>636</v>
      </c>
      <c r="AE23" s="30">
        <v>246</v>
      </c>
      <c r="AF23" s="30">
        <v>754</v>
      </c>
      <c r="AG23" s="30">
        <v>450</v>
      </c>
      <c r="AH23" s="22"/>
      <c r="AI23" s="38"/>
    </row>
    <row r="24" spans="1:46" s="3" customFormat="1" ht="100.5" customHeight="1" thickBot="1" x14ac:dyDescent="0.25">
      <c r="A24" s="39">
        <v>45599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13040</v>
      </c>
      <c r="Q24" s="40">
        <f t="shared" si="4"/>
        <v>4075</v>
      </c>
      <c r="R24" s="40">
        <f t="shared" si="4"/>
        <v>0</v>
      </c>
      <c r="S24" s="40">
        <f t="shared" si="4"/>
        <v>0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2174</v>
      </c>
      <c r="AB24" s="40">
        <f t="shared" si="2"/>
        <v>269</v>
      </c>
      <c r="AC24" s="40">
        <f t="shared" si="2"/>
        <v>0</v>
      </c>
      <c r="AD24" s="41">
        <f t="shared" si="2"/>
        <v>9186</v>
      </c>
      <c r="AE24" s="41">
        <f t="shared" si="2"/>
        <v>0</v>
      </c>
      <c r="AF24" s="41">
        <f t="shared" si="2"/>
        <v>2235</v>
      </c>
      <c r="AG24" s="41">
        <f t="shared" si="2"/>
        <v>1125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22:C22"/>
    <mergeCell ref="A23:C23"/>
    <mergeCell ref="B24:C24"/>
    <mergeCell ref="P18:Q18"/>
    <mergeCell ref="R18:S18"/>
    <mergeCell ref="B20:C20"/>
    <mergeCell ref="A21:C21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R16:S16"/>
    <mergeCell ref="T16:U16"/>
    <mergeCell ref="V18:W18"/>
    <mergeCell ref="V17:W17"/>
    <mergeCell ref="V16:W16"/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6">
    <tabColor theme="0"/>
  </sheetPr>
  <dimension ref="A10:AT47"/>
  <sheetViews>
    <sheetView topLeftCell="A4" zoomScale="70" zoomScaleNormal="70" workbookViewId="0">
      <selection activeCell="AB23" sqref="AB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132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133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40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 t="s">
        <v>134</v>
      </c>
      <c r="S17" s="333"/>
      <c r="T17" s="332">
        <v>91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/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45600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'10-28-11-3, 2024'!P24</f>
        <v>13040</v>
      </c>
      <c r="Q20" s="21">
        <f>'10-28-11-3, 2024'!Q24</f>
        <v>4075</v>
      </c>
      <c r="R20" s="21">
        <f>'10-28-11-3, 2024'!R24</f>
        <v>0</v>
      </c>
      <c r="S20" s="21">
        <f>'10-28-11-3, 2024'!S24</f>
        <v>0</v>
      </c>
      <c r="T20" s="21">
        <f>'10-28-11-3, 2024'!T24</f>
        <v>0</v>
      </c>
      <c r="U20" s="21">
        <f>'10-28-11-3, 2024'!U24</f>
        <v>0</v>
      </c>
      <c r="V20" s="21">
        <f>'10-28-11-3, 2024'!V24</f>
        <v>0</v>
      </c>
      <c r="W20" s="21">
        <f>'10-28-11-3, 2024'!W24</f>
        <v>0</v>
      </c>
      <c r="X20" s="21" t="e">
        <f>'10-28-11-3, 2024'!X24</f>
        <v>#REF!</v>
      </c>
      <c r="Y20" s="21">
        <f>'10-28-11-3, 2024'!Y24</f>
        <v>25</v>
      </c>
      <c r="Z20" s="21" t="e">
        <f>'10-28-11-3, 2024'!Z24</f>
        <v>#REF!</v>
      </c>
      <c r="AA20" s="21">
        <f>'10-28-11-3, 2024'!AA24</f>
        <v>2174</v>
      </c>
      <c r="AB20" s="21">
        <f>'10-28-11-3, 2024'!AB24</f>
        <v>269</v>
      </c>
      <c r="AC20" s="21">
        <f>'10-28-11-3, 2024'!AC24</f>
        <v>0</v>
      </c>
      <c r="AD20" s="21">
        <f>'10-28-11-3, 2024'!AD24</f>
        <v>9186</v>
      </c>
      <c r="AE20" s="21">
        <f>'10-28-11-3, 2024'!AE24</f>
        <v>0</v>
      </c>
      <c r="AF20" s="21">
        <f>'10-28-11-3, 2024'!AF24</f>
        <v>2235</v>
      </c>
      <c r="AG20" s="21">
        <f>'10-28-11-3, 2024'!AG24</f>
        <v>1125</v>
      </c>
      <c r="AH20" s="21">
        <f>'10-28-11-3, 2024'!AH24</f>
        <v>0</v>
      </c>
      <c r="AI20" s="21">
        <f>'10-28-11-3,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>
        <v>8880</v>
      </c>
      <c r="Q21" s="26">
        <f>P21/80*25</f>
        <v>2775</v>
      </c>
      <c r="R21" s="25">
        <v>21500</v>
      </c>
      <c r="S21" s="26">
        <f>R21/215*25</f>
        <v>2500</v>
      </c>
      <c r="T21" s="23"/>
      <c r="U21" s="26">
        <f>T21/91*25</f>
        <v>0</v>
      </c>
      <c r="V21" s="23"/>
      <c r="W21" s="26"/>
      <c r="X21" s="23"/>
      <c r="Y21" s="23"/>
      <c r="Z21" s="23"/>
      <c r="AA21" s="23">
        <v>1000</v>
      </c>
      <c r="AB21" s="23">
        <v>200</v>
      </c>
      <c r="AC21" s="23"/>
      <c r="AD21" s="23"/>
      <c r="AE21" s="31"/>
      <c r="AF21" s="31">
        <v>3000</v>
      </c>
      <c r="AG21" s="31">
        <v>1500</v>
      </c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21920</v>
      </c>
      <c r="Q22" s="34">
        <f t="shared" si="0"/>
        <v>6850</v>
      </c>
      <c r="R22" s="34">
        <f>R20+R21</f>
        <v>21500</v>
      </c>
      <c r="S22" s="34">
        <f t="shared" ref="S22" si="1">S20+S21</f>
        <v>2500</v>
      </c>
      <c r="T22" s="34">
        <f t="shared" si="0"/>
        <v>0</v>
      </c>
      <c r="U22" s="34">
        <f>U20+U21</f>
        <v>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3174</v>
      </c>
      <c r="AB22" s="34">
        <f t="shared" si="0"/>
        <v>469</v>
      </c>
      <c r="AC22" s="34">
        <f t="shared" si="0"/>
        <v>0</v>
      </c>
      <c r="AD22" s="34">
        <f t="shared" si="0"/>
        <v>9186</v>
      </c>
      <c r="AE22" s="34">
        <f t="shared" si="0"/>
        <v>0</v>
      </c>
      <c r="AF22" s="34">
        <f t="shared" si="0"/>
        <v>5235</v>
      </c>
      <c r="AG22" s="34">
        <f t="shared" si="0"/>
        <v>2625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9440</v>
      </c>
      <c r="Q23" s="21">
        <f>P23/80*25</f>
        <v>2950</v>
      </c>
      <c r="R23" s="30">
        <v>6235</v>
      </c>
      <c r="S23" s="21">
        <f>R23/215*25</f>
        <v>725</v>
      </c>
      <c r="T23" s="30"/>
      <c r="U23" s="26">
        <f>T23/91*25</f>
        <v>0</v>
      </c>
      <c r="V23" s="22"/>
      <c r="W23" s="24"/>
      <c r="X23" s="30"/>
      <c r="Y23" s="30"/>
      <c r="Z23" s="30"/>
      <c r="AA23" s="36">
        <v>170</v>
      </c>
      <c r="AB23" s="22">
        <v>75</v>
      </c>
      <c r="AC23" s="22"/>
      <c r="AD23" s="30">
        <v>983</v>
      </c>
      <c r="AE23" s="30"/>
      <c r="AF23" s="30">
        <v>1850</v>
      </c>
      <c r="AG23" s="30">
        <v>525</v>
      </c>
      <c r="AH23" s="22"/>
      <c r="AI23" s="38"/>
    </row>
    <row r="24" spans="1:46" s="3" customFormat="1" ht="100.5" customHeight="1" thickBot="1" x14ac:dyDescent="0.25">
      <c r="A24" s="39">
        <v>45606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12480</v>
      </c>
      <c r="Q24" s="40">
        <f t="shared" si="4"/>
        <v>3900</v>
      </c>
      <c r="R24" s="40">
        <f t="shared" si="4"/>
        <v>15265</v>
      </c>
      <c r="S24" s="40">
        <f t="shared" si="4"/>
        <v>1775</v>
      </c>
      <c r="T24" s="40">
        <f>T22-T23</f>
        <v>0</v>
      </c>
      <c r="U24" s="40">
        <f>U22-U23</f>
        <v>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3004</v>
      </c>
      <c r="AB24" s="40">
        <f t="shared" si="2"/>
        <v>394</v>
      </c>
      <c r="AC24" s="40">
        <f t="shared" si="2"/>
        <v>0</v>
      </c>
      <c r="AD24" s="41">
        <f t="shared" si="2"/>
        <v>8203</v>
      </c>
      <c r="AE24" s="41">
        <f t="shared" si="2"/>
        <v>0</v>
      </c>
      <c r="AF24" s="41">
        <f t="shared" si="2"/>
        <v>3385</v>
      </c>
      <c r="AG24" s="41">
        <f t="shared" si="2"/>
        <v>2100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7">
    <tabColor theme="0"/>
  </sheetPr>
  <dimension ref="A10:AT47"/>
  <sheetViews>
    <sheetView topLeftCell="A7" zoomScale="70" zoomScaleNormal="70" workbookViewId="0">
      <selection activeCell="Y30" sqref="Y30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135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133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41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215</v>
      </c>
      <c r="S17" s="333"/>
      <c r="T17" s="332">
        <v>208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/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45607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'11-4-10, 2024'!P24</f>
        <v>12480</v>
      </c>
      <c r="Q20" s="21">
        <f>'11-4-10, 2024'!Q24</f>
        <v>3900</v>
      </c>
      <c r="R20" s="21">
        <f>'11-4-10, 2024'!R24</f>
        <v>15265</v>
      </c>
      <c r="S20" s="21">
        <f>'11-4-10, 2024'!S24</f>
        <v>1775</v>
      </c>
      <c r="T20" s="21">
        <f>'11-4-10, 2024'!T24</f>
        <v>0</v>
      </c>
      <c r="U20" s="21">
        <f>'11-4-10, 2024'!U24</f>
        <v>0</v>
      </c>
      <c r="V20" s="21">
        <f>'11-4-10, 2024'!V24</f>
        <v>0</v>
      </c>
      <c r="W20" s="21">
        <f>'11-4-10, 2024'!W24</f>
        <v>0</v>
      </c>
      <c r="X20" s="21" t="e">
        <f>'11-4-10, 2024'!X24</f>
        <v>#REF!</v>
      </c>
      <c r="Y20" s="21">
        <f>'11-4-10, 2024'!Y24</f>
        <v>25</v>
      </c>
      <c r="Z20" s="21" t="e">
        <f>'11-4-10, 2024'!Z24</f>
        <v>#REF!</v>
      </c>
      <c r="AA20" s="21">
        <f>'11-4-10, 2024'!AA24</f>
        <v>3004</v>
      </c>
      <c r="AB20" s="21">
        <f>'11-4-10, 2024'!AB24</f>
        <v>394</v>
      </c>
      <c r="AC20" s="21">
        <f>'11-4-10, 2024'!AC24</f>
        <v>0</v>
      </c>
      <c r="AD20" s="21">
        <f>'11-4-10, 2024'!AD24</f>
        <v>8203</v>
      </c>
      <c r="AE20" s="21">
        <f>'11-4-10, 2024'!AE24</f>
        <v>0</v>
      </c>
      <c r="AF20" s="21">
        <f>'11-4-10, 2024'!AF24</f>
        <v>3385</v>
      </c>
      <c r="AG20" s="21">
        <f>'11-4-10, 2024'!AG24</f>
        <v>2100</v>
      </c>
      <c r="AH20" s="21">
        <f>'11-4-10, 2024'!AH24</f>
        <v>0</v>
      </c>
      <c r="AI20" s="21">
        <f>'11-4-10,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R21/215*25</f>
        <v>0</v>
      </c>
      <c r="T21" s="23">
        <v>20800</v>
      </c>
      <c r="U21" s="26">
        <f>T21/208*25</f>
        <v>2500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>
        <v>4000</v>
      </c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12480</v>
      </c>
      <c r="Q22" s="34">
        <f t="shared" si="0"/>
        <v>3900</v>
      </c>
      <c r="R22" s="34">
        <f>R20+R21</f>
        <v>15265</v>
      </c>
      <c r="S22" s="34">
        <f t="shared" ref="S22" si="1">S20+S21</f>
        <v>1775</v>
      </c>
      <c r="T22" s="34">
        <f t="shared" si="0"/>
        <v>20800</v>
      </c>
      <c r="U22" s="34">
        <f>U20+U21</f>
        <v>2500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3004</v>
      </c>
      <c r="AB22" s="34">
        <f t="shared" si="0"/>
        <v>394</v>
      </c>
      <c r="AC22" s="34">
        <f t="shared" si="0"/>
        <v>0</v>
      </c>
      <c r="AD22" s="34">
        <f t="shared" si="0"/>
        <v>8203</v>
      </c>
      <c r="AE22" s="34">
        <f t="shared" si="0"/>
        <v>0</v>
      </c>
      <c r="AF22" s="34">
        <f t="shared" si="0"/>
        <v>7385</v>
      </c>
      <c r="AG22" s="34">
        <f t="shared" si="0"/>
        <v>2100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3600</v>
      </c>
      <c r="Q23" s="21">
        <f>P23/80*25</f>
        <v>1125</v>
      </c>
      <c r="R23" s="30">
        <v>7955</v>
      </c>
      <c r="S23" s="21">
        <f>R23/215*25</f>
        <v>925</v>
      </c>
      <c r="T23" s="30">
        <v>1872</v>
      </c>
      <c r="U23" s="26">
        <f>T23/208*25</f>
        <v>225</v>
      </c>
      <c r="V23" s="22"/>
      <c r="W23" s="24"/>
      <c r="X23" s="30"/>
      <c r="Y23" s="30"/>
      <c r="Z23" s="30"/>
      <c r="AA23" s="36">
        <v>120</v>
      </c>
      <c r="AB23" s="22">
        <v>59</v>
      </c>
      <c r="AC23" s="22"/>
      <c r="AD23" s="30">
        <v>574</v>
      </c>
      <c r="AE23" s="30"/>
      <c r="AF23" s="30">
        <v>885</v>
      </c>
      <c r="AG23" s="30">
        <v>600</v>
      </c>
      <c r="AH23" s="22"/>
      <c r="AI23" s="38"/>
    </row>
    <row r="24" spans="1:46" s="3" customFormat="1" ht="100.5" customHeight="1" thickBot="1" x14ac:dyDescent="0.25">
      <c r="A24" s="39">
        <v>45613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8880</v>
      </c>
      <c r="Q24" s="40">
        <f t="shared" si="4"/>
        <v>2775</v>
      </c>
      <c r="R24" s="40">
        <f t="shared" si="4"/>
        <v>7310</v>
      </c>
      <c r="S24" s="40">
        <f t="shared" si="4"/>
        <v>850</v>
      </c>
      <c r="T24" s="40">
        <f>T22-T23</f>
        <v>18928</v>
      </c>
      <c r="U24" s="40">
        <f>U22-U23</f>
        <v>2275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2884</v>
      </c>
      <c r="AB24" s="40">
        <f t="shared" si="2"/>
        <v>335</v>
      </c>
      <c r="AC24" s="40">
        <f t="shared" si="2"/>
        <v>0</v>
      </c>
      <c r="AD24" s="41">
        <f t="shared" si="2"/>
        <v>7629</v>
      </c>
      <c r="AE24" s="41">
        <f t="shared" si="2"/>
        <v>0</v>
      </c>
      <c r="AF24" s="41">
        <f t="shared" si="2"/>
        <v>6500</v>
      </c>
      <c r="AG24" s="41">
        <f t="shared" si="2"/>
        <v>1500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8">
    <tabColor theme="0"/>
  </sheetPr>
  <dimension ref="A10:AT47"/>
  <sheetViews>
    <sheetView topLeftCell="A13" zoomScale="70" zoomScaleNormal="70" workbookViewId="0">
      <selection activeCell="R30" sqref="R30:U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136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133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42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215</v>
      </c>
      <c r="S17" s="333"/>
      <c r="T17" s="332">
        <v>208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/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45614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'11-11-17, 2024'!P24</f>
        <v>8880</v>
      </c>
      <c r="Q20" s="21">
        <f>'11-11-17, 2024'!Q24</f>
        <v>2775</v>
      </c>
      <c r="R20" s="21">
        <f>'11-11-17, 2024'!R24</f>
        <v>7310</v>
      </c>
      <c r="S20" s="21">
        <f>'11-11-17, 2024'!S24</f>
        <v>850</v>
      </c>
      <c r="T20" s="21">
        <f>'11-11-17, 2024'!T24</f>
        <v>18928</v>
      </c>
      <c r="U20" s="21">
        <f>'11-11-17, 2024'!U24</f>
        <v>2275</v>
      </c>
      <c r="V20" s="21">
        <f>'11-11-17, 2024'!V24</f>
        <v>0</v>
      </c>
      <c r="W20" s="21">
        <f>'11-11-17, 2024'!W24</f>
        <v>0</v>
      </c>
      <c r="X20" s="21" t="e">
        <f>'11-11-17, 2024'!X24</f>
        <v>#REF!</v>
      </c>
      <c r="Y20" s="21">
        <f>'11-11-17, 2024'!Y24</f>
        <v>25</v>
      </c>
      <c r="Z20" s="21" t="e">
        <f>'11-11-17, 2024'!Z24</f>
        <v>#REF!</v>
      </c>
      <c r="AA20" s="21">
        <f>'11-11-17, 2024'!AA24</f>
        <v>2884</v>
      </c>
      <c r="AB20" s="21">
        <f>'11-11-17, 2024'!AB24</f>
        <v>335</v>
      </c>
      <c r="AC20" s="21">
        <f>'11-11-17, 2024'!AC24</f>
        <v>0</v>
      </c>
      <c r="AD20" s="21">
        <f>'11-11-17, 2024'!AD24</f>
        <v>7629</v>
      </c>
      <c r="AE20" s="21">
        <f>'11-11-17, 2024'!AE24</f>
        <v>0</v>
      </c>
      <c r="AF20" s="21">
        <f>'11-11-17, 2024'!AF24</f>
        <v>6500</v>
      </c>
      <c r="AG20" s="21">
        <f>'11-11-17, 2024'!AG24</f>
        <v>1500</v>
      </c>
      <c r="AH20" s="21">
        <f>'11-11-17, 2024'!AH24</f>
        <v>0</v>
      </c>
      <c r="AI20" s="21">
        <f>'11-11-17,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>
        <v>15050</v>
      </c>
      <c r="S21" s="26">
        <f>R21/215*25</f>
        <v>1750</v>
      </c>
      <c r="T21" s="23"/>
      <c r="U21" s="26">
        <f>T21/208*25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8880</v>
      </c>
      <c r="Q22" s="34">
        <f t="shared" si="0"/>
        <v>2775</v>
      </c>
      <c r="R22" s="34">
        <f>R20+R21</f>
        <v>22360</v>
      </c>
      <c r="S22" s="34">
        <f t="shared" ref="S22" si="1">S20+S21</f>
        <v>2600</v>
      </c>
      <c r="T22" s="34">
        <f t="shared" si="0"/>
        <v>18928</v>
      </c>
      <c r="U22" s="34">
        <f>U20+U21</f>
        <v>2275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2884</v>
      </c>
      <c r="AB22" s="34">
        <f t="shared" si="0"/>
        <v>335</v>
      </c>
      <c r="AC22" s="34">
        <f t="shared" si="0"/>
        <v>0</v>
      </c>
      <c r="AD22" s="34">
        <f t="shared" si="0"/>
        <v>7629</v>
      </c>
      <c r="AE22" s="34">
        <f t="shared" si="0"/>
        <v>0</v>
      </c>
      <c r="AF22" s="34">
        <f t="shared" si="0"/>
        <v>6500</v>
      </c>
      <c r="AG22" s="34">
        <f t="shared" si="0"/>
        <v>1500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5200</v>
      </c>
      <c r="Q23" s="21">
        <f>P23/80*25</f>
        <v>1625</v>
      </c>
      <c r="R23" s="30">
        <v>11825</v>
      </c>
      <c r="S23" s="21">
        <f>R23/215*25</f>
        <v>1375</v>
      </c>
      <c r="T23" s="30">
        <v>5616</v>
      </c>
      <c r="U23" s="26">
        <f>T23/208*25</f>
        <v>675</v>
      </c>
      <c r="V23" s="22"/>
      <c r="W23" s="24"/>
      <c r="X23" s="30"/>
      <c r="Y23" s="30"/>
      <c r="Z23" s="30"/>
      <c r="AA23" s="36">
        <v>150</v>
      </c>
      <c r="AB23" s="22">
        <v>67</v>
      </c>
      <c r="AC23" s="22"/>
      <c r="AD23" s="30">
        <v>826</v>
      </c>
      <c r="AE23" s="30"/>
      <c r="AF23" s="30">
        <v>875</v>
      </c>
      <c r="AG23" s="30">
        <v>975</v>
      </c>
      <c r="AH23" s="22"/>
      <c r="AI23" s="38"/>
    </row>
    <row r="24" spans="1:46" s="3" customFormat="1" ht="100.5" customHeight="1" thickBot="1" x14ac:dyDescent="0.25">
      <c r="A24" s="39">
        <v>45620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3680</v>
      </c>
      <c r="Q24" s="40">
        <f t="shared" si="4"/>
        <v>1150</v>
      </c>
      <c r="R24" s="40">
        <f t="shared" si="4"/>
        <v>10535</v>
      </c>
      <c r="S24" s="40">
        <f t="shared" si="4"/>
        <v>1225</v>
      </c>
      <c r="T24" s="40">
        <f>T22-T23</f>
        <v>13312</v>
      </c>
      <c r="U24" s="40">
        <f>U22-U23</f>
        <v>1600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2734</v>
      </c>
      <c r="AB24" s="40">
        <f t="shared" si="2"/>
        <v>268</v>
      </c>
      <c r="AC24" s="40">
        <f t="shared" si="2"/>
        <v>0</v>
      </c>
      <c r="AD24" s="41">
        <f t="shared" si="2"/>
        <v>6803</v>
      </c>
      <c r="AE24" s="41">
        <f t="shared" si="2"/>
        <v>0</v>
      </c>
      <c r="AF24" s="41">
        <f t="shared" si="2"/>
        <v>5625</v>
      </c>
      <c r="AG24" s="41">
        <f t="shared" si="2"/>
        <v>525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colBreaks count="1" manualBreakCount="1">
    <brk id="35" max="1048575" man="1"/>
  </colBreaks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9">
    <tabColor theme="0"/>
  </sheetPr>
  <dimension ref="A10:AT47"/>
  <sheetViews>
    <sheetView topLeftCell="A13" zoomScale="70" zoomScaleNormal="70" workbookViewId="0">
      <selection activeCell="R33" sqref="R33:U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137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133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43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215</v>
      </c>
      <c r="S17" s="333"/>
      <c r="T17" s="332">
        <v>208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/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45621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'11-18-24, 2024'!P24</f>
        <v>3680</v>
      </c>
      <c r="Q20" s="21">
        <f>'11-18-24, 2024'!Q24</f>
        <v>1150</v>
      </c>
      <c r="R20" s="21">
        <f>'11-18-24, 2024'!R24</f>
        <v>10535</v>
      </c>
      <c r="S20" s="21">
        <f>'11-18-24, 2024'!S24</f>
        <v>1225</v>
      </c>
      <c r="T20" s="21">
        <f>'11-18-24, 2024'!T24</f>
        <v>13312</v>
      </c>
      <c r="U20" s="21">
        <f>'11-18-24, 2024'!U24</f>
        <v>1600</v>
      </c>
      <c r="V20" s="21">
        <f>'11-18-24, 2024'!V24</f>
        <v>0</v>
      </c>
      <c r="W20" s="21">
        <f>'11-18-24, 2024'!W24</f>
        <v>0</v>
      </c>
      <c r="X20" s="21" t="e">
        <f>'11-18-24, 2024'!X24</f>
        <v>#REF!</v>
      </c>
      <c r="Y20" s="21">
        <f>'11-18-24, 2024'!Y24</f>
        <v>25</v>
      </c>
      <c r="Z20" s="21" t="e">
        <f>'11-18-24, 2024'!Z24</f>
        <v>#REF!</v>
      </c>
      <c r="AA20" s="21">
        <f>'11-18-24, 2024'!AA24</f>
        <v>2734</v>
      </c>
      <c r="AB20" s="21">
        <f>'11-18-24, 2024'!AB24</f>
        <v>268</v>
      </c>
      <c r="AC20" s="21">
        <f>'11-18-24, 2024'!AC24</f>
        <v>0</v>
      </c>
      <c r="AD20" s="21">
        <f>'11-18-24, 2024'!AD24</f>
        <v>6803</v>
      </c>
      <c r="AE20" s="21">
        <f>'11-18-24, 2024'!AE24</f>
        <v>0</v>
      </c>
      <c r="AF20" s="21">
        <f>'11-18-24, 2024'!AF24</f>
        <v>5625</v>
      </c>
      <c r="AG20" s="21">
        <f>'11-18-24, 2024'!AG24</f>
        <v>525</v>
      </c>
      <c r="AH20" s="21">
        <f>'11-18-24, 2024'!AH24</f>
        <v>0</v>
      </c>
      <c r="AI20" s="21">
        <f>'11-18-24,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>
        <v>10750</v>
      </c>
      <c r="S21" s="26">
        <f>R21/215*25</f>
        <v>1250</v>
      </c>
      <c r="T21" s="23"/>
      <c r="U21" s="26">
        <f>T21/208*25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3680</v>
      </c>
      <c r="Q22" s="34">
        <f t="shared" si="0"/>
        <v>1150</v>
      </c>
      <c r="R22" s="34">
        <f>R20+R21</f>
        <v>21285</v>
      </c>
      <c r="S22" s="34">
        <f t="shared" ref="S22" si="1">S20+S21</f>
        <v>2475</v>
      </c>
      <c r="T22" s="34">
        <f t="shared" si="0"/>
        <v>13312</v>
      </c>
      <c r="U22" s="34">
        <f>U20+U21</f>
        <v>1600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2734</v>
      </c>
      <c r="AB22" s="34">
        <f t="shared" si="0"/>
        <v>268</v>
      </c>
      <c r="AC22" s="34">
        <f t="shared" si="0"/>
        <v>0</v>
      </c>
      <c r="AD22" s="34">
        <f t="shared" si="0"/>
        <v>6803</v>
      </c>
      <c r="AE22" s="34">
        <f t="shared" si="0"/>
        <v>0</v>
      </c>
      <c r="AF22" s="34">
        <f t="shared" si="0"/>
        <v>5625</v>
      </c>
      <c r="AG22" s="34">
        <f t="shared" si="0"/>
        <v>525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1680</v>
      </c>
      <c r="Q23" s="21">
        <f>P23/80*25</f>
        <v>525</v>
      </c>
      <c r="R23" s="30">
        <v>10320</v>
      </c>
      <c r="S23" s="21">
        <f>R23/215*25</f>
        <v>1200</v>
      </c>
      <c r="T23" s="30">
        <v>4784</v>
      </c>
      <c r="U23" s="26">
        <f>T23/208*25</f>
        <v>575</v>
      </c>
      <c r="V23" s="22"/>
      <c r="W23" s="24"/>
      <c r="X23" s="30"/>
      <c r="Y23" s="30"/>
      <c r="Z23" s="30"/>
      <c r="AA23" s="36">
        <v>100</v>
      </c>
      <c r="AB23" s="22">
        <v>46</v>
      </c>
      <c r="AC23" s="22"/>
      <c r="AD23" s="30">
        <v>488</v>
      </c>
      <c r="AE23" s="30"/>
      <c r="AF23" s="30">
        <v>625</v>
      </c>
      <c r="AG23" s="30">
        <v>525</v>
      </c>
      <c r="AH23" s="22"/>
      <c r="AI23" s="38"/>
    </row>
    <row r="24" spans="1:46" s="3" customFormat="1" ht="100.5" customHeight="1" thickBot="1" x14ac:dyDescent="0.25">
      <c r="A24" s="39">
        <v>45627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2000</v>
      </c>
      <c r="Q24" s="40">
        <f t="shared" si="4"/>
        <v>625</v>
      </c>
      <c r="R24" s="40">
        <f t="shared" si="4"/>
        <v>10965</v>
      </c>
      <c r="S24" s="40">
        <f t="shared" si="4"/>
        <v>1275</v>
      </c>
      <c r="T24" s="40">
        <f>T22-T23</f>
        <v>8528</v>
      </c>
      <c r="U24" s="40">
        <f>U22-U23</f>
        <v>1025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2634</v>
      </c>
      <c r="AB24" s="40">
        <f t="shared" si="2"/>
        <v>222</v>
      </c>
      <c r="AC24" s="40">
        <f t="shared" si="2"/>
        <v>0</v>
      </c>
      <c r="AD24" s="41">
        <f t="shared" si="2"/>
        <v>6315</v>
      </c>
      <c r="AE24" s="41">
        <f t="shared" si="2"/>
        <v>0</v>
      </c>
      <c r="AF24" s="41">
        <f t="shared" si="2"/>
        <v>5000</v>
      </c>
      <c r="AG24" s="41">
        <f t="shared" si="2"/>
        <v>0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107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34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51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3" orientation="landscape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0">
    <tabColor theme="0"/>
  </sheetPr>
  <dimension ref="A10:AT47"/>
  <sheetViews>
    <sheetView topLeftCell="A7" zoomScale="70" zoomScaleNormal="70" workbookViewId="0">
      <selection activeCell="U23" sqref="U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16.140625" style="1" customWidth="1"/>
    <col min="19" max="19" width="16" style="1" customWidth="1"/>
    <col min="20" max="20" width="13.7109375" style="1" bestFit="1" customWidth="1"/>
    <col min="21" max="21" width="14.85546875" style="1" customWidth="1"/>
    <col min="22" max="23" width="12.7109375" style="1" hidden="1" customWidth="1"/>
    <col min="24" max="24" width="2.140625" style="1" hidden="1" customWidth="1"/>
    <col min="25" max="25" width="14.5703125" style="1" customWidth="1"/>
    <col min="26" max="26" width="7" style="1" hidden="1" customWidth="1"/>
    <col min="27" max="27" width="17.140625" style="1" customWidth="1"/>
    <col min="28" max="28" width="12.28515625" style="1" customWidth="1"/>
    <col min="29" max="29" width="22.42578125" style="1" bestFit="1" customWidth="1"/>
    <col min="30" max="30" width="14" style="1" customWidth="1"/>
    <col min="31" max="31" width="18.5703125" style="1" bestFit="1" customWidth="1"/>
    <col min="32" max="33" width="18.5703125" style="1" customWidth="1"/>
    <col min="34" max="34" width="12.42578125" style="1" bestFit="1" customWidth="1"/>
    <col min="35" max="35" width="11.140625" style="1" customWidth="1"/>
    <col min="36" max="36" width="14.28515625" style="1" bestFit="1" customWidth="1"/>
    <col min="37" max="37" width="10.28515625" style="1" bestFit="1" customWidth="1"/>
    <col min="38" max="38" width="9.140625" style="1"/>
    <col min="39" max="39" width="10.7109375" style="1" bestFit="1" customWidth="1"/>
    <col min="40" max="16384" width="9.140625" style="1"/>
  </cols>
  <sheetData>
    <row r="10" spans="1:36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</row>
    <row r="11" spans="1:36" ht="34.5" x14ac:dyDescent="0.45">
      <c r="A11" s="315" t="s">
        <v>138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</row>
    <row r="12" spans="1:36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6" ht="22.5" thickBot="1" x14ac:dyDescent="0.35"/>
    <row r="14" spans="1:36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8"/>
    </row>
    <row r="15" spans="1:36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1"/>
    </row>
    <row r="16" spans="1:36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133</v>
      </c>
      <c r="S16" s="329"/>
      <c r="T16" s="328" t="s">
        <v>4</v>
      </c>
      <c r="U16" s="329"/>
      <c r="V16" s="328" t="s">
        <v>4</v>
      </c>
      <c r="W16" s="329"/>
      <c r="X16" s="5" t="s">
        <v>6</v>
      </c>
      <c r="Y16" s="6" t="s">
        <v>7</v>
      </c>
      <c r="Z16" s="6" t="s">
        <v>8</v>
      </c>
      <c r="AA16" s="7" t="s">
        <v>8</v>
      </c>
      <c r="AB16" s="5" t="s">
        <v>9</v>
      </c>
      <c r="AC16" s="57" t="s">
        <v>11</v>
      </c>
      <c r="AD16" s="58" t="s">
        <v>10</v>
      </c>
      <c r="AE16" s="57" t="s">
        <v>40</v>
      </c>
      <c r="AF16" s="57" t="s">
        <v>41</v>
      </c>
      <c r="AG16" s="57" t="s">
        <v>41</v>
      </c>
      <c r="AH16" s="57" t="s">
        <v>12</v>
      </c>
      <c r="AI16" s="144" t="s">
        <v>13</v>
      </c>
    </row>
    <row r="17" spans="1:46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215</v>
      </c>
      <c r="S17" s="333"/>
      <c r="T17" s="332">
        <v>208</v>
      </c>
      <c r="U17" s="333"/>
      <c r="V17" s="332">
        <v>135</v>
      </c>
      <c r="W17" s="333"/>
      <c r="X17" s="8" t="s">
        <v>14</v>
      </c>
      <c r="Y17" s="9"/>
      <c r="Z17" s="9" t="s">
        <v>15</v>
      </c>
      <c r="AA17" s="10"/>
      <c r="AB17" s="8"/>
      <c r="AC17" s="11">
        <v>4.8</v>
      </c>
      <c r="AD17" s="11">
        <v>4.9000000000000004</v>
      </c>
      <c r="AE17" s="11">
        <v>10</v>
      </c>
      <c r="AF17" s="11">
        <v>10</v>
      </c>
      <c r="AG17" s="11">
        <v>40</v>
      </c>
      <c r="AH17" s="12"/>
      <c r="AI17" s="12"/>
    </row>
    <row r="18" spans="1:46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/>
      <c r="S18" s="333"/>
      <c r="T18" s="332" t="s">
        <v>97</v>
      </c>
      <c r="U18" s="333"/>
      <c r="V18" s="332" t="s">
        <v>19</v>
      </c>
      <c r="W18" s="333"/>
      <c r="X18" s="8"/>
      <c r="Y18" s="10"/>
      <c r="Z18" s="10"/>
      <c r="AA18" s="10"/>
      <c r="AB18" s="8"/>
      <c r="AC18" s="10"/>
      <c r="AD18" s="13"/>
      <c r="AE18" s="10"/>
      <c r="AF18" s="10"/>
      <c r="AG18" s="10"/>
      <c r="AH18" s="10"/>
      <c r="AI18" s="10"/>
    </row>
    <row r="19" spans="1:46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8" t="s">
        <v>20</v>
      </c>
      <c r="Y19" s="19" t="s">
        <v>21</v>
      </c>
      <c r="Z19" s="19" t="s">
        <v>22</v>
      </c>
      <c r="AA19" s="19" t="s">
        <v>22</v>
      </c>
      <c r="AB19" s="18" t="s">
        <v>20</v>
      </c>
      <c r="AC19" s="19" t="s">
        <v>20</v>
      </c>
      <c r="AD19" s="20" t="s">
        <v>20</v>
      </c>
      <c r="AE19" s="19" t="s">
        <v>22</v>
      </c>
      <c r="AF19" s="19" t="s">
        <v>22</v>
      </c>
      <c r="AG19" s="19" t="s">
        <v>22</v>
      </c>
      <c r="AH19" s="19" t="s">
        <v>22</v>
      </c>
      <c r="AI19" s="19" t="s">
        <v>20</v>
      </c>
    </row>
    <row r="20" spans="1:46" ht="68.25" customHeight="1" x14ac:dyDescent="0.3">
      <c r="A20" s="56">
        <v>45628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'11-25-12-1, 2024'!P24</f>
        <v>2000</v>
      </c>
      <c r="Q20" s="21">
        <f>'11-25-12-1, 2024'!Q24</f>
        <v>625</v>
      </c>
      <c r="R20" s="21">
        <f>'11-25-12-1, 2024'!R24</f>
        <v>10965</v>
      </c>
      <c r="S20" s="21">
        <f>'11-25-12-1, 2024'!S24</f>
        <v>1275</v>
      </c>
      <c r="T20" s="21">
        <f>'11-25-12-1, 2024'!T24</f>
        <v>8528</v>
      </c>
      <c r="U20" s="21">
        <f>'11-25-12-1, 2024'!U24</f>
        <v>1025</v>
      </c>
      <c r="V20" s="21">
        <f>'11-25-12-1, 2024'!V24</f>
        <v>0</v>
      </c>
      <c r="W20" s="21">
        <f>'11-25-12-1, 2024'!W24</f>
        <v>0</v>
      </c>
      <c r="X20" s="21" t="e">
        <f>'11-25-12-1, 2024'!X24</f>
        <v>#REF!</v>
      </c>
      <c r="Y20" s="21">
        <f>'11-25-12-1, 2024'!Y24</f>
        <v>25</v>
      </c>
      <c r="Z20" s="21" t="e">
        <f>'11-25-12-1, 2024'!Z24</f>
        <v>#REF!</v>
      </c>
      <c r="AA20" s="21">
        <f>'11-25-12-1, 2024'!AA24</f>
        <v>2634</v>
      </c>
      <c r="AB20" s="21">
        <f>'11-25-12-1, 2024'!AB24</f>
        <v>222</v>
      </c>
      <c r="AC20" s="21">
        <f>'11-25-12-1, 2024'!AC24</f>
        <v>0</v>
      </c>
      <c r="AD20" s="21">
        <f>'11-25-12-1, 2024'!AD24</f>
        <v>6315</v>
      </c>
      <c r="AE20" s="21">
        <f>'11-25-12-1, 2024'!AE24</f>
        <v>0</v>
      </c>
      <c r="AF20" s="21">
        <f>'11-25-12-1, 2024'!AF24</f>
        <v>5000</v>
      </c>
      <c r="AG20" s="21">
        <f>'11-25-12-1, 2024'!AG24</f>
        <v>0</v>
      </c>
      <c r="AH20" s="21">
        <f>'11-25-12-1, 2024'!AH24</f>
        <v>0</v>
      </c>
      <c r="AI20" s="21">
        <f>'11-25-12-1, 2024'!AI24</f>
        <v>96</v>
      </c>
      <c r="AJ20" s="28"/>
    </row>
    <row r="21" spans="1:46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>
        <v>10750</v>
      </c>
      <c r="S21" s="26">
        <f>R21/215*25</f>
        <v>1250</v>
      </c>
      <c r="T21" s="23"/>
      <c r="U21" s="26">
        <f>T21/208*25</f>
        <v>0</v>
      </c>
      <c r="V21" s="23"/>
      <c r="W21" s="26"/>
      <c r="X21" s="23"/>
      <c r="Y21" s="23"/>
      <c r="Z21" s="23"/>
      <c r="AA21" s="23"/>
      <c r="AB21" s="23"/>
      <c r="AC21" s="23"/>
      <c r="AD21" s="23"/>
      <c r="AE21" s="31"/>
      <c r="AF21" s="31"/>
      <c r="AG21" s="31"/>
      <c r="AH21" s="23"/>
      <c r="AI21" s="32"/>
      <c r="AK21" s="33"/>
    </row>
    <row r="22" spans="1:46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I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2000</v>
      </c>
      <c r="Q22" s="34">
        <f t="shared" si="0"/>
        <v>625</v>
      </c>
      <c r="R22" s="34">
        <f>R20+R21</f>
        <v>21715</v>
      </c>
      <c r="S22" s="34">
        <f t="shared" ref="S22" si="1">S20+S21</f>
        <v>2525</v>
      </c>
      <c r="T22" s="34">
        <f t="shared" si="0"/>
        <v>8528</v>
      </c>
      <c r="U22" s="34">
        <f>U20+U21</f>
        <v>1025</v>
      </c>
      <c r="V22" s="34">
        <f t="shared" si="0"/>
        <v>0</v>
      </c>
      <c r="W22" s="34">
        <f t="shared" si="0"/>
        <v>0</v>
      </c>
      <c r="X22" s="34" t="e">
        <f t="shared" si="0"/>
        <v>#REF!</v>
      </c>
      <c r="Y22" s="34">
        <f t="shared" si="0"/>
        <v>25</v>
      </c>
      <c r="Z22" s="34" t="e">
        <f t="shared" si="0"/>
        <v>#REF!</v>
      </c>
      <c r="AA22" s="34">
        <f t="shared" si="0"/>
        <v>2634</v>
      </c>
      <c r="AB22" s="34">
        <f t="shared" si="0"/>
        <v>222</v>
      </c>
      <c r="AC22" s="34">
        <f t="shared" si="0"/>
        <v>0</v>
      </c>
      <c r="AD22" s="34">
        <f t="shared" si="0"/>
        <v>6315</v>
      </c>
      <c r="AE22" s="34">
        <f t="shared" si="0"/>
        <v>0</v>
      </c>
      <c r="AF22" s="34">
        <f t="shared" si="0"/>
        <v>5000</v>
      </c>
      <c r="AG22" s="34">
        <f t="shared" si="0"/>
        <v>0</v>
      </c>
      <c r="AH22" s="34">
        <f t="shared" si="0"/>
        <v>0</v>
      </c>
      <c r="AI22" s="34">
        <f t="shared" si="0"/>
        <v>96</v>
      </c>
    </row>
    <row r="23" spans="1:46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880</v>
      </c>
      <c r="Q23" s="21">
        <f>P23/80*25</f>
        <v>275</v>
      </c>
      <c r="R23" s="30">
        <v>13115</v>
      </c>
      <c r="S23" s="21">
        <f>R23/215*25</f>
        <v>1525</v>
      </c>
      <c r="T23" s="30">
        <v>4992</v>
      </c>
      <c r="U23" s="26">
        <f>T23/208*25</f>
        <v>600</v>
      </c>
      <c r="V23" s="22"/>
      <c r="W23" s="24"/>
      <c r="X23" s="30"/>
      <c r="Y23" s="30"/>
      <c r="Z23" s="30"/>
      <c r="AA23" s="36">
        <v>138</v>
      </c>
      <c r="AB23" s="22">
        <v>62</v>
      </c>
      <c r="AC23" s="22"/>
      <c r="AD23" s="30">
        <v>620</v>
      </c>
      <c r="AE23" s="30"/>
      <c r="AF23" s="30">
        <v>1715</v>
      </c>
      <c r="AG23" s="30"/>
      <c r="AH23" s="22"/>
      <c r="AI23" s="38"/>
    </row>
    <row r="24" spans="1:46" s="3" customFormat="1" ht="100.5" customHeight="1" thickBot="1" x14ac:dyDescent="0.25">
      <c r="A24" s="39">
        <v>45634</v>
      </c>
      <c r="B24" s="336" t="s">
        <v>28</v>
      </c>
      <c r="C24" s="337"/>
      <c r="D24" s="40">
        <f>D22-D23</f>
        <v>0</v>
      </c>
      <c r="E24" s="40">
        <f t="shared" ref="E24:AH24" si="2">E22-E23</f>
        <v>0</v>
      </c>
      <c r="F24" s="40">
        <f>F22-F23</f>
        <v>0</v>
      </c>
      <c r="G24" s="40">
        <f t="shared" si="2"/>
        <v>0</v>
      </c>
      <c r="H24" s="41" t="e">
        <f t="shared" si="2"/>
        <v>#REF!</v>
      </c>
      <c r="I24" s="41" t="e">
        <f t="shared" si="2"/>
        <v>#REF!</v>
      </c>
      <c r="J24" s="41">
        <f>J22-J23</f>
        <v>0</v>
      </c>
      <c r="K24" s="42">
        <f t="shared" ref="K24" si="3">K22-K23</f>
        <v>0</v>
      </c>
      <c r="L24" s="41">
        <f>L22-L23</f>
        <v>0</v>
      </c>
      <c r="M24" s="42">
        <f>M22-M23</f>
        <v>0</v>
      </c>
      <c r="N24" s="41" t="e">
        <f t="shared" ref="N24:S24" si="4">N22-N23</f>
        <v>#REF!</v>
      </c>
      <c r="O24" s="41" t="e">
        <f t="shared" si="4"/>
        <v>#REF!</v>
      </c>
      <c r="P24" s="40">
        <f>P22-P23</f>
        <v>1120</v>
      </c>
      <c r="Q24" s="40">
        <f t="shared" si="4"/>
        <v>350</v>
      </c>
      <c r="R24" s="40">
        <f t="shared" si="4"/>
        <v>8600</v>
      </c>
      <c r="S24" s="40">
        <f t="shared" si="4"/>
        <v>1000</v>
      </c>
      <c r="T24" s="40">
        <f>T22-T23</f>
        <v>3536</v>
      </c>
      <c r="U24" s="40">
        <f>U22-U23</f>
        <v>425</v>
      </c>
      <c r="V24" s="40">
        <f>V22-V23</f>
        <v>0</v>
      </c>
      <c r="W24" s="42">
        <f t="shared" ref="W24" si="5">W22-W23</f>
        <v>0</v>
      </c>
      <c r="X24" s="41" t="e">
        <f t="shared" si="2"/>
        <v>#REF!</v>
      </c>
      <c r="Y24" s="41">
        <f>Y22-Y23</f>
        <v>25</v>
      </c>
      <c r="Z24" s="41" t="e">
        <f t="shared" si="2"/>
        <v>#REF!</v>
      </c>
      <c r="AA24" s="93">
        <f>AA22-AA23</f>
        <v>2496</v>
      </c>
      <c r="AB24" s="40">
        <f t="shared" si="2"/>
        <v>160</v>
      </c>
      <c r="AC24" s="40">
        <f t="shared" si="2"/>
        <v>0</v>
      </c>
      <c r="AD24" s="41">
        <f t="shared" si="2"/>
        <v>5695</v>
      </c>
      <c r="AE24" s="41">
        <f t="shared" si="2"/>
        <v>0</v>
      </c>
      <c r="AF24" s="41">
        <f t="shared" si="2"/>
        <v>3285</v>
      </c>
      <c r="AG24" s="41">
        <f t="shared" si="2"/>
        <v>0</v>
      </c>
      <c r="AH24" s="40">
        <f t="shared" si="2"/>
        <v>0</v>
      </c>
      <c r="AI24" s="44">
        <f>AI22-AI23</f>
        <v>96</v>
      </c>
    </row>
    <row r="25" spans="1:46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46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46" s="45" customFormat="1" ht="24" customHeight="1" x14ac:dyDescent="0.35">
      <c r="A27" s="45" t="s">
        <v>29</v>
      </c>
      <c r="O27" s="46"/>
      <c r="P27" s="135"/>
      <c r="R27" s="45" t="s">
        <v>56</v>
      </c>
      <c r="V27" s="45" t="s">
        <v>30</v>
      </c>
      <c r="AB27" s="45" t="s">
        <v>57</v>
      </c>
      <c r="AE27" s="47"/>
      <c r="AF27" s="47"/>
      <c r="AG27" s="47"/>
      <c r="AH27" s="46"/>
      <c r="AI27" s="46"/>
    </row>
    <row r="28" spans="1:46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V28" s="49"/>
      <c r="W28" s="49"/>
      <c r="AE28" s="49"/>
      <c r="AF28" s="49"/>
      <c r="AG28" s="49"/>
      <c r="AH28" s="49"/>
      <c r="AI28" s="49"/>
      <c r="AJ28" s="46"/>
    </row>
    <row r="29" spans="1:46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V29" s="49"/>
      <c r="W29" s="49"/>
      <c r="AE29" s="49"/>
      <c r="AF29" s="49"/>
      <c r="AG29" s="49"/>
      <c r="AH29" s="49"/>
      <c r="AI29" s="49"/>
      <c r="AJ29" s="46"/>
    </row>
    <row r="30" spans="1:46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50" t="s">
        <v>31</v>
      </c>
      <c r="U30" s="50"/>
      <c r="AB30" s="51" t="s">
        <v>117</v>
      </c>
      <c r="AJ30" s="46"/>
    </row>
    <row r="31" spans="1:46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8" t="s">
        <v>64</v>
      </c>
      <c r="U31" s="46"/>
      <c r="V31" s="46"/>
      <c r="AB31" s="46" t="s">
        <v>118</v>
      </c>
      <c r="AE31" s="46"/>
      <c r="AF31" s="46"/>
      <c r="AG31" s="46"/>
      <c r="AH31" s="46"/>
      <c r="AI31" s="46"/>
    </row>
    <row r="32" spans="1:46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8" t="s">
        <v>46</v>
      </c>
      <c r="U32" s="46"/>
      <c r="V32" s="46"/>
      <c r="W32" s="46"/>
      <c r="X32" s="46"/>
      <c r="Y32" s="46"/>
      <c r="Z32" s="46"/>
      <c r="AB32" s="46" t="s">
        <v>46</v>
      </c>
      <c r="AE32" s="46"/>
      <c r="AF32" s="46"/>
      <c r="AG32" s="46"/>
      <c r="AH32" s="83"/>
      <c r="AI32" s="84"/>
      <c r="AJ32" s="85"/>
      <c r="AK32" s="86"/>
      <c r="AL32" s="87"/>
      <c r="AM32" s="86"/>
      <c r="AN32" s="88"/>
      <c r="AO32" s="84"/>
      <c r="AP32" s="84"/>
      <c r="AQ32" s="86"/>
      <c r="AR32" s="86"/>
      <c r="AS32" s="86"/>
      <c r="AT32" s="84"/>
    </row>
    <row r="33" spans="1:36" s="46" customFormat="1" ht="24" customHeight="1" x14ac:dyDescent="0.35">
      <c r="A33" s="48" t="s">
        <v>112</v>
      </c>
      <c r="R33" s="46" t="s">
        <v>65</v>
      </c>
      <c r="X33" s="53"/>
      <c r="Y33" s="53"/>
      <c r="AC33" s="54"/>
    </row>
    <row r="34" spans="1:36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52"/>
    </row>
    <row r="36" spans="1:36" ht="22.5" x14ac:dyDescent="0.35">
      <c r="B36" s="55"/>
      <c r="C36" s="55"/>
      <c r="D36" s="55"/>
      <c r="E36" s="55"/>
    </row>
    <row r="37" spans="1:36" ht="15.75" customHeight="1" x14ac:dyDescent="0.3"/>
    <row r="40" spans="1:36" ht="15.75" customHeight="1" x14ac:dyDescent="0.3"/>
    <row r="42" spans="1:36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</row>
    <row r="44" spans="1:36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7" spans="1:36" ht="22.5" x14ac:dyDescent="0.35">
      <c r="A47" s="55"/>
    </row>
  </sheetData>
  <mergeCells count="41">
    <mergeCell ref="A10:AJ10"/>
    <mergeCell ref="A11:AJ11"/>
    <mergeCell ref="A14:C15"/>
    <mergeCell ref="D14:AI15"/>
    <mergeCell ref="A16:A19"/>
    <mergeCell ref="B16:C19"/>
    <mergeCell ref="D16:E16"/>
    <mergeCell ref="F16:G16"/>
    <mergeCell ref="H16:I16"/>
    <mergeCell ref="J16:K16"/>
    <mergeCell ref="H17:I17"/>
    <mergeCell ref="J17:K17"/>
    <mergeCell ref="N17:O17"/>
    <mergeCell ref="L16:M16"/>
    <mergeCell ref="N16:O16"/>
    <mergeCell ref="P16:Q16"/>
    <mergeCell ref="R16:S16"/>
    <mergeCell ref="T16:U16"/>
    <mergeCell ref="V18:W18"/>
    <mergeCell ref="V17:W17"/>
    <mergeCell ref="V16:W16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D17:E17"/>
    <mergeCell ref="F17:G17"/>
    <mergeCell ref="L17:M17"/>
    <mergeCell ref="T18:U18"/>
    <mergeCell ref="A22:C22"/>
    <mergeCell ref="A23:C23"/>
    <mergeCell ref="B24:C24"/>
    <mergeCell ref="P18:Q18"/>
    <mergeCell ref="R18:S18"/>
    <mergeCell ref="B20:C20"/>
    <mergeCell ref="A21:C21"/>
  </mergeCells>
  <pageMargins left="0.39370078740157483" right="0.11811023622047245" top="0.39370078740157483" bottom="0.31496062992125984" header="0.31496062992125984" footer="0.31496062992125984"/>
  <pageSetup paperSize="9" scale="43" orientation="landscape" r:id="rId1"/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1">
    <tabColor theme="0"/>
  </sheetPr>
  <dimension ref="A10:AV47"/>
  <sheetViews>
    <sheetView topLeftCell="A10" zoomScale="70" zoomScaleNormal="70" workbookViewId="0">
      <selection activeCell="AE23" sqref="AE2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20.140625" style="1" customWidth="1"/>
    <col min="19" max="19" width="16" style="1" customWidth="1"/>
    <col min="20" max="20" width="16.140625" style="1" customWidth="1"/>
    <col min="21" max="21" width="16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4.5703125" style="1" customWidth="1"/>
    <col min="28" max="28" width="7" style="1" hidden="1" customWidth="1"/>
    <col min="29" max="29" width="17.140625" style="1" customWidth="1"/>
    <col min="30" max="30" width="12.28515625" style="1" customWidth="1"/>
    <col min="31" max="31" width="22.42578125" style="1" bestFit="1" customWidth="1"/>
    <col min="32" max="32" width="14" style="1" customWidth="1"/>
    <col min="33" max="33" width="18.5703125" style="1" bestFit="1" customWidth="1"/>
    <col min="34" max="35" width="18.5703125" style="1" customWidth="1"/>
    <col min="36" max="36" width="12.42578125" style="1" bestFit="1" customWidth="1"/>
    <col min="37" max="37" width="11.140625" style="1" customWidth="1"/>
    <col min="38" max="38" width="14.28515625" style="1" bestFit="1" customWidth="1"/>
    <col min="39" max="39" width="10.28515625" style="1" bestFit="1" customWidth="1"/>
    <col min="40" max="40" width="9.140625" style="1"/>
    <col min="41" max="41" width="10.7109375" style="1" bestFit="1" customWidth="1"/>
    <col min="42" max="16384" width="9.140625" style="1"/>
  </cols>
  <sheetData>
    <row r="10" spans="1:38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</row>
    <row r="11" spans="1:38" ht="34.5" x14ac:dyDescent="0.45">
      <c r="A11" s="315" t="s">
        <v>139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</row>
    <row r="12" spans="1:38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8" ht="22.5" thickBot="1" x14ac:dyDescent="0.35"/>
    <row r="14" spans="1:38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8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1"/>
    </row>
    <row r="16" spans="1:38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49" t="s">
        <v>133</v>
      </c>
      <c r="U16" s="350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7" t="s">
        <v>40</v>
      </c>
      <c r="AH16" s="57" t="s">
        <v>41</v>
      </c>
      <c r="AI16" s="57" t="s">
        <v>41</v>
      </c>
      <c r="AJ16" s="57" t="s">
        <v>12</v>
      </c>
      <c r="AK16" s="145" t="s">
        <v>13</v>
      </c>
    </row>
    <row r="17" spans="1:48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4.9000000000000004</v>
      </c>
      <c r="AG17" s="11">
        <v>10</v>
      </c>
      <c r="AH17" s="11">
        <v>10</v>
      </c>
      <c r="AI17" s="11">
        <v>40</v>
      </c>
      <c r="AJ17" s="12"/>
      <c r="AK17" s="12"/>
    </row>
    <row r="18" spans="1:48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3"/>
      <c r="AG18" s="10"/>
      <c r="AH18" s="10"/>
      <c r="AI18" s="10"/>
      <c r="AJ18" s="10"/>
      <c r="AK18" s="10"/>
    </row>
    <row r="19" spans="1:48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19" t="s">
        <v>22</v>
      </c>
      <c r="AH19" s="19" t="s">
        <v>22</v>
      </c>
      <c r="AI19" s="19" t="s">
        <v>22</v>
      </c>
      <c r="AJ19" s="19" t="s">
        <v>22</v>
      </c>
      <c r="AK19" s="19" t="s">
        <v>20</v>
      </c>
    </row>
    <row r="20" spans="1:48" ht="68.25" customHeight="1" x14ac:dyDescent="0.3">
      <c r="A20" s="56">
        <v>45635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'12-2-8, 2024'!P24</f>
        <v>1120</v>
      </c>
      <c r="Q20" s="21">
        <f>'12-2-8, 2024'!Q24</f>
        <v>350</v>
      </c>
      <c r="R20" s="21"/>
      <c r="S20" s="21">
        <v>0</v>
      </c>
      <c r="T20" s="21">
        <f>'12-2-8, 2024'!R24</f>
        <v>8600</v>
      </c>
      <c r="U20" s="21">
        <f>'12-2-8, 2024'!S24</f>
        <v>1000</v>
      </c>
      <c r="V20" s="21">
        <f>'12-2-8, 2024'!T24</f>
        <v>3536</v>
      </c>
      <c r="W20" s="21">
        <f>'12-2-8, 2024'!U24</f>
        <v>425</v>
      </c>
      <c r="X20" s="21">
        <f>'12-2-8, 2024'!V24</f>
        <v>0</v>
      </c>
      <c r="Y20" s="21">
        <f>'12-2-8, 2024'!W24</f>
        <v>0</v>
      </c>
      <c r="Z20" s="21" t="e">
        <f>'12-2-8, 2024'!X24</f>
        <v>#REF!</v>
      </c>
      <c r="AA20" s="21">
        <f>'12-2-8, 2024'!Y24</f>
        <v>25</v>
      </c>
      <c r="AB20" s="21" t="e">
        <f>'12-2-8, 2024'!Z24</f>
        <v>#REF!</v>
      </c>
      <c r="AC20" s="21">
        <f>'12-2-8, 2024'!AA24</f>
        <v>2496</v>
      </c>
      <c r="AD20" s="21">
        <f>'12-2-8, 2024'!AB24</f>
        <v>160</v>
      </c>
      <c r="AE20" s="21">
        <f>'12-2-8, 2024'!AC24</f>
        <v>0</v>
      </c>
      <c r="AF20" s="21">
        <f>'12-2-8, 2024'!AD24</f>
        <v>5695</v>
      </c>
      <c r="AG20" s="21">
        <f>'12-2-8, 2024'!AE24</f>
        <v>0</v>
      </c>
      <c r="AH20" s="21">
        <f>'12-2-8, 2024'!AF24</f>
        <v>3285</v>
      </c>
      <c r="AI20" s="21">
        <f>'12-2-8, 2024'!AG24</f>
        <v>0</v>
      </c>
      <c r="AJ20" s="21">
        <f>'12-2-8, 2024'!AH24</f>
        <v>0</v>
      </c>
      <c r="AK20" s="21">
        <f>'12-2-8, 2024'!AI24</f>
        <v>96</v>
      </c>
      <c r="AL20" s="28"/>
    </row>
    <row r="21" spans="1:48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>
        <v>27300</v>
      </c>
      <c r="S21" s="26">
        <f>R21/91*25</f>
        <v>7500</v>
      </c>
      <c r="T21" s="25"/>
      <c r="U21" s="26">
        <f>T21/215*25</f>
        <v>0</v>
      </c>
      <c r="V21" s="23"/>
      <c r="W21" s="26">
        <f>V21/208*25</f>
        <v>0</v>
      </c>
      <c r="X21" s="23"/>
      <c r="Y21" s="26"/>
      <c r="Z21" s="23"/>
      <c r="AA21" s="23"/>
      <c r="AB21" s="23"/>
      <c r="AC21" s="23">
        <v>1000</v>
      </c>
      <c r="AD21" s="23">
        <v>300</v>
      </c>
      <c r="AE21" s="23"/>
      <c r="AF21" s="23">
        <v>6600</v>
      </c>
      <c r="AG21" s="31"/>
      <c r="AH21" s="31">
        <v>5000</v>
      </c>
      <c r="AI21" s="31">
        <v>3000</v>
      </c>
      <c r="AJ21" s="23"/>
      <c r="AK21" s="32"/>
      <c r="AM21" s="33"/>
    </row>
    <row r="22" spans="1:48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K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1120</v>
      </c>
      <c r="Q22" s="34">
        <f t="shared" si="0"/>
        <v>350</v>
      </c>
      <c r="R22" s="34">
        <f>R20+R21</f>
        <v>27300</v>
      </c>
      <c r="S22" s="34">
        <f t="shared" ref="S22" si="1">S20+S21</f>
        <v>7500</v>
      </c>
      <c r="T22" s="34">
        <f>T20+T21</f>
        <v>8600</v>
      </c>
      <c r="U22" s="34">
        <f t="shared" ref="U22" si="2">U20+U21</f>
        <v>1000</v>
      </c>
      <c r="V22" s="34">
        <f t="shared" si="0"/>
        <v>3536</v>
      </c>
      <c r="W22" s="34">
        <f>W20+W21</f>
        <v>425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25</v>
      </c>
      <c r="AB22" s="34" t="e">
        <f t="shared" si="0"/>
        <v>#REF!</v>
      </c>
      <c r="AC22" s="34">
        <f t="shared" si="0"/>
        <v>3496</v>
      </c>
      <c r="AD22" s="34">
        <f t="shared" si="0"/>
        <v>460</v>
      </c>
      <c r="AE22" s="34">
        <f t="shared" si="0"/>
        <v>0</v>
      </c>
      <c r="AF22" s="34">
        <f t="shared" si="0"/>
        <v>12295</v>
      </c>
      <c r="AG22" s="34">
        <f t="shared" si="0"/>
        <v>0</v>
      </c>
      <c r="AH22" s="34">
        <f t="shared" si="0"/>
        <v>8285</v>
      </c>
      <c r="AI22" s="34">
        <f t="shared" si="0"/>
        <v>3000</v>
      </c>
      <c r="AJ22" s="34">
        <f t="shared" si="0"/>
        <v>0</v>
      </c>
      <c r="AK22" s="34">
        <f t="shared" si="0"/>
        <v>96</v>
      </c>
    </row>
    <row r="23" spans="1:48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>
        <v>1120</v>
      </c>
      <c r="Q23" s="21">
        <f>P23/80*25</f>
        <v>350</v>
      </c>
      <c r="R23" s="30">
        <v>3458</v>
      </c>
      <c r="S23" s="21">
        <f>R23/91*25</f>
        <v>950</v>
      </c>
      <c r="T23" s="30">
        <v>3655</v>
      </c>
      <c r="U23" s="21">
        <f>T23/215*25</f>
        <v>425</v>
      </c>
      <c r="V23" s="30">
        <v>3536</v>
      </c>
      <c r="W23" s="26">
        <f>V23/208*25</f>
        <v>425</v>
      </c>
      <c r="X23" s="22"/>
      <c r="Y23" s="24"/>
      <c r="Z23" s="30"/>
      <c r="AA23" s="30"/>
      <c r="AB23" s="30"/>
      <c r="AC23" s="36">
        <v>150</v>
      </c>
      <c r="AD23" s="22">
        <v>58</v>
      </c>
      <c r="AE23" s="22"/>
      <c r="AF23" s="30">
        <v>552</v>
      </c>
      <c r="AG23" s="30"/>
      <c r="AH23" s="30">
        <v>1155</v>
      </c>
      <c r="AI23" s="30">
        <v>375</v>
      </c>
      <c r="AJ23" s="22"/>
      <c r="AK23" s="38"/>
    </row>
    <row r="24" spans="1:48" s="3" customFormat="1" ht="100.5" customHeight="1" thickBot="1" x14ac:dyDescent="0.25">
      <c r="A24" s="39">
        <v>45641</v>
      </c>
      <c r="B24" s="336" t="s">
        <v>28</v>
      </c>
      <c r="C24" s="337"/>
      <c r="D24" s="40">
        <f>D22-D23</f>
        <v>0</v>
      </c>
      <c r="E24" s="40">
        <f t="shared" ref="E24:AJ24" si="3">E22-E23</f>
        <v>0</v>
      </c>
      <c r="F24" s="40">
        <f>F22-F23</f>
        <v>0</v>
      </c>
      <c r="G24" s="40">
        <f t="shared" si="3"/>
        <v>0</v>
      </c>
      <c r="H24" s="41" t="e">
        <f t="shared" si="3"/>
        <v>#REF!</v>
      </c>
      <c r="I24" s="41" t="e">
        <f t="shared" si="3"/>
        <v>#REF!</v>
      </c>
      <c r="J24" s="41">
        <f>J22-J23</f>
        <v>0</v>
      </c>
      <c r="K24" s="42">
        <f t="shared" ref="K24" si="4">K22-K23</f>
        <v>0</v>
      </c>
      <c r="L24" s="41">
        <f>L22-L23</f>
        <v>0</v>
      </c>
      <c r="M24" s="42">
        <f>M22-M23</f>
        <v>0</v>
      </c>
      <c r="N24" s="41" t="e">
        <f t="shared" ref="N24:U24" si="5">N22-N23</f>
        <v>#REF!</v>
      </c>
      <c r="O24" s="41" t="e">
        <f t="shared" si="5"/>
        <v>#REF!</v>
      </c>
      <c r="P24" s="40">
        <f>P22-P23</f>
        <v>0</v>
      </c>
      <c r="Q24" s="40">
        <f t="shared" si="5"/>
        <v>0</v>
      </c>
      <c r="R24" s="40">
        <f>R22-R23</f>
        <v>23842</v>
      </c>
      <c r="S24" s="40">
        <f t="shared" ref="S24" si="6">S22-S23</f>
        <v>6550</v>
      </c>
      <c r="T24" s="40">
        <f t="shared" si="5"/>
        <v>4945</v>
      </c>
      <c r="U24" s="40">
        <f t="shared" si="5"/>
        <v>575</v>
      </c>
      <c r="V24" s="40">
        <f>V22-V23</f>
        <v>0</v>
      </c>
      <c r="W24" s="40">
        <f>W22-W23</f>
        <v>0</v>
      </c>
      <c r="X24" s="40">
        <f>X22-X23</f>
        <v>0</v>
      </c>
      <c r="Y24" s="42">
        <f t="shared" ref="Y24" si="7">Y22-Y23</f>
        <v>0</v>
      </c>
      <c r="Z24" s="41" t="e">
        <f t="shared" si="3"/>
        <v>#REF!</v>
      </c>
      <c r="AA24" s="41">
        <f>AA22-AA23</f>
        <v>25</v>
      </c>
      <c r="AB24" s="41" t="e">
        <f t="shared" si="3"/>
        <v>#REF!</v>
      </c>
      <c r="AC24" s="93">
        <f>AC22-AC23</f>
        <v>3346</v>
      </c>
      <c r="AD24" s="40">
        <f t="shared" si="3"/>
        <v>402</v>
      </c>
      <c r="AE24" s="40">
        <f t="shared" si="3"/>
        <v>0</v>
      </c>
      <c r="AF24" s="41">
        <f t="shared" si="3"/>
        <v>11743</v>
      </c>
      <c r="AG24" s="41">
        <f t="shared" si="3"/>
        <v>0</v>
      </c>
      <c r="AH24" s="41">
        <f t="shared" si="3"/>
        <v>7130</v>
      </c>
      <c r="AI24" s="41">
        <f t="shared" si="3"/>
        <v>2625</v>
      </c>
      <c r="AJ24" s="40">
        <f t="shared" si="3"/>
        <v>0</v>
      </c>
      <c r="AK24" s="44">
        <f>AK22-AK23</f>
        <v>96</v>
      </c>
    </row>
    <row r="25" spans="1:48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8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48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G27" s="47"/>
      <c r="AH27" s="47"/>
      <c r="AI27" s="47"/>
      <c r="AJ27" s="46"/>
      <c r="AK27" s="46"/>
    </row>
    <row r="28" spans="1:48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G28" s="49"/>
      <c r="AH28" s="49"/>
      <c r="AI28" s="49"/>
      <c r="AJ28" s="49"/>
      <c r="AK28" s="49"/>
      <c r="AL28" s="46"/>
    </row>
    <row r="29" spans="1:48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G29" s="49"/>
      <c r="AH29" s="49"/>
      <c r="AI29" s="49"/>
      <c r="AJ29" s="49"/>
      <c r="AK29" s="49"/>
      <c r="AL29" s="46"/>
    </row>
    <row r="30" spans="1:48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46"/>
      <c r="S30" s="50"/>
      <c r="T30" s="50" t="s">
        <v>31</v>
      </c>
      <c r="W30" s="50"/>
      <c r="AD30" s="51" t="s">
        <v>117</v>
      </c>
      <c r="AL30" s="46"/>
    </row>
    <row r="31" spans="1:48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6"/>
      <c r="S31" s="48"/>
      <c r="T31" s="48" t="s">
        <v>64</v>
      </c>
      <c r="W31" s="46"/>
      <c r="X31" s="46"/>
      <c r="AD31" s="46" t="s">
        <v>118</v>
      </c>
      <c r="AG31" s="46"/>
      <c r="AH31" s="46"/>
      <c r="AI31" s="46"/>
      <c r="AJ31" s="46"/>
      <c r="AK31" s="46"/>
    </row>
    <row r="32" spans="1:48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6"/>
      <c r="S32" s="48"/>
      <c r="T32" s="48" t="s">
        <v>46</v>
      </c>
      <c r="W32" s="46"/>
      <c r="X32" s="46"/>
      <c r="Y32" s="46"/>
      <c r="Z32" s="46"/>
      <c r="AA32" s="46"/>
      <c r="AB32" s="46"/>
      <c r="AD32" s="46" t="s">
        <v>46</v>
      </c>
      <c r="AG32" s="46"/>
      <c r="AH32" s="46"/>
      <c r="AI32" s="46"/>
      <c r="AJ32" s="83"/>
      <c r="AK32" s="84"/>
      <c r="AL32" s="85"/>
      <c r="AM32" s="86"/>
      <c r="AN32" s="87"/>
      <c r="AO32" s="86"/>
      <c r="AP32" s="88"/>
      <c r="AQ32" s="84"/>
      <c r="AR32" s="84"/>
      <c r="AS32" s="86"/>
      <c r="AT32" s="86"/>
      <c r="AU32" s="86"/>
      <c r="AV32" s="84"/>
    </row>
    <row r="33" spans="1:38" s="46" customFormat="1" ht="24" customHeight="1" x14ac:dyDescent="0.35">
      <c r="A33" s="48" t="s">
        <v>112</v>
      </c>
      <c r="T33" s="46" t="s">
        <v>65</v>
      </c>
      <c r="Z33" s="53"/>
      <c r="AA33" s="53"/>
      <c r="AE33" s="54"/>
    </row>
    <row r="34" spans="1:38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52"/>
    </row>
    <row r="36" spans="1:38" ht="22.5" x14ac:dyDescent="0.35">
      <c r="B36" s="55"/>
      <c r="C36" s="55"/>
      <c r="D36" s="55"/>
      <c r="E36" s="55"/>
    </row>
    <row r="37" spans="1:38" ht="15.75" customHeight="1" x14ac:dyDescent="0.3"/>
    <row r="40" spans="1:38" ht="15.75" customHeight="1" x14ac:dyDescent="0.3"/>
    <row r="42" spans="1:38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4" spans="1:38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7" spans="1:38" ht="22.5" x14ac:dyDescent="0.35">
      <c r="A47" s="55"/>
    </row>
  </sheetData>
  <mergeCells count="44">
    <mergeCell ref="N17:O17"/>
    <mergeCell ref="V16:W16"/>
    <mergeCell ref="X16:Y16"/>
    <mergeCell ref="A10:AL10"/>
    <mergeCell ref="A11:AL11"/>
    <mergeCell ref="A14:C15"/>
    <mergeCell ref="D14:AK15"/>
    <mergeCell ref="A16:A19"/>
    <mergeCell ref="B16:C19"/>
    <mergeCell ref="D16:E16"/>
    <mergeCell ref="F16:G16"/>
    <mergeCell ref="H16:I16"/>
    <mergeCell ref="J16:K16"/>
    <mergeCell ref="V17:W17"/>
    <mergeCell ref="X17:Y17"/>
    <mergeCell ref="D18:E18"/>
    <mergeCell ref="B24:C24"/>
    <mergeCell ref="P18:Q18"/>
    <mergeCell ref="R18:S18"/>
    <mergeCell ref="V18:W18"/>
    <mergeCell ref="X18:Y18"/>
    <mergeCell ref="B20:C20"/>
    <mergeCell ref="A21:C21"/>
    <mergeCell ref="H18:I18"/>
    <mergeCell ref="J18:K18"/>
    <mergeCell ref="L18:M18"/>
    <mergeCell ref="N18:O18"/>
    <mergeCell ref="F18:G18"/>
    <mergeCell ref="T16:U16"/>
    <mergeCell ref="T17:U17"/>
    <mergeCell ref="T18:U18"/>
    <mergeCell ref="A22:C22"/>
    <mergeCell ref="A23:C23"/>
    <mergeCell ref="P17:Q17"/>
    <mergeCell ref="R17:S17"/>
    <mergeCell ref="L16:M16"/>
    <mergeCell ref="N16:O16"/>
    <mergeCell ref="P16:Q16"/>
    <mergeCell ref="R16:S16"/>
    <mergeCell ref="D17:E17"/>
    <mergeCell ref="F17:G17"/>
    <mergeCell ref="H17:I17"/>
    <mergeCell ref="J17:K17"/>
    <mergeCell ref="L17:M17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2">
    <tabColor theme="0"/>
  </sheetPr>
  <dimension ref="A10:AV47"/>
  <sheetViews>
    <sheetView topLeftCell="A10" zoomScale="70" zoomScaleNormal="70" workbookViewId="0">
      <selection activeCell="V24" sqref="V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20.140625" style="1" customWidth="1"/>
    <col min="19" max="19" width="16" style="1" customWidth="1"/>
    <col min="20" max="20" width="16.140625" style="1" customWidth="1"/>
    <col min="21" max="21" width="16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4.5703125" style="1" customWidth="1"/>
    <col min="28" max="28" width="7" style="1" hidden="1" customWidth="1"/>
    <col min="29" max="29" width="17.140625" style="1" customWidth="1"/>
    <col min="30" max="30" width="12.28515625" style="1" customWidth="1"/>
    <col min="31" max="31" width="22.42578125" style="1" bestFit="1" customWidth="1"/>
    <col min="32" max="32" width="14" style="1" customWidth="1"/>
    <col min="33" max="33" width="18.5703125" style="1" bestFit="1" customWidth="1"/>
    <col min="34" max="35" width="18.5703125" style="1" customWidth="1"/>
    <col min="36" max="36" width="12.42578125" style="1" bestFit="1" customWidth="1"/>
    <col min="37" max="37" width="11.140625" style="1" customWidth="1"/>
    <col min="38" max="38" width="14.28515625" style="1" bestFit="1" customWidth="1"/>
    <col min="39" max="39" width="10.28515625" style="1" bestFit="1" customWidth="1"/>
    <col min="40" max="40" width="9.140625" style="1"/>
    <col min="41" max="41" width="10.7109375" style="1" bestFit="1" customWidth="1"/>
    <col min="42" max="16384" width="9.140625" style="1"/>
  </cols>
  <sheetData>
    <row r="10" spans="1:38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</row>
    <row r="11" spans="1:38" ht="34.5" x14ac:dyDescent="0.45">
      <c r="A11" s="315" t="s">
        <v>140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</row>
    <row r="12" spans="1:38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8" ht="22.5" thickBot="1" x14ac:dyDescent="0.35"/>
    <row r="14" spans="1:38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8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1"/>
    </row>
    <row r="16" spans="1:38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49" t="s">
        <v>133</v>
      </c>
      <c r="U16" s="350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7" t="s">
        <v>40</v>
      </c>
      <c r="AH16" s="57" t="s">
        <v>41</v>
      </c>
      <c r="AI16" s="57" t="s">
        <v>41</v>
      </c>
      <c r="AJ16" s="57" t="s">
        <v>12</v>
      </c>
      <c r="AK16" s="146" t="s">
        <v>13</v>
      </c>
    </row>
    <row r="17" spans="1:48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4.9000000000000004</v>
      </c>
      <c r="AG17" s="11">
        <v>10</v>
      </c>
      <c r="AH17" s="11">
        <v>10</v>
      </c>
      <c r="AI17" s="11">
        <v>40</v>
      </c>
      <c r="AJ17" s="12"/>
      <c r="AK17" s="12"/>
    </row>
    <row r="18" spans="1:48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47"/>
      <c r="AG18" s="10"/>
      <c r="AH18" s="10"/>
      <c r="AI18" s="10"/>
      <c r="AJ18" s="10"/>
      <c r="AK18" s="10"/>
    </row>
    <row r="19" spans="1:48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19" t="s">
        <v>22</v>
      </c>
      <c r="AH19" s="19" t="s">
        <v>22</v>
      </c>
      <c r="AI19" s="19" t="s">
        <v>22</v>
      </c>
      <c r="AJ19" s="19" t="s">
        <v>22</v>
      </c>
      <c r="AK19" s="19" t="s">
        <v>20</v>
      </c>
    </row>
    <row r="20" spans="1:48" ht="68.25" customHeight="1" x14ac:dyDescent="0.3">
      <c r="A20" s="56">
        <v>45642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'12-9-15, 2024'!P24</f>
        <v>0</v>
      </c>
      <c r="Q20" s="21">
        <f>'12-9-15, 2024'!Q24</f>
        <v>0</v>
      </c>
      <c r="R20" s="21">
        <f>'12-9-15, 2024'!R24</f>
        <v>23842</v>
      </c>
      <c r="S20" s="21">
        <f>'12-9-15, 2024'!S24</f>
        <v>6550</v>
      </c>
      <c r="T20" s="21">
        <f>'12-9-15, 2024'!T24</f>
        <v>4945</v>
      </c>
      <c r="U20" s="21">
        <f>'12-9-15, 2024'!U24</f>
        <v>575</v>
      </c>
      <c r="V20" s="21">
        <f>'12-9-15, 2024'!V24</f>
        <v>0</v>
      </c>
      <c r="W20" s="21">
        <f>'12-9-15, 2024'!W24</f>
        <v>0</v>
      </c>
      <c r="X20" s="21">
        <f>'12-9-15, 2024'!X24</f>
        <v>0</v>
      </c>
      <c r="Y20" s="21">
        <f>'12-9-15, 2024'!Y24</f>
        <v>0</v>
      </c>
      <c r="Z20" s="21" t="e">
        <f>'12-9-15, 2024'!Z24</f>
        <v>#REF!</v>
      </c>
      <c r="AA20" s="21">
        <f>'12-9-15, 2024'!AA24</f>
        <v>25</v>
      </c>
      <c r="AB20" s="21" t="e">
        <f>'12-9-15, 2024'!AB24</f>
        <v>#REF!</v>
      </c>
      <c r="AC20" s="21">
        <f>'12-9-15, 2024'!AC24</f>
        <v>3346</v>
      </c>
      <c r="AD20" s="21">
        <f>'12-9-15, 2024'!AD24</f>
        <v>402</v>
      </c>
      <c r="AE20" s="21">
        <f>'12-9-15, 2024'!AE24</f>
        <v>0</v>
      </c>
      <c r="AF20" s="21">
        <f>'12-9-15, 2024'!AF24</f>
        <v>11743</v>
      </c>
      <c r="AG20" s="21">
        <f>'12-9-15, 2024'!AG24</f>
        <v>0</v>
      </c>
      <c r="AH20" s="21">
        <f>'12-9-15, 2024'!AH24</f>
        <v>7130</v>
      </c>
      <c r="AI20" s="21">
        <f>'12-9-15, 2024'!AI24</f>
        <v>2625</v>
      </c>
      <c r="AJ20" s="21">
        <f>'12-9-15, 2024'!AJ24</f>
        <v>0</v>
      </c>
      <c r="AK20" s="21">
        <f>'12-9-15, 2024'!AK24</f>
        <v>96</v>
      </c>
      <c r="AL20" s="28"/>
    </row>
    <row r="21" spans="1:48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R21/91*25</f>
        <v>0</v>
      </c>
      <c r="T21" s="25"/>
      <c r="U21" s="26">
        <f>T21/215*25</f>
        <v>0</v>
      </c>
      <c r="V21" s="23"/>
      <c r="W21" s="26">
        <f>V21/208*25</f>
        <v>0</v>
      </c>
      <c r="X21" s="23"/>
      <c r="Y21" s="26"/>
      <c r="Z21" s="23"/>
      <c r="AA21" s="23"/>
      <c r="AB21" s="23"/>
      <c r="AC21" s="23"/>
      <c r="AD21" s="23"/>
      <c r="AE21" s="23"/>
      <c r="AF21" s="23"/>
      <c r="AG21" s="31"/>
      <c r="AH21" s="31"/>
      <c r="AI21" s="31"/>
      <c r="AJ21" s="23"/>
      <c r="AK21" s="32"/>
      <c r="AM21" s="33"/>
    </row>
    <row r="22" spans="1:48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K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0</v>
      </c>
      <c r="Q22" s="34">
        <f t="shared" si="0"/>
        <v>0</v>
      </c>
      <c r="R22" s="34">
        <f>R20+R21</f>
        <v>23842</v>
      </c>
      <c r="S22" s="34">
        <f t="shared" ref="S22" si="1">S20+S21</f>
        <v>6550</v>
      </c>
      <c r="T22" s="34">
        <f>T20+T21</f>
        <v>4945</v>
      </c>
      <c r="U22" s="34">
        <f t="shared" ref="U22" si="2">U20+U21</f>
        <v>575</v>
      </c>
      <c r="V22" s="34">
        <f t="shared" si="0"/>
        <v>0</v>
      </c>
      <c r="W22" s="34">
        <f>W20+W21</f>
        <v>0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25</v>
      </c>
      <c r="AB22" s="34" t="e">
        <f t="shared" si="0"/>
        <v>#REF!</v>
      </c>
      <c r="AC22" s="34">
        <f t="shared" si="0"/>
        <v>3346</v>
      </c>
      <c r="AD22" s="34">
        <f t="shared" si="0"/>
        <v>402</v>
      </c>
      <c r="AE22" s="34">
        <f t="shared" si="0"/>
        <v>0</v>
      </c>
      <c r="AF22" s="34">
        <f t="shared" si="0"/>
        <v>11743</v>
      </c>
      <c r="AG22" s="34">
        <f t="shared" si="0"/>
        <v>0</v>
      </c>
      <c r="AH22" s="34">
        <f t="shared" si="0"/>
        <v>7130</v>
      </c>
      <c r="AI22" s="34">
        <f t="shared" si="0"/>
        <v>2625</v>
      </c>
      <c r="AJ22" s="34">
        <f t="shared" si="0"/>
        <v>0</v>
      </c>
      <c r="AK22" s="34">
        <f t="shared" si="0"/>
        <v>96</v>
      </c>
    </row>
    <row r="23" spans="1:48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P23/80*25</f>
        <v>0</v>
      </c>
      <c r="R23" s="30">
        <v>6734</v>
      </c>
      <c r="S23" s="21">
        <f>R23/91*25</f>
        <v>1850</v>
      </c>
      <c r="T23" s="30"/>
      <c r="U23" s="21">
        <f>T23/215*25</f>
        <v>0</v>
      </c>
      <c r="V23" s="30"/>
      <c r="W23" s="26">
        <f>V23/208*25</f>
        <v>0</v>
      </c>
      <c r="X23" s="22"/>
      <c r="Y23" s="24"/>
      <c r="Z23" s="30"/>
      <c r="AA23" s="30"/>
      <c r="AB23" s="30"/>
      <c r="AC23" s="36">
        <v>70</v>
      </c>
      <c r="AD23" s="22">
        <v>53</v>
      </c>
      <c r="AE23" s="22"/>
      <c r="AF23" s="30">
        <v>531</v>
      </c>
      <c r="AG23" s="30"/>
      <c r="AH23" s="30">
        <v>255</v>
      </c>
      <c r="AI23" s="30">
        <v>600</v>
      </c>
      <c r="AJ23" s="22"/>
      <c r="AK23" s="38"/>
    </row>
    <row r="24" spans="1:48" s="3" customFormat="1" ht="100.5" customHeight="1" thickBot="1" x14ac:dyDescent="0.25">
      <c r="A24" s="39">
        <v>45648</v>
      </c>
      <c r="B24" s="336" t="s">
        <v>28</v>
      </c>
      <c r="C24" s="337"/>
      <c r="D24" s="40">
        <f>D22-D23</f>
        <v>0</v>
      </c>
      <c r="E24" s="40">
        <f t="shared" ref="E24:AJ24" si="3">E22-E23</f>
        <v>0</v>
      </c>
      <c r="F24" s="40">
        <f>F22-F23</f>
        <v>0</v>
      </c>
      <c r="G24" s="40">
        <f t="shared" si="3"/>
        <v>0</v>
      </c>
      <c r="H24" s="41" t="e">
        <f t="shared" si="3"/>
        <v>#REF!</v>
      </c>
      <c r="I24" s="41" t="e">
        <f t="shared" si="3"/>
        <v>#REF!</v>
      </c>
      <c r="J24" s="41">
        <f>J22-J23</f>
        <v>0</v>
      </c>
      <c r="K24" s="42">
        <f t="shared" ref="K24" si="4">K22-K23</f>
        <v>0</v>
      </c>
      <c r="L24" s="41">
        <f>L22-L23</f>
        <v>0</v>
      </c>
      <c r="M24" s="42">
        <f>M22-M23</f>
        <v>0</v>
      </c>
      <c r="N24" s="41" t="e">
        <f t="shared" ref="N24:U24" si="5">N22-N23</f>
        <v>#REF!</v>
      </c>
      <c r="O24" s="41" t="e">
        <f t="shared" si="5"/>
        <v>#REF!</v>
      </c>
      <c r="P24" s="40">
        <f>P22-P23</f>
        <v>0</v>
      </c>
      <c r="Q24" s="40">
        <f t="shared" si="5"/>
        <v>0</v>
      </c>
      <c r="R24" s="40">
        <f>R22-R23</f>
        <v>17108</v>
      </c>
      <c r="S24" s="40">
        <f t="shared" ref="S24" si="6">S22-S23</f>
        <v>4700</v>
      </c>
      <c r="T24" s="40">
        <f t="shared" si="5"/>
        <v>4945</v>
      </c>
      <c r="U24" s="40">
        <f t="shared" si="5"/>
        <v>575</v>
      </c>
      <c r="V24" s="40">
        <f>V22-V23</f>
        <v>0</v>
      </c>
      <c r="W24" s="40">
        <f>W22-W23</f>
        <v>0</v>
      </c>
      <c r="X24" s="40">
        <f>X22-X23</f>
        <v>0</v>
      </c>
      <c r="Y24" s="42">
        <f t="shared" ref="Y24" si="7">Y22-Y23</f>
        <v>0</v>
      </c>
      <c r="Z24" s="41" t="e">
        <f t="shared" si="3"/>
        <v>#REF!</v>
      </c>
      <c r="AA24" s="41">
        <f>AA22-AA23</f>
        <v>25</v>
      </c>
      <c r="AB24" s="41" t="e">
        <f t="shared" si="3"/>
        <v>#REF!</v>
      </c>
      <c r="AC24" s="93">
        <f>AC22-AC23</f>
        <v>3276</v>
      </c>
      <c r="AD24" s="40">
        <f t="shared" si="3"/>
        <v>349</v>
      </c>
      <c r="AE24" s="40">
        <f t="shared" si="3"/>
        <v>0</v>
      </c>
      <c r="AF24" s="41">
        <f t="shared" si="3"/>
        <v>11212</v>
      </c>
      <c r="AG24" s="41">
        <f t="shared" si="3"/>
        <v>0</v>
      </c>
      <c r="AH24" s="41">
        <f>AH22-AH23</f>
        <v>6875</v>
      </c>
      <c r="AI24" s="41">
        <f t="shared" si="3"/>
        <v>2025</v>
      </c>
      <c r="AJ24" s="40">
        <f t="shared" si="3"/>
        <v>0</v>
      </c>
      <c r="AK24" s="44">
        <f>AK22-AK23</f>
        <v>96</v>
      </c>
    </row>
    <row r="25" spans="1:48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8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48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G27" s="47"/>
      <c r="AH27" s="47"/>
      <c r="AI27" s="47"/>
      <c r="AJ27" s="46"/>
      <c r="AK27" s="46"/>
    </row>
    <row r="28" spans="1:48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G28" s="49"/>
      <c r="AH28" s="49"/>
      <c r="AI28" s="49"/>
      <c r="AJ28" s="49"/>
      <c r="AK28" s="49"/>
      <c r="AL28" s="46"/>
    </row>
    <row r="29" spans="1:48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G29" s="49"/>
      <c r="AH29" s="49"/>
      <c r="AI29" s="49"/>
      <c r="AJ29" s="49"/>
      <c r="AK29" s="49"/>
      <c r="AL29" s="46"/>
    </row>
    <row r="30" spans="1:48" s="45" customFormat="1" ht="24" customHeight="1" x14ac:dyDescent="0.35">
      <c r="A30" s="50" t="s">
        <v>111</v>
      </c>
      <c r="B30" s="46"/>
      <c r="H30" s="51"/>
      <c r="I30" s="51"/>
      <c r="J30" s="51"/>
      <c r="N30" s="46"/>
      <c r="O30" s="46"/>
      <c r="P30" s="46"/>
      <c r="Q30" s="50"/>
      <c r="R30" s="46"/>
      <c r="S30" s="50"/>
      <c r="T30" s="50" t="s">
        <v>31</v>
      </c>
      <c r="W30" s="50"/>
      <c r="AD30" s="51" t="s">
        <v>117</v>
      </c>
      <c r="AL30" s="46"/>
    </row>
    <row r="31" spans="1:48" s="45" customFormat="1" ht="21.75" customHeight="1" x14ac:dyDescent="0.35">
      <c r="A31" s="48" t="s">
        <v>44</v>
      </c>
      <c r="B31" s="46"/>
      <c r="C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46"/>
      <c r="S31" s="48"/>
      <c r="T31" s="48" t="s">
        <v>64</v>
      </c>
      <c r="W31" s="46"/>
      <c r="X31" s="46"/>
      <c r="AD31" s="46" t="s">
        <v>118</v>
      </c>
      <c r="AG31" s="46"/>
      <c r="AH31" s="46"/>
      <c r="AI31" s="46"/>
      <c r="AJ31" s="46"/>
      <c r="AK31" s="46"/>
    </row>
    <row r="32" spans="1:48" s="45" customFormat="1" ht="26.25" customHeight="1" x14ac:dyDescent="0.35">
      <c r="A32" s="48" t="s">
        <v>33</v>
      </c>
      <c r="B32" s="46"/>
      <c r="C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46"/>
      <c r="S32" s="48"/>
      <c r="T32" s="48" t="s">
        <v>46</v>
      </c>
      <c r="W32" s="46"/>
      <c r="X32" s="46"/>
      <c r="Y32" s="46"/>
      <c r="Z32" s="46"/>
      <c r="AA32" s="46"/>
      <c r="AB32" s="46"/>
      <c r="AD32" s="46" t="s">
        <v>46</v>
      </c>
      <c r="AG32" s="46"/>
      <c r="AH32" s="46"/>
      <c r="AI32" s="46"/>
      <c r="AJ32" s="83"/>
      <c r="AK32" s="84"/>
      <c r="AL32" s="85"/>
      <c r="AM32" s="86"/>
      <c r="AN32" s="87"/>
      <c r="AO32" s="86"/>
      <c r="AP32" s="88"/>
      <c r="AQ32" s="84"/>
      <c r="AR32" s="84"/>
      <c r="AS32" s="86"/>
      <c r="AT32" s="86"/>
      <c r="AU32" s="86"/>
      <c r="AV32" s="84"/>
    </row>
    <row r="33" spans="1:38" s="46" customFormat="1" ht="24" customHeight="1" x14ac:dyDescent="0.35">
      <c r="A33" s="48" t="s">
        <v>112</v>
      </c>
      <c r="T33" s="46" t="s">
        <v>65</v>
      </c>
      <c r="Z33" s="53"/>
      <c r="AA33" s="53"/>
      <c r="AE33" s="54"/>
    </row>
    <row r="34" spans="1:38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52"/>
    </row>
    <row r="36" spans="1:38" ht="22.5" x14ac:dyDescent="0.35">
      <c r="B36" s="55"/>
      <c r="C36" s="55"/>
      <c r="D36" s="55"/>
      <c r="E36" s="55"/>
    </row>
    <row r="37" spans="1:38" ht="15.75" customHeight="1" x14ac:dyDescent="0.3"/>
    <row r="40" spans="1:38" ht="15.75" customHeight="1" x14ac:dyDescent="0.3"/>
    <row r="42" spans="1:38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4" spans="1:38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7" spans="1:38" ht="22.5" x14ac:dyDescent="0.35">
      <c r="A47" s="55"/>
    </row>
  </sheetData>
  <mergeCells count="44">
    <mergeCell ref="B24:C24"/>
    <mergeCell ref="T18:U18"/>
    <mergeCell ref="V18:W18"/>
    <mergeCell ref="X18:Y18"/>
    <mergeCell ref="B20:C20"/>
    <mergeCell ref="A21:C21"/>
    <mergeCell ref="A22:C22"/>
    <mergeCell ref="T17:U17"/>
    <mergeCell ref="F17:G17"/>
    <mergeCell ref="H17:I17"/>
    <mergeCell ref="J17:K17"/>
    <mergeCell ref="A23:C23"/>
    <mergeCell ref="N18:O18"/>
    <mergeCell ref="P18:Q18"/>
    <mergeCell ref="R18:S18"/>
    <mergeCell ref="N17:O17"/>
    <mergeCell ref="P17:Q17"/>
    <mergeCell ref="R17:S17"/>
    <mergeCell ref="D18:E18"/>
    <mergeCell ref="F18:G18"/>
    <mergeCell ref="H18:I18"/>
    <mergeCell ref="J18:K18"/>
    <mergeCell ref="L18:M18"/>
    <mergeCell ref="T16:U16"/>
    <mergeCell ref="A10:AL10"/>
    <mergeCell ref="A11:AL11"/>
    <mergeCell ref="A14:C15"/>
    <mergeCell ref="D14:AK15"/>
    <mergeCell ref="A16:A19"/>
    <mergeCell ref="B16:C19"/>
    <mergeCell ref="D16:E16"/>
    <mergeCell ref="F16:G16"/>
    <mergeCell ref="H16:I16"/>
    <mergeCell ref="J16:K16"/>
    <mergeCell ref="X16:Y16"/>
    <mergeCell ref="D17:E17"/>
    <mergeCell ref="V16:W16"/>
    <mergeCell ref="V17:W17"/>
    <mergeCell ref="X17:Y17"/>
    <mergeCell ref="L17:M17"/>
    <mergeCell ref="N16:O16"/>
    <mergeCell ref="L16:M16"/>
    <mergeCell ref="P16:Q16"/>
    <mergeCell ref="R16:S16"/>
  </mergeCells>
  <pageMargins left="0.39370078740157483" right="0.11811023622047245" top="0.39370078740157483" bottom="0.31496062992125984" header="0.31496062992125984" footer="0.31496062992125984"/>
  <pageSetup paperSize="9" scale="41" orientation="landscape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3">
    <tabColor theme="0"/>
  </sheetPr>
  <dimension ref="A10:AV47"/>
  <sheetViews>
    <sheetView topLeftCell="A16" zoomScale="70" zoomScaleNormal="70" workbookViewId="0">
      <selection activeCell="V37" sqref="V37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20.140625" style="1" customWidth="1"/>
    <col min="19" max="19" width="16" style="1" customWidth="1"/>
    <col min="20" max="20" width="16.140625" style="1" customWidth="1"/>
    <col min="21" max="21" width="16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4.5703125" style="1" customWidth="1"/>
    <col min="28" max="28" width="7" style="1" hidden="1" customWidth="1"/>
    <col min="29" max="29" width="17.140625" style="1" customWidth="1"/>
    <col min="30" max="30" width="12.28515625" style="1" customWidth="1"/>
    <col min="31" max="31" width="22.42578125" style="1" bestFit="1" customWidth="1"/>
    <col min="32" max="32" width="14" style="1" customWidth="1"/>
    <col min="33" max="33" width="18.5703125" style="1" bestFit="1" customWidth="1"/>
    <col min="34" max="35" width="18.5703125" style="1" customWidth="1"/>
    <col min="36" max="36" width="12.42578125" style="1" bestFit="1" customWidth="1"/>
    <col min="37" max="37" width="11.140625" style="1" customWidth="1"/>
    <col min="38" max="38" width="14.28515625" style="1" bestFit="1" customWidth="1"/>
    <col min="39" max="39" width="10.28515625" style="1" bestFit="1" customWidth="1"/>
    <col min="40" max="40" width="9.140625" style="1"/>
    <col min="41" max="41" width="10.7109375" style="1" bestFit="1" customWidth="1"/>
    <col min="42" max="16384" width="9.140625" style="1"/>
  </cols>
  <sheetData>
    <row r="10" spans="1:38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</row>
    <row r="11" spans="1:38" ht="34.5" x14ac:dyDescent="0.45">
      <c r="A11" s="315" t="s">
        <v>141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</row>
    <row r="12" spans="1:38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8" ht="22.5" thickBot="1" x14ac:dyDescent="0.35"/>
    <row r="14" spans="1:38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8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1"/>
    </row>
    <row r="16" spans="1:38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49" t="s">
        <v>133</v>
      </c>
      <c r="U16" s="350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7" t="s">
        <v>40</v>
      </c>
      <c r="AH16" s="57" t="s">
        <v>41</v>
      </c>
      <c r="AI16" s="57" t="s">
        <v>41</v>
      </c>
      <c r="AJ16" s="57" t="s">
        <v>12</v>
      </c>
      <c r="AK16" s="148" t="s">
        <v>13</v>
      </c>
    </row>
    <row r="17" spans="1:48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4.9000000000000004</v>
      </c>
      <c r="AG17" s="11">
        <v>10</v>
      </c>
      <c r="AH17" s="11">
        <v>10</v>
      </c>
      <c r="AI17" s="11">
        <v>40</v>
      </c>
      <c r="AJ17" s="12"/>
      <c r="AK17" s="12"/>
    </row>
    <row r="18" spans="1:48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49"/>
      <c r="AG18" s="10"/>
      <c r="AH18" s="10"/>
      <c r="AI18" s="10"/>
      <c r="AJ18" s="10"/>
      <c r="AK18" s="10"/>
    </row>
    <row r="19" spans="1:48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19" t="s">
        <v>22</v>
      </c>
      <c r="AH19" s="19" t="s">
        <v>22</v>
      </c>
      <c r="AI19" s="19" t="s">
        <v>22</v>
      </c>
      <c r="AJ19" s="19" t="s">
        <v>22</v>
      </c>
      <c r="AK19" s="19" t="s">
        <v>20</v>
      </c>
    </row>
    <row r="20" spans="1:48" ht="68.25" customHeight="1" x14ac:dyDescent="0.3">
      <c r="A20" s="56">
        <v>45649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'12-16-22, 2024'!P24</f>
        <v>0</v>
      </c>
      <c r="Q20" s="21">
        <f>'12-16-22, 2024'!Q24</f>
        <v>0</v>
      </c>
      <c r="R20" s="21">
        <f>'12-16-22, 2024'!R24</f>
        <v>17108</v>
      </c>
      <c r="S20" s="21">
        <f>'12-16-22, 2024'!S24</f>
        <v>4700</v>
      </c>
      <c r="T20" s="21">
        <f>'12-16-22, 2024'!T24</f>
        <v>4945</v>
      </c>
      <c r="U20" s="21">
        <f>'12-16-22, 2024'!U24</f>
        <v>575</v>
      </c>
      <c r="V20" s="21">
        <f>'12-16-22, 2024'!V24</f>
        <v>0</v>
      </c>
      <c r="W20" s="21">
        <f>'12-16-22, 2024'!W24</f>
        <v>0</v>
      </c>
      <c r="X20" s="21">
        <f>'12-16-22, 2024'!X24</f>
        <v>0</v>
      </c>
      <c r="Y20" s="21">
        <f>'12-16-22, 2024'!Y24</f>
        <v>0</v>
      </c>
      <c r="Z20" s="21" t="e">
        <f>'12-16-22, 2024'!Z24</f>
        <v>#REF!</v>
      </c>
      <c r="AA20" s="21">
        <f>'12-16-22, 2024'!AA24</f>
        <v>25</v>
      </c>
      <c r="AB20" s="21" t="e">
        <f>'12-16-22, 2024'!AB24</f>
        <v>#REF!</v>
      </c>
      <c r="AC20" s="21">
        <f>'12-16-22, 2024'!AC24</f>
        <v>3276</v>
      </c>
      <c r="AD20" s="21">
        <f>'12-16-22, 2024'!AD24</f>
        <v>349</v>
      </c>
      <c r="AE20" s="21">
        <f>'12-16-22, 2024'!AE24</f>
        <v>0</v>
      </c>
      <c r="AF20" s="21">
        <f>'12-16-22, 2024'!AF24</f>
        <v>11212</v>
      </c>
      <c r="AG20" s="21">
        <f>'12-16-22, 2024'!AG24</f>
        <v>0</v>
      </c>
      <c r="AH20" s="21">
        <f>'12-16-22, 2024'!AH24</f>
        <v>6875</v>
      </c>
      <c r="AI20" s="21">
        <f>'12-16-22, 2024'!AI24</f>
        <v>2025</v>
      </c>
      <c r="AJ20" s="21">
        <f>'12-16-22, 2024'!AJ24</f>
        <v>0</v>
      </c>
      <c r="AK20" s="21">
        <f>'12-16-22, 2024'!AK24</f>
        <v>96</v>
      </c>
      <c r="AL20" s="28"/>
    </row>
    <row r="21" spans="1:48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R21/91*25</f>
        <v>0</v>
      </c>
      <c r="T21" s="25"/>
      <c r="U21" s="26">
        <f>T21/215*25</f>
        <v>0</v>
      </c>
      <c r="V21" s="23"/>
      <c r="W21" s="26">
        <f>V21/208*25</f>
        <v>0</v>
      </c>
      <c r="X21" s="23"/>
      <c r="Y21" s="26"/>
      <c r="Z21" s="23"/>
      <c r="AA21" s="23"/>
      <c r="AB21" s="23"/>
      <c r="AC21" s="23"/>
      <c r="AD21" s="23"/>
      <c r="AE21" s="23"/>
      <c r="AF21" s="23"/>
      <c r="AG21" s="31"/>
      <c r="AH21" s="31"/>
      <c r="AI21" s="31"/>
      <c r="AJ21" s="23"/>
      <c r="AK21" s="32"/>
      <c r="AM21" s="33"/>
    </row>
    <row r="22" spans="1:48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K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0</v>
      </c>
      <c r="Q22" s="34">
        <f t="shared" si="0"/>
        <v>0</v>
      </c>
      <c r="R22" s="34">
        <f>R20+R21</f>
        <v>17108</v>
      </c>
      <c r="S22" s="34">
        <f t="shared" ref="S22" si="1">S20+S21</f>
        <v>4700</v>
      </c>
      <c r="T22" s="34">
        <f>T20+T21</f>
        <v>4945</v>
      </c>
      <c r="U22" s="34">
        <f t="shared" ref="U22" si="2">U20+U21</f>
        <v>575</v>
      </c>
      <c r="V22" s="34">
        <f t="shared" si="0"/>
        <v>0</v>
      </c>
      <c r="W22" s="34">
        <f>W20+W21</f>
        <v>0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25</v>
      </c>
      <c r="AB22" s="34" t="e">
        <f t="shared" si="0"/>
        <v>#REF!</v>
      </c>
      <c r="AC22" s="34">
        <f t="shared" si="0"/>
        <v>3276</v>
      </c>
      <c r="AD22" s="34">
        <f t="shared" si="0"/>
        <v>349</v>
      </c>
      <c r="AE22" s="34">
        <f t="shared" si="0"/>
        <v>0</v>
      </c>
      <c r="AF22" s="34">
        <f t="shared" si="0"/>
        <v>11212</v>
      </c>
      <c r="AG22" s="34">
        <f t="shared" si="0"/>
        <v>0</v>
      </c>
      <c r="AH22" s="34">
        <f t="shared" si="0"/>
        <v>6875</v>
      </c>
      <c r="AI22" s="34">
        <f t="shared" si="0"/>
        <v>2025</v>
      </c>
      <c r="AJ22" s="34">
        <f t="shared" si="0"/>
        <v>0</v>
      </c>
      <c r="AK22" s="34">
        <f t="shared" si="0"/>
        <v>96</v>
      </c>
    </row>
    <row r="23" spans="1:48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P23/80*25</f>
        <v>0</v>
      </c>
      <c r="R23" s="30">
        <v>2912</v>
      </c>
      <c r="S23" s="21">
        <f>R23/91*25</f>
        <v>800</v>
      </c>
      <c r="T23" s="30"/>
      <c r="U23" s="21">
        <f>T23/215*25</f>
        <v>0</v>
      </c>
      <c r="V23" s="30"/>
      <c r="W23" s="26">
        <f>V23/208*25</f>
        <v>0</v>
      </c>
      <c r="X23" s="22"/>
      <c r="Y23" s="24"/>
      <c r="Z23" s="30"/>
      <c r="AA23" s="30"/>
      <c r="AB23" s="30"/>
      <c r="AC23" s="36">
        <v>80</v>
      </c>
      <c r="AD23" s="22">
        <v>25</v>
      </c>
      <c r="AE23" s="22"/>
      <c r="AF23" s="30">
        <v>225</v>
      </c>
      <c r="AG23" s="30"/>
      <c r="AH23" s="30">
        <v>340</v>
      </c>
      <c r="AI23" s="30">
        <v>375</v>
      </c>
      <c r="AJ23" s="22"/>
      <c r="AK23" s="38"/>
    </row>
    <row r="24" spans="1:48" s="3" customFormat="1" ht="100.5" customHeight="1" thickBot="1" x14ac:dyDescent="0.25">
      <c r="A24" s="39">
        <v>45655</v>
      </c>
      <c r="B24" s="336" t="s">
        <v>28</v>
      </c>
      <c r="C24" s="337"/>
      <c r="D24" s="40">
        <f>D22-D23</f>
        <v>0</v>
      </c>
      <c r="E24" s="40">
        <f t="shared" ref="E24:AJ24" si="3">E22-E23</f>
        <v>0</v>
      </c>
      <c r="F24" s="40">
        <f>F22-F23</f>
        <v>0</v>
      </c>
      <c r="G24" s="40">
        <f t="shared" si="3"/>
        <v>0</v>
      </c>
      <c r="H24" s="41" t="e">
        <f t="shared" si="3"/>
        <v>#REF!</v>
      </c>
      <c r="I24" s="41" t="e">
        <f t="shared" si="3"/>
        <v>#REF!</v>
      </c>
      <c r="J24" s="41">
        <f>J22-J23</f>
        <v>0</v>
      </c>
      <c r="K24" s="42">
        <f t="shared" ref="K24" si="4">K22-K23</f>
        <v>0</v>
      </c>
      <c r="L24" s="41">
        <f>L22-L23</f>
        <v>0</v>
      </c>
      <c r="M24" s="42">
        <f>M22-M23</f>
        <v>0</v>
      </c>
      <c r="N24" s="41" t="e">
        <f t="shared" ref="N24:U24" si="5">N22-N23</f>
        <v>#REF!</v>
      </c>
      <c r="O24" s="41" t="e">
        <f t="shared" si="5"/>
        <v>#REF!</v>
      </c>
      <c r="P24" s="40">
        <f>P22-P23</f>
        <v>0</v>
      </c>
      <c r="Q24" s="40">
        <f t="shared" si="5"/>
        <v>0</v>
      </c>
      <c r="R24" s="40">
        <f>R22-R23</f>
        <v>14196</v>
      </c>
      <c r="S24" s="40">
        <f t="shared" ref="S24" si="6">S22-S23</f>
        <v>3900</v>
      </c>
      <c r="T24" s="40">
        <f t="shared" si="5"/>
        <v>4945</v>
      </c>
      <c r="U24" s="40">
        <f t="shared" si="5"/>
        <v>575</v>
      </c>
      <c r="V24" s="40">
        <f>V22-V23</f>
        <v>0</v>
      </c>
      <c r="W24" s="40">
        <f>W22-W23</f>
        <v>0</v>
      </c>
      <c r="X24" s="40">
        <f>X22-X23</f>
        <v>0</v>
      </c>
      <c r="Y24" s="42">
        <f t="shared" ref="Y24" si="7">Y22-Y23</f>
        <v>0</v>
      </c>
      <c r="Z24" s="41" t="e">
        <f t="shared" si="3"/>
        <v>#REF!</v>
      </c>
      <c r="AA24" s="41">
        <f>AA22-AA23</f>
        <v>25</v>
      </c>
      <c r="AB24" s="41" t="e">
        <f t="shared" si="3"/>
        <v>#REF!</v>
      </c>
      <c r="AC24" s="93">
        <f>AC22-AC23</f>
        <v>3196</v>
      </c>
      <c r="AD24" s="40">
        <f t="shared" si="3"/>
        <v>324</v>
      </c>
      <c r="AE24" s="40">
        <f t="shared" si="3"/>
        <v>0</v>
      </c>
      <c r="AF24" s="41">
        <f t="shared" si="3"/>
        <v>10987</v>
      </c>
      <c r="AG24" s="41">
        <f t="shared" si="3"/>
        <v>0</v>
      </c>
      <c r="AH24" s="41">
        <f>AH22-AH23</f>
        <v>6535</v>
      </c>
      <c r="AI24" s="41">
        <f t="shared" si="3"/>
        <v>1650</v>
      </c>
      <c r="AJ24" s="40">
        <f t="shared" si="3"/>
        <v>0</v>
      </c>
      <c r="AK24" s="44">
        <f>AK22-AK23</f>
        <v>96</v>
      </c>
    </row>
    <row r="25" spans="1:48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8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48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F27" s="152"/>
      <c r="AG27" s="47"/>
      <c r="AH27" s="47"/>
      <c r="AI27" s="47"/>
      <c r="AJ27" s="46"/>
      <c r="AK27" s="46"/>
    </row>
    <row r="28" spans="1:48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G28" s="49"/>
      <c r="AH28" s="49"/>
      <c r="AI28" s="49"/>
      <c r="AJ28" s="49"/>
      <c r="AK28" s="49"/>
      <c r="AL28" s="46"/>
    </row>
    <row r="29" spans="1:48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G29" s="49"/>
      <c r="AH29" s="49"/>
      <c r="AI29" s="49"/>
      <c r="AJ29" s="49"/>
      <c r="AK29" s="49"/>
      <c r="AL29" s="46"/>
    </row>
    <row r="30" spans="1:48" s="45" customFormat="1" ht="24" customHeight="1" x14ac:dyDescent="0.4">
      <c r="A30" s="153" t="s">
        <v>111</v>
      </c>
      <c r="B30" s="154"/>
      <c r="C30" s="155"/>
      <c r="D30" s="155"/>
      <c r="E30" s="155"/>
      <c r="F30" s="155"/>
      <c r="G30" s="155"/>
      <c r="H30" s="156"/>
      <c r="I30" s="156"/>
      <c r="J30" s="156"/>
      <c r="K30" s="155"/>
      <c r="L30" s="155"/>
      <c r="M30" s="155"/>
      <c r="N30" s="154"/>
      <c r="O30" s="154"/>
      <c r="P30" s="154"/>
      <c r="Q30" s="153"/>
      <c r="R30" s="154"/>
      <c r="S30" s="153"/>
      <c r="T30" s="153" t="s">
        <v>31</v>
      </c>
      <c r="U30" s="155"/>
      <c r="V30" s="155"/>
      <c r="W30" s="153"/>
      <c r="X30" s="155"/>
      <c r="Y30" s="155"/>
      <c r="Z30" s="155"/>
      <c r="AA30" s="155"/>
      <c r="AB30" s="155"/>
      <c r="AC30" s="155"/>
      <c r="AD30" s="156" t="s">
        <v>117</v>
      </c>
      <c r="AE30" s="155"/>
      <c r="AF30" s="155"/>
      <c r="AG30" s="155"/>
      <c r="AH30" s="155"/>
      <c r="AI30" s="155"/>
      <c r="AL30" s="46"/>
    </row>
    <row r="31" spans="1:48" s="45" customFormat="1" ht="21.75" customHeight="1" x14ac:dyDescent="0.4">
      <c r="A31" s="157" t="s">
        <v>44</v>
      </c>
      <c r="B31" s="154"/>
      <c r="C31" s="154"/>
      <c r="D31" s="155"/>
      <c r="E31" s="155"/>
      <c r="F31" s="155"/>
      <c r="G31" s="155"/>
      <c r="H31" s="154"/>
      <c r="I31" s="154"/>
      <c r="J31" s="154"/>
      <c r="K31" s="154"/>
      <c r="L31" s="154"/>
      <c r="M31" s="154"/>
      <c r="N31" s="154"/>
      <c r="O31" s="154"/>
      <c r="P31" s="154"/>
      <c r="Q31" s="157"/>
      <c r="R31" s="154"/>
      <c r="S31" s="157"/>
      <c r="T31" s="157" t="s">
        <v>64</v>
      </c>
      <c r="U31" s="155"/>
      <c r="V31" s="155"/>
      <c r="W31" s="154"/>
      <c r="X31" s="154"/>
      <c r="Y31" s="155"/>
      <c r="Z31" s="155"/>
      <c r="AA31" s="155"/>
      <c r="AB31" s="155"/>
      <c r="AC31" s="155"/>
      <c r="AD31" s="154" t="s">
        <v>118</v>
      </c>
      <c r="AE31" s="155"/>
      <c r="AF31" s="155"/>
      <c r="AG31" s="154"/>
      <c r="AH31" s="154"/>
      <c r="AI31" s="154"/>
      <c r="AJ31" s="46"/>
      <c r="AK31" s="46"/>
    </row>
    <row r="32" spans="1:48" s="45" customFormat="1" ht="26.25" customHeight="1" x14ac:dyDescent="0.4">
      <c r="A32" s="157" t="s">
        <v>33</v>
      </c>
      <c r="B32" s="154"/>
      <c r="C32" s="154"/>
      <c r="D32" s="155"/>
      <c r="E32" s="155"/>
      <c r="F32" s="155"/>
      <c r="G32" s="155"/>
      <c r="H32" s="154"/>
      <c r="I32" s="154"/>
      <c r="J32" s="154"/>
      <c r="K32" s="154"/>
      <c r="L32" s="154"/>
      <c r="M32" s="154"/>
      <c r="N32" s="154"/>
      <c r="O32" s="154"/>
      <c r="P32" s="154"/>
      <c r="Q32" s="157"/>
      <c r="R32" s="154"/>
      <c r="S32" s="157"/>
      <c r="T32" s="157" t="s">
        <v>46</v>
      </c>
      <c r="U32" s="155"/>
      <c r="V32" s="155"/>
      <c r="W32" s="154"/>
      <c r="X32" s="154"/>
      <c r="Y32" s="154"/>
      <c r="Z32" s="154"/>
      <c r="AA32" s="154"/>
      <c r="AB32" s="154"/>
      <c r="AC32" s="155"/>
      <c r="AD32" s="154" t="s">
        <v>46</v>
      </c>
      <c r="AE32" s="155"/>
      <c r="AF32" s="155"/>
      <c r="AG32" s="154"/>
      <c r="AH32" s="154"/>
      <c r="AI32" s="154"/>
      <c r="AJ32" s="83"/>
      <c r="AK32" s="84"/>
      <c r="AL32" s="85"/>
      <c r="AM32" s="86"/>
      <c r="AN32" s="87"/>
      <c r="AO32" s="86"/>
      <c r="AP32" s="88"/>
      <c r="AQ32" s="84"/>
      <c r="AR32" s="84"/>
      <c r="AS32" s="86"/>
      <c r="AT32" s="86"/>
      <c r="AU32" s="86"/>
      <c r="AV32" s="84"/>
    </row>
    <row r="33" spans="1:38" s="46" customFormat="1" ht="24" customHeight="1" x14ac:dyDescent="0.4">
      <c r="A33" s="157" t="s">
        <v>112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 t="s">
        <v>65</v>
      </c>
      <c r="U33" s="154"/>
      <c r="V33" s="154"/>
      <c r="W33" s="154"/>
      <c r="X33" s="154"/>
      <c r="Y33" s="154"/>
      <c r="Z33" s="158"/>
      <c r="AA33" s="158"/>
      <c r="AB33" s="154"/>
      <c r="AC33" s="154"/>
      <c r="AD33" s="154"/>
      <c r="AE33" s="159"/>
      <c r="AF33" s="154"/>
      <c r="AG33" s="154"/>
      <c r="AH33" s="154"/>
      <c r="AI33" s="154"/>
    </row>
    <row r="34" spans="1:38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52"/>
    </row>
    <row r="36" spans="1:38" ht="22.5" x14ac:dyDescent="0.35">
      <c r="B36" s="55"/>
      <c r="C36" s="55"/>
      <c r="D36" s="55"/>
      <c r="E36" s="55"/>
    </row>
    <row r="37" spans="1:38" ht="15.75" customHeight="1" x14ac:dyDescent="0.3"/>
    <row r="40" spans="1:38" ht="15.75" customHeight="1" x14ac:dyDescent="0.3"/>
    <row r="42" spans="1:38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4" spans="1:38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7" spans="1:38" ht="22.5" x14ac:dyDescent="0.35">
      <c r="A47" s="55"/>
    </row>
  </sheetData>
  <mergeCells count="44">
    <mergeCell ref="B24:C24"/>
    <mergeCell ref="T18:U18"/>
    <mergeCell ref="V18:W18"/>
    <mergeCell ref="X18:Y18"/>
    <mergeCell ref="B20:C20"/>
    <mergeCell ref="A21:C21"/>
    <mergeCell ref="A22:C22"/>
    <mergeCell ref="T17:U17"/>
    <mergeCell ref="F17:G17"/>
    <mergeCell ref="H17:I17"/>
    <mergeCell ref="J17:K17"/>
    <mergeCell ref="A23:C23"/>
    <mergeCell ref="N18:O18"/>
    <mergeCell ref="P18:Q18"/>
    <mergeCell ref="R18:S18"/>
    <mergeCell ref="N17:O17"/>
    <mergeCell ref="P17:Q17"/>
    <mergeCell ref="R17:S17"/>
    <mergeCell ref="D18:E18"/>
    <mergeCell ref="F18:G18"/>
    <mergeCell ref="H18:I18"/>
    <mergeCell ref="J18:K18"/>
    <mergeCell ref="L18:M18"/>
    <mergeCell ref="T16:U16"/>
    <mergeCell ref="A10:AL10"/>
    <mergeCell ref="A11:AL11"/>
    <mergeCell ref="A14:C15"/>
    <mergeCell ref="D14:AK15"/>
    <mergeCell ref="A16:A19"/>
    <mergeCell ref="B16:C19"/>
    <mergeCell ref="D16:E16"/>
    <mergeCell ref="F16:G16"/>
    <mergeCell ref="H16:I16"/>
    <mergeCell ref="J16:K16"/>
    <mergeCell ref="X16:Y16"/>
    <mergeCell ref="D17:E17"/>
    <mergeCell ref="V16:W16"/>
    <mergeCell ref="V17:W17"/>
    <mergeCell ref="X17:Y17"/>
    <mergeCell ref="L17:M17"/>
    <mergeCell ref="N16:O16"/>
    <mergeCell ref="L16:M16"/>
    <mergeCell ref="P16:Q16"/>
    <mergeCell ref="R16:S16"/>
  </mergeCells>
  <pageMargins left="0.39370078740157483" right="0.11811023622047245" top="0.39370078740157483" bottom="0.31496062992125984" header="0.31496062992125984" footer="0.31496062992125984"/>
  <pageSetup paperSize="9" scale="41" orientation="landscape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4">
    <tabColor theme="0"/>
  </sheetPr>
  <dimension ref="A10:AV47"/>
  <sheetViews>
    <sheetView topLeftCell="A17" zoomScale="70" zoomScaleNormal="70" workbookViewId="0">
      <selection activeCell="R24" sqref="R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customWidth="1"/>
    <col min="17" max="17" width="16" style="1" customWidth="1"/>
    <col min="18" max="18" width="20.140625" style="1" customWidth="1"/>
    <col min="19" max="19" width="16" style="1" customWidth="1"/>
    <col min="20" max="20" width="16.140625" style="1" customWidth="1"/>
    <col min="21" max="21" width="16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4.5703125" style="1" customWidth="1"/>
    <col min="28" max="28" width="7" style="1" hidden="1" customWidth="1"/>
    <col min="29" max="29" width="17.140625" style="1" customWidth="1"/>
    <col min="30" max="30" width="12.28515625" style="1" customWidth="1"/>
    <col min="31" max="31" width="22.42578125" style="1" bestFit="1" customWidth="1"/>
    <col min="32" max="32" width="14" style="1" customWidth="1"/>
    <col min="33" max="33" width="18.5703125" style="1" bestFit="1" customWidth="1"/>
    <col min="34" max="35" width="18.5703125" style="1" customWidth="1"/>
    <col min="36" max="36" width="12.42578125" style="1" bestFit="1" customWidth="1"/>
    <col min="37" max="37" width="11.140625" style="1" customWidth="1"/>
    <col min="38" max="38" width="14.28515625" style="1" bestFit="1" customWidth="1"/>
    <col min="39" max="39" width="10.28515625" style="1" bestFit="1" customWidth="1"/>
    <col min="40" max="40" width="9.140625" style="1"/>
    <col min="41" max="41" width="10.7109375" style="1" bestFit="1" customWidth="1"/>
    <col min="42" max="16384" width="9.140625" style="1"/>
  </cols>
  <sheetData>
    <row r="10" spans="1:38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</row>
    <row r="11" spans="1:38" ht="34.5" x14ac:dyDescent="0.45">
      <c r="A11" s="315" t="s">
        <v>142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</row>
    <row r="12" spans="1:38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8" ht="22.5" thickBot="1" x14ac:dyDescent="0.35"/>
    <row r="14" spans="1:38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8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1"/>
    </row>
    <row r="16" spans="1:38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49" t="s">
        <v>133</v>
      </c>
      <c r="U16" s="350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7" t="s">
        <v>40</v>
      </c>
      <c r="AH16" s="57" t="s">
        <v>41</v>
      </c>
      <c r="AI16" s="57" t="s">
        <v>41</v>
      </c>
      <c r="AJ16" s="57" t="s">
        <v>12</v>
      </c>
      <c r="AK16" s="150" t="s">
        <v>13</v>
      </c>
    </row>
    <row r="17" spans="1:48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4.9000000000000004</v>
      </c>
      <c r="AG17" s="11">
        <v>10</v>
      </c>
      <c r="AH17" s="11">
        <v>10</v>
      </c>
      <c r="AI17" s="11">
        <v>40</v>
      </c>
      <c r="AJ17" s="12"/>
      <c r="AK17" s="12"/>
    </row>
    <row r="18" spans="1:48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51"/>
      <c r="AG18" s="10"/>
      <c r="AH18" s="10"/>
      <c r="AI18" s="10"/>
      <c r="AJ18" s="10"/>
      <c r="AK18" s="10"/>
    </row>
    <row r="19" spans="1:48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19" t="s">
        <v>22</v>
      </c>
      <c r="AH19" s="19" t="s">
        <v>22</v>
      </c>
      <c r="AI19" s="19" t="s">
        <v>22</v>
      </c>
      <c r="AJ19" s="19" t="s">
        <v>22</v>
      </c>
      <c r="AK19" s="19" t="s">
        <v>20</v>
      </c>
    </row>
    <row r="20" spans="1:48" ht="68.25" customHeight="1" x14ac:dyDescent="0.3">
      <c r="A20" s="56">
        <v>45656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'12-23-29, 2024'!P24</f>
        <v>0</v>
      </c>
      <c r="Q20" s="21">
        <f>'12-23-29, 2024'!Q24</f>
        <v>0</v>
      </c>
      <c r="R20" s="21">
        <f>'12-23-29, 2024'!R24</f>
        <v>14196</v>
      </c>
      <c r="S20" s="21">
        <f>'12-23-29, 2024'!S24</f>
        <v>3900</v>
      </c>
      <c r="T20" s="21">
        <f>'12-23-29, 2024'!T24</f>
        <v>4945</v>
      </c>
      <c r="U20" s="21">
        <f>'12-23-29, 2024'!U24</f>
        <v>575</v>
      </c>
      <c r="V20" s="21">
        <f>'12-23-29, 2024'!V24</f>
        <v>0</v>
      </c>
      <c r="W20" s="21">
        <f>'12-23-29, 2024'!W24</f>
        <v>0</v>
      </c>
      <c r="X20" s="21">
        <f>'12-23-29, 2024'!X24</f>
        <v>0</v>
      </c>
      <c r="Y20" s="21">
        <f>'12-23-29, 2024'!Y24</f>
        <v>0</v>
      </c>
      <c r="Z20" s="21" t="e">
        <f>'12-23-29, 2024'!Z24</f>
        <v>#REF!</v>
      </c>
      <c r="AA20" s="21">
        <f>'12-23-29, 2024'!AA24</f>
        <v>25</v>
      </c>
      <c r="AB20" s="21" t="e">
        <f>'12-23-29, 2024'!AB24</f>
        <v>#REF!</v>
      </c>
      <c r="AC20" s="21">
        <f>'12-23-29, 2024'!AC24</f>
        <v>3196</v>
      </c>
      <c r="AD20" s="21">
        <f>'12-23-29, 2024'!AD24</f>
        <v>324</v>
      </c>
      <c r="AE20" s="21">
        <f>'12-23-29, 2024'!AE24</f>
        <v>0</v>
      </c>
      <c r="AF20" s="21">
        <f>'12-23-29, 2024'!AF24</f>
        <v>10987</v>
      </c>
      <c r="AG20" s="21">
        <f>'12-23-29, 2024'!AG24</f>
        <v>0</v>
      </c>
      <c r="AH20" s="21">
        <f>'12-23-29, 2024'!AH24</f>
        <v>6535</v>
      </c>
      <c r="AI20" s="21">
        <f>'12-23-29, 2024'!AI24</f>
        <v>1650</v>
      </c>
      <c r="AJ20" s="21">
        <f>'12-23-29, 2024'!AJ24</f>
        <v>0</v>
      </c>
      <c r="AK20" s="21">
        <f>'12-23-29, 2024'!AK24</f>
        <v>96</v>
      </c>
      <c r="AL20" s="28"/>
    </row>
    <row r="21" spans="1:48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R21/91*25</f>
        <v>0</v>
      </c>
      <c r="T21" s="25"/>
      <c r="U21" s="26">
        <f>T21/215*25</f>
        <v>0</v>
      </c>
      <c r="V21" s="23"/>
      <c r="W21" s="26">
        <f>V21/208*25</f>
        <v>0</v>
      </c>
      <c r="X21" s="23"/>
      <c r="Y21" s="26"/>
      <c r="Z21" s="23"/>
      <c r="AA21" s="23"/>
      <c r="AB21" s="23"/>
      <c r="AC21" s="23"/>
      <c r="AD21" s="23"/>
      <c r="AE21" s="23"/>
      <c r="AF21" s="23"/>
      <c r="AG21" s="31"/>
      <c r="AH21" s="31"/>
      <c r="AI21" s="31"/>
      <c r="AJ21" s="23"/>
      <c r="AK21" s="32"/>
      <c r="AM21" s="33"/>
    </row>
    <row r="22" spans="1:48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K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0</v>
      </c>
      <c r="Q22" s="34">
        <f t="shared" si="0"/>
        <v>0</v>
      </c>
      <c r="R22" s="34">
        <f>R20+R21</f>
        <v>14196</v>
      </c>
      <c r="S22" s="34">
        <f t="shared" ref="S22" si="1">S20+S21</f>
        <v>3900</v>
      </c>
      <c r="T22" s="34">
        <f>T20+T21</f>
        <v>4945</v>
      </c>
      <c r="U22" s="34">
        <f t="shared" ref="U22" si="2">U20+U21</f>
        <v>575</v>
      </c>
      <c r="V22" s="34">
        <f t="shared" si="0"/>
        <v>0</v>
      </c>
      <c r="W22" s="34">
        <f>W20+W21</f>
        <v>0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25</v>
      </c>
      <c r="AB22" s="34" t="e">
        <f t="shared" si="0"/>
        <v>#REF!</v>
      </c>
      <c r="AC22" s="34">
        <f t="shared" si="0"/>
        <v>3196</v>
      </c>
      <c r="AD22" s="34">
        <f t="shared" si="0"/>
        <v>324</v>
      </c>
      <c r="AE22" s="34">
        <f t="shared" si="0"/>
        <v>0</v>
      </c>
      <c r="AF22" s="34">
        <f t="shared" si="0"/>
        <v>10987</v>
      </c>
      <c r="AG22" s="34">
        <f t="shared" si="0"/>
        <v>0</v>
      </c>
      <c r="AH22" s="34">
        <f t="shared" si="0"/>
        <v>6535</v>
      </c>
      <c r="AI22" s="34">
        <f t="shared" si="0"/>
        <v>1650</v>
      </c>
      <c r="AJ22" s="34">
        <f t="shared" si="0"/>
        <v>0</v>
      </c>
      <c r="AK22" s="34">
        <f t="shared" si="0"/>
        <v>96</v>
      </c>
    </row>
    <row r="23" spans="1:48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P23/80*25</f>
        <v>0</v>
      </c>
      <c r="R23" s="30">
        <v>2912</v>
      </c>
      <c r="S23" s="21">
        <f>R23/91*25</f>
        <v>800</v>
      </c>
      <c r="T23" s="30"/>
      <c r="U23" s="21">
        <f>T23/215*25</f>
        <v>0</v>
      </c>
      <c r="V23" s="30"/>
      <c r="W23" s="26">
        <f>V23/208*25</f>
        <v>0</v>
      </c>
      <c r="X23" s="22"/>
      <c r="Y23" s="24"/>
      <c r="Z23" s="30"/>
      <c r="AA23" s="30"/>
      <c r="AB23" s="30"/>
      <c r="AC23" s="36">
        <v>90</v>
      </c>
      <c r="AD23" s="22">
        <v>24</v>
      </c>
      <c r="AE23" s="22"/>
      <c r="AF23" s="30">
        <f>159+66</f>
        <v>225</v>
      </c>
      <c r="AG23" s="30"/>
      <c r="AH23" s="30">
        <v>315</v>
      </c>
      <c r="AI23" s="30">
        <v>300</v>
      </c>
      <c r="AJ23" s="22"/>
      <c r="AK23" s="38"/>
    </row>
    <row r="24" spans="1:48" s="3" customFormat="1" ht="100.5" customHeight="1" thickBot="1" x14ac:dyDescent="0.25">
      <c r="A24" s="39">
        <v>45296</v>
      </c>
      <c r="B24" s="336" t="s">
        <v>28</v>
      </c>
      <c r="C24" s="337"/>
      <c r="D24" s="40">
        <f>D22-D23</f>
        <v>0</v>
      </c>
      <c r="E24" s="40">
        <f t="shared" ref="E24:AJ24" si="3">E22-E23</f>
        <v>0</v>
      </c>
      <c r="F24" s="40">
        <f>F22-F23</f>
        <v>0</v>
      </c>
      <c r="G24" s="40">
        <f t="shared" si="3"/>
        <v>0</v>
      </c>
      <c r="H24" s="41" t="e">
        <f t="shared" si="3"/>
        <v>#REF!</v>
      </c>
      <c r="I24" s="41" t="e">
        <f t="shared" si="3"/>
        <v>#REF!</v>
      </c>
      <c r="J24" s="41">
        <f>J22-J23</f>
        <v>0</v>
      </c>
      <c r="K24" s="42">
        <f t="shared" ref="K24" si="4">K22-K23</f>
        <v>0</v>
      </c>
      <c r="L24" s="41">
        <f>L22-L23</f>
        <v>0</v>
      </c>
      <c r="M24" s="42">
        <f>M22-M23</f>
        <v>0</v>
      </c>
      <c r="N24" s="41" t="e">
        <f t="shared" ref="N24:U24" si="5">N22-N23</f>
        <v>#REF!</v>
      </c>
      <c r="O24" s="41" t="e">
        <f t="shared" si="5"/>
        <v>#REF!</v>
      </c>
      <c r="P24" s="40">
        <f>P22-P23</f>
        <v>0</v>
      </c>
      <c r="Q24" s="40">
        <f t="shared" si="5"/>
        <v>0</v>
      </c>
      <c r="R24" s="40">
        <f>R22-R23</f>
        <v>11284</v>
      </c>
      <c r="S24" s="40">
        <f t="shared" ref="S24" si="6">S22-S23</f>
        <v>3100</v>
      </c>
      <c r="T24" s="40">
        <f t="shared" si="5"/>
        <v>4945</v>
      </c>
      <c r="U24" s="40">
        <f t="shared" si="5"/>
        <v>575</v>
      </c>
      <c r="V24" s="40">
        <f>V22-V23</f>
        <v>0</v>
      </c>
      <c r="W24" s="40">
        <f>W22-W23</f>
        <v>0</v>
      </c>
      <c r="X24" s="40">
        <f>X22-X23</f>
        <v>0</v>
      </c>
      <c r="Y24" s="42">
        <f t="shared" ref="Y24" si="7">Y22-Y23</f>
        <v>0</v>
      </c>
      <c r="Z24" s="41" t="e">
        <f t="shared" si="3"/>
        <v>#REF!</v>
      </c>
      <c r="AA24" s="41">
        <f>AA22-AA23</f>
        <v>25</v>
      </c>
      <c r="AB24" s="41" t="e">
        <f t="shared" si="3"/>
        <v>#REF!</v>
      </c>
      <c r="AC24" s="93">
        <f>AC22-AC23</f>
        <v>3106</v>
      </c>
      <c r="AD24" s="40">
        <f t="shared" si="3"/>
        <v>300</v>
      </c>
      <c r="AE24" s="40">
        <f t="shared" si="3"/>
        <v>0</v>
      </c>
      <c r="AF24" s="41">
        <f t="shared" si="3"/>
        <v>10762</v>
      </c>
      <c r="AG24" s="41">
        <f t="shared" si="3"/>
        <v>0</v>
      </c>
      <c r="AH24" s="41">
        <f>AH22-AH23</f>
        <v>6220</v>
      </c>
      <c r="AI24" s="41">
        <f t="shared" si="3"/>
        <v>1350</v>
      </c>
      <c r="AJ24" s="40">
        <f t="shared" si="3"/>
        <v>0</v>
      </c>
      <c r="AK24" s="44">
        <f>AK22-AK23</f>
        <v>96</v>
      </c>
    </row>
    <row r="25" spans="1:48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8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48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F27" s="152"/>
      <c r="AG27" s="47"/>
      <c r="AH27" s="47"/>
      <c r="AI27" s="47"/>
      <c r="AJ27" s="46"/>
      <c r="AK27" s="46"/>
    </row>
    <row r="28" spans="1:48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G28" s="49"/>
      <c r="AH28" s="49"/>
      <c r="AI28" s="49"/>
      <c r="AJ28" s="49"/>
      <c r="AK28" s="49"/>
      <c r="AL28" s="46"/>
    </row>
    <row r="29" spans="1:48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G29" s="49"/>
      <c r="AH29" s="49"/>
      <c r="AI29" s="49"/>
      <c r="AJ29" s="49"/>
      <c r="AK29" s="49"/>
      <c r="AL29" s="46"/>
    </row>
    <row r="30" spans="1:48" s="45" customFormat="1" ht="24" customHeight="1" x14ac:dyDescent="0.4">
      <c r="A30" s="153" t="s">
        <v>111</v>
      </c>
      <c r="B30" s="154"/>
      <c r="C30" s="155"/>
      <c r="D30" s="155"/>
      <c r="E30" s="155"/>
      <c r="F30" s="155"/>
      <c r="G30" s="155"/>
      <c r="H30" s="156"/>
      <c r="I30" s="156"/>
      <c r="J30" s="156"/>
      <c r="K30" s="155"/>
      <c r="L30" s="155"/>
      <c r="M30" s="155"/>
      <c r="N30" s="154"/>
      <c r="O30" s="154"/>
      <c r="P30" s="154"/>
      <c r="Q30" s="153"/>
      <c r="R30" s="154"/>
      <c r="S30" s="153"/>
      <c r="T30" s="153" t="s">
        <v>107</v>
      </c>
      <c r="U30" s="155"/>
      <c r="V30" s="155"/>
      <c r="W30" s="153"/>
      <c r="X30" s="155"/>
      <c r="Y30" s="155"/>
      <c r="Z30" s="155"/>
      <c r="AA30" s="155"/>
      <c r="AB30" s="155"/>
      <c r="AC30" s="155"/>
      <c r="AD30" s="156" t="s">
        <v>117</v>
      </c>
      <c r="AE30" s="155"/>
      <c r="AF30" s="155"/>
      <c r="AG30" s="155"/>
      <c r="AH30" s="155"/>
      <c r="AI30" s="155"/>
      <c r="AL30" s="46"/>
    </row>
    <row r="31" spans="1:48" s="45" customFormat="1" ht="21.75" customHeight="1" x14ac:dyDescent="0.4">
      <c r="A31" s="157" t="s">
        <v>44</v>
      </c>
      <c r="B31" s="154"/>
      <c r="C31" s="154"/>
      <c r="D31" s="155"/>
      <c r="E31" s="155"/>
      <c r="F31" s="155"/>
      <c r="G31" s="155"/>
      <c r="H31" s="154"/>
      <c r="I31" s="154"/>
      <c r="J31" s="154"/>
      <c r="K31" s="154"/>
      <c r="L31" s="154"/>
      <c r="M31" s="154"/>
      <c r="N31" s="154"/>
      <c r="O31" s="154"/>
      <c r="P31" s="154"/>
      <c r="Q31" s="157"/>
      <c r="R31" s="154"/>
      <c r="S31" s="157"/>
      <c r="T31" s="157" t="s">
        <v>34</v>
      </c>
      <c r="U31" s="155"/>
      <c r="V31" s="155"/>
      <c r="W31" s="154"/>
      <c r="X31" s="154"/>
      <c r="Y31" s="155"/>
      <c r="Z31" s="155"/>
      <c r="AA31" s="155"/>
      <c r="AB31" s="155"/>
      <c r="AC31" s="155"/>
      <c r="AD31" s="154" t="s">
        <v>118</v>
      </c>
      <c r="AE31" s="155"/>
      <c r="AF31" s="155"/>
      <c r="AG31" s="154"/>
      <c r="AH31" s="154"/>
      <c r="AI31" s="154"/>
      <c r="AJ31" s="46"/>
      <c r="AK31" s="46"/>
    </row>
    <row r="32" spans="1:48" s="45" customFormat="1" ht="26.25" customHeight="1" x14ac:dyDescent="0.4">
      <c r="A32" s="157" t="s">
        <v>33</v>
      </c>
      <c r="B32" s="154"/>
      <c r="C32" s="154"/>
      <c r="D32" s="155"/>
      <c r="E32" s="155"/>
      <c r="F32" s="155"/>
      <c r="G32" s="155"/>
      <c r="H32" s="154"/>
      <c r="I32" s="154"/>
      <c r="J32" s="154"/>
      <c r="K32" s="154"/>
      <c r="L32" s="154"/>
      <c r="M32" s="154"/>
      <c r="N32" s="154"/>
      <c r="O32" s="154"/>
      <c r="P32" s="154"/>
      <c r="Q32" s="157"/>
      <c r="R32" s="154"/>
      <c r="S32" s="157"/>
      <c r="T32" s="157" t="s">
        <v>46</v>
      </c>
      <c r="U32" s="155"/>
      <c r="V32" s="155"/>
      <c r="W32" s="154"/>
      <c r="X32" s="154"/>
      <c r="Y32" s="154"/>
      <c r="Z32" s="154"/>
      <c r="AA32" s="154"/>
      <c r="AB32" s="154"/>
      <c r="AC32" s="155"/>
      <c r="AD32" s="154" t="s">
        <v>46</v>
      </c>
      <c r="AE32" s="155"/>
      <c r="AF32" s="155"/>
      <c r="AG32" s="154"/>
      <c r="AH32" s="154"/>
      <c r="AI32" s="154"/>
      <c r="AJ32" s="83"/>
      <c r="AK32" s="84"/>
      <c r="AL32" s="85"/>
      <c r="AM32" s="86"/>
      <c r="AN32" s="87"/>
      <c r="AO32" s="86"/>
      <c r="AP32" s="88"/>
      <c r="AQ32" s="84"/>
      <c r="AR32" s="84"/>
      <c r="AS32" s="86"/>
      <c r="AT32" s="86"/>
      <c r="AU32" s="86"/>
      <c r="AV32" s="84"/>
    </row>
    <row r="33" spans="1:38" s="46" customFormat="1" ht="24" customHeight="1" x14ac:dyDescent="0.4">
      <c r="A33" s="157" t="s">
        <v>112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 t="s">
        <v>51</v>
      </c>
      <c r="U33" s="154"/>
      <c r="V33" s="154"/>
      <c r="W33" s="154"/>
      <c r="X33" s="154" t="s">
        <v>51</v>
      </c>
      <c r="Y33" s="154"/>
      <c r="Z33" s="158"/>
      <c r="AA33" s="158"/>
      <c r="AB33" s="154"/>
      <c r="AC33" s="154"/>
      <c r="AD33" s="154"/>
      <c r="AE33" s="159"/>
      <c r="AF33" s="154"/>
      <c r="AG33" s="154"/>
      <c r="AH33" s="154"/>
      <c r="AI33" s="154"/>
    </row>
    <row r="34" spans="1:38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52"/>
    </row>
    <row r="36" spans="1:38" ht="22.5" x14ac:dyDescent="0.35">
      <c r="B36" s="55"/>
      <c r="C36" s="55"/>
      <c r="D36" s="55"/>
      <c r="E36" s="55"/>
    </row>
    <row r="37" spans="1:38" ht="15.75" customHeight="1" x14ac:dyDescent="0.3"/>
    <row r="40" spans="1:38" ht="15.75" customHeight="1" x14ac:dyDescent="0.3"/>
    <row r="42" spans="1:38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4" spans="1:38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7" spans="1:38" ht="22.5" x14ac:dyDescent="0.35">
      <c r="A47" s="55"/>
    </row>
  </sheetData>
  <mergeCells count="44">
    <mergeCell ref="B24:C24"/>
    <mergeCell ref="T18:U18"/>
    <mergeCell ref="V18:W18"/>
    <mergeCell ref="X18:Y18"/>
    <mergeCell ref="B20:C20"/>
    <mergeCell ref="A21:C21"/>
    <mergeCell ref="A22:C22"/>
    <mergeCell ref="T17:U17"/>
    <mergeCell ref="F17:G17"/>
    <mergeCell ref="H17:I17"/>
    <mergeCell ref="J17:K17"/>
    <mergeCell ref="A23:C23"/>
    <mergeCell ref="N18:O18"/>
    <mergeCell ref="P18:Q18"/>
    <mergeCell ref="R18:S18"/>
    <mergeCell ref="N17:O17"/>
    <mergeCell ref="P17:Q17"/>
    <mergeCell ref="R17:S17"/>
    <mergeCell ref="D18:E18"/>
    <mergeCell ref="F18:G18"/>
    <mergeCell ref="H18:I18"/>
    <mergeCell ref="J18:K18"/>
    <mergeCell ref="L18:M18"/>
    <mergeCell ref="T16:U16"/>
    <mergeCell ref="A10:AL10"/>
    <mergeCell ref="A11:AL11"/>
    <mergeCell ref="A14:C15"/>
    <mergeCell ref="D14:AK15"/>
    <mergeCell ref="A16:A19"/>
    <mergeCell ref="B16:C19"/>
    <mergeCell ref="D16:E16"/>
    <mergeCell ref="F16:G16"/>
    <mergeCell ref="H16:I16"/>
    <mergeCell ref="J16:K16"/>
    <mergeCell ref="X16:Y16"/>
    <mergeCell ref="D17:E17"/>
    <mergeCell ref="V16:W16"/>
    <mergeCell ref="V17:W17"/>
    <mergeCell ref="X17:Y17"/>
    <mergeCell ref="L17:M17"/>
    <mergeCell ref="N16:O16"/>
    <mergeCell ref="L16:M16"/>
    <mergeCell ref="P16:Q16"/>
    <mergeCell ref="R16:S16"/>
  </mergeCells>
  <pageMargins left="0.39370078740157483" right="0.11811023622047245" top="0.39370078740157483" bottom="0.31496062992125984" header="0.31496062992125984" footer="0.31496062992125984"/>
  <pageSetup paperSize="9" scale="40" orientation="landscape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5">
    <tabColor theme="0"/>
  </sheetPr>
  <dimension ref="A10:AV47"/>
  <sheetViews>
    <sheetView topLeftCell="A16" zoomScale="70" zoomScaleNormal="70" workbookViewId="0">
      <selection activeCell="T30" sqref="T30:AA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hidden="1" customWidth="1"/>
    <col min="17" max="17" width="16" style="1" hidden="1" customWidth="1"/>
    <col min="18" max="18" width="20.140625" style="1" customWidth="1"/>
    <col min="19" max="19" width="16" style="1" customWidth="1"/>
    <col min="20" max="20" width="16.140625" style="1" customWidth="1"/>
    <col min="21" max="21" width="16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4.5703125" style="1" customWidth="1"/>
    <col min="28" max="28" width="7" style="1" hidden="1" customWidth="1"/>
    <col min="29" max="29" width="17.140625" style="1" customWidth="1"/>
    <col min="30" max="30" width="12.28515625" style="1" customWidth="1"/>
    <col min="31" max="31" width="22.42578125" style="1" bestFit="1" customWidth="1"/>
    <col min="32" max="32" width="14" style="1" customWidth="1"/>
    <col min="33" max="33" width="18.5703125" style="1" bestFit="1" customWidth="1"/>
    <col min="34" max="35" width="18.5703125" style="1" customWidth="1"/>
    <col min="36" max="36" width="12.42578125" style="1" bestFit="1" customWidth="1"/>
    <col min="37" max="37" width="11.140625" style="1" customWidth="1"/>
    <col min="38" max="38" width="14.28515625" style="1" bestFit="1" customWidth="1"/>
    <col min="39" max="39" width="10.28515625" style="1" bestFit="1" customWidth="1"/>
    <col min="40" max="40" width="9.140625" style="1"/>
    <col min="41" max="41" width="10.7109375" style="1" bestFit="1" customWidth="1"/>
    <col min="42" max="16384" width="9.140625" style="1"/>
  </cols>
  <sheetData>
    <row r="10" spans="1:38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</row>
    <row r="11" spans="1:38" ht="34.5" x14ac:dyDescent="0.45">
      <c r="A11" s="315" t="s">
        <v>143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</row>
    <row r="12" spans="1:38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8" ht="22.5" thickBot="1" x14ac:dyDescent="0.35"/>
    <row r="14" spans="1:38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8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1"/>
    </row>
    <row r="16" spans="1:38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49" t="s">
        <v>133</v>
      </c>
      <c r="U16" s="350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7" t="s">
        <v>40</v>
      </c>
      <c r="AH16" s="57" t="s">
        <v>41</v>
      </c>
      <c r="AI16" s="57" t="s">
        <v>41</v>
      </c>
      <c r="AJ16" s="57" t="s">
        <v>12</v>
      </c>
      <c r="AK16" s="160" t="s">
        <v>13</v>
      </c>
    </row>
    <row r="17" spans="1:48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4.9000000000000004</v>
      </c>
      <c r="AG17" s="11">
        <v>10</v>
      </c>
      <c r="AH17" s="11">
        <v>10</v>
      </c>
      <c r="AI17" s="11">
        <v>40</v>
      </c>
      <c r="AJ17" s="12"/>
      <c r="AK17" s="12"/>
    </row>
    <row r="18" spans="1:48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61"/>
      <c r="AG18" s="10"/>
      <c r="AH18" s="10"/>
      <c r="AI18" s="10"/>
      <c r="AJ18" s="10"/>
      <c r="AK18" s="10"/>
    </row>
    <row r="19" spans="1:48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19" t="s">
        <v>22</v>
      </c>
      <c r="AH19" s="19" t="s">
        <v>22</v>
      </c>
      <c r="AI19" s="19" t="s">
        <v>22</v>
      </c>
      <c r="AJ19" s="19" t="s">
        <v>22</v>
      </c>
      <c r="AK19" s="19" t="s">
        <v>20</v>
      </c>
    </row>
    <row r="20" spans="1:48" ht="68.25" customHeight="1" x14ac:dyDescent="0.3">
      <c r="A20" s="56">
        <v>45663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'12-30-1-5, 2025'!P24</f>
        <v>0</v>
      </c>
      <c r="Q20" s="21">
        <f>'12-30-1-5, 2025'!Q24</f>
        <v>0</v>
      </c>
      <c r="R20" s="21">
        <f>'12-30-1-5, 2025'!R24</f>
        <v>11284</v>
      </c>
      <c r="S20" s="21">
        <f>'12-30-1-5, 2025'!S24</f>
        <v>3100</v>
      </c>
      <c r="T20" s="21">
        <f>'12-30-1-5, 2025'!T24</f>
        <v>4945</v>
      </c>
      <c r="U20" s="21">
        <f>'12-30-1-5, 2025'!U24</f>
        <v>575</v>
      </c>
      <c r="V20" s="21">
        <f>'12-30-1-5, 2025'!V24</f>
        <v>0</v>
      </c>
      <c r="W20" s="21">
        <f>'12-30-1-5, 2025'!W24</f>
        <v>0</v>
      </c>
      <c r="X20" s="21">
        <f>'12-30-1-5, 2025'!X24</f>
        <v>0</v>
      </c>
      <c r="Y20" s="21">
        <f>'12-30-1-5, 2025'!Y24</f>
        <v>0</v>
      </c>
      <c r="Z20" s="21" t="e">
        <f>'12-30-1-5, 2025'!Z24</f>
        <v>#REF!</v>
      </c>
      <c r="AA20" s="21">
        <f>'12-30-1-5, 2025'!AA24</f>
        <v>25</v>
      </c>
      <c r="AB20" s="21" t="e">
        <f>'12-30-1-5, 2025'!AB24</f>
        <v>#REF!</v>
      </c>
      <c r="AC20" s="21">
        <f>'12-30-1-5, 2025'!AC24</f>
        <v>3106</v>
      </c>
      <c r="AD20" s="21">
        <f>'12-30-1-5, 2025'!AD24</f>
        <v>300</v>
      </c>
      <c r="AE20" s="21">
        <f>'12-30-1-5, 2025'!AE24</f>
        <v>0</v>
      </c>
      <c r="AF20" s="21">
        <f>'12-30-1-5, 2025'!AF24</f>
        <v>10762</v>
      </c>
      <c r="AG20" s="21">
        <f>'12-30-1-5, 2025'!AG24</f>
        <v>0</v>
      </c>
      <c r="AH20" s="21">
        <f>'12-30-1-5, 2025'!AH24</f>
        <v>6220</v>
      </c>
      <c r="AI20" s="21">
        <f>'12-30-1-5, 2025'!AI24</f>
        <v>1350</v>
      </c>
      <c r="AJ20" s="21">
        <f>'12-30-1-5, 2025'!AJ24</f>
        <v>0</v>
      </c>
      <c r="AK20" s="164">
        <f>'12-30-1-5, 2025'!AK24</f>
        <v>96</v>
      </c>
      <c r="AL20" s="28"/>
    </row>
    <row r="21" spans="1:48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>
        <f>500*91</f>
        <v>45500</v>
      </c>
      <c r="S21" s="26">
        <f>R21/91*25</f>
        <v>12500</v>
      </c>
      <c r="T21" s="25"/>
      <c r="U21" s="26">
        <f>T21/215*25</f>
        <v>0</v>
      </c>
      <c r="V21" s="23"/>
      <c r="W21" s="26">
        <f>V21/208*25</f>
        <v>0</v>
      </c>
      <c r="X21" s="23"/>
      <c r="Y21" s="26"/>
      <c r="Z21" s="23"/>
      <c r="AA21" s="23"/>
      <c r="AB21" s="23"/>
      <c r="AC21" s="23"/>
      <c r="AD21" s="23">
        <v>600</v>
      </c>
      <c r="AE21" s="23"/>
      <c r="AF21" s="23">
        <v>5060</v>
      </c>
      <c r="AG21" s="31"/>
      <c r="AH21" s="31">
        <v>12000</v>
      </c>
      <c r="AI21" s="31">
        <v>7500</v>
      </c>
      <c r="AJ21" s="23"/>
      <c r="AK21" s="32"/>
      <c r="AM21" s="33"/>
    </row>
    <row r="22" spans="1:48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K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0</v>
      </c>
      <c r="Q22" s="34">
        <f t="shared" si="0"/>
        <v>0</v>
      </c>
      <c r="R22" s="34">
        <f>R20+R21</f>
        <v>56784</v>
      </c>
      <c r="S22" s="34">
        <f t="shared" ref="S22" si="1">S20+S21</f>
        <v>15600</v>
      </c>
      <c r="T22" s="34">
        <f>T20+T21</f>
        <v>4945</v>
      </c>
      <c r="U22" s="34">
        <f t="shared" ref="U22" si="2">U20+U21</f>
        <v>575</v>
      </c>
      <c r="V22" s="34">
        <f t="shared" si="0"/>
        <v>0</v>
      </c>
      <c r="W22" s="34">
        <f>W20+W21</f>
        <v>0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25</v>
      </c>
      <c r="AB22" s="34" t="e">
        <f t="shared" si="0"/>
        <v>#REF!</v>
      </c>
      <c r="AC22" s="34">
        <f t="shared" si="0"/>
        <v>3106</v>
      </c>
      <c r="AD22" s="34">
        <f t="shared" si="0"/>
        <v>900</v>
      </c>
      <c r="AE22" s="34">
        <f t="shared" si="0"/>
        <v>0</v>
      </c>
      <c r="AF22" s="34">
        <f t="shared" si="0"/>
        <v>15822</v>
      </c>
      <c r="AG22" s="34">
        <f t="shared" si="0"/>
        <v>0</v>
      </c>
      <c r="AH22" s="34">
        <f t="shared" si="0"/>
        <v>18220</v>
      </c>
      <c r="AI22" s="34">
        <f t="shared" si="0"/>
        <v>8850</v>
      </c>
      <c r="AJ22" s="34">
        <f t="shared" si="0"/>
        <v>0</v>
      </c>
      <c r="AK22" s="165">
        <f t="shared" si="0"/>
        <v>96</v>
      </c>
    </row>
    <row r="23" spans="1:48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P23/80*25</f>
        <v>0</v>
      </c>
      <c r="R23" s="30">
        <v>9464</v>
      </c>
      <c r="S23" s="21">
        <f>R23/91*25</f>
        <v>2600</v>
      </c>
      <c r="T23" s="30">
        <v>0</v>
      </c>
      <c r="U23" s="21">
        <f>T23/215*25</f>
        <v>0</v>
      </c>
      <c r="V23" s="30">
        <v>0</v>
      </c>
      <c r="W23" s="22">
        <f>V23/208*25</f>
        <v>0</v>
      </c>
      <c r="X23" s="22"/>
      <c r="Y23" s="24"/>
      <c r="Z23" s="30"/>
      <c r="AA23" s="30">
        <v>0</v>
      </c>
      <c r="AB23" s="30"/>
      <c r="AC23" s="36">
        <v>215</v>
      </c>
      <c r="AD23" s="22">
        <v>70</v>
      </c>
      <c r="AE23" s="22">
        <v>0</v>
      </c>
      <c r="AF23" s="30">
        <v>791</v>
      </c>
      <c r="AG23" s="30"/>
      <c r="AH23" s="30">
        <v>880</v>
      </c>
      <c r="AI23" s="30">
        <v>675</v>
      </c>
      <c r="AJ23" s="22"/>
      <c r="AK23" s="38"/>
    </row>
    <row r="24" spans="1:48" s="3" customFormat="1" ht="100.5" customHeight="1" thickBot="1" x14ac:dyDescent="0.25">
      <c r="A24" s="39">
        <v>45303</v>
      </c>
      <c r="B24" s="336" t="s">
        <v>28</v>
      </c>
      <c r="C24" s="337"/>
      <c r="D24" s="40">
        <f>D22-D23</f>
        <v>0</v>
      </c>
      <c r="E24" s="40">
        <f t="shared" ref="E24:AJ24" si="3">E22-E23</f>
        <v>0</v>
      </c>
      <c r="F24" s="40">
        <f>F22-F23</f>
        <v>0</v>
      </c>
      <c r="G24" s="40">
        <f t="shared" si="3"/>
        <v>0</v>
      </c>
      <c r="H24" s="41" t="e">
        <f t="shared" si="3"/>
        <v>#REF!</v>
      </c>
      <c r="I24" s="41" t="e">
        <f t="shared" si="3"/>
        <v>#REF!</v>
      </c>
      <c r="J24" s="41">
        <f>J22-J23</f>
        <v>0</v>
      </c>
      <c r="K24" s="42">
        <f t="shared" ref="K24" si="4">K22-K23</f>
        <v>0</v>
      </c>
      <c r="L24" s="41">
        <f>L22-L23</f>
        <v>0</v>
      </c>
      <c r="M24" s="42">
        <f>M22-M23</f>
        <v>0</v>
      </c>
      <c r="N24" s="41" t="e">
        <f t="shared" ref="N24:U24" si="5">N22-N23</f>
        <v>#REF!</v>
      </c>
      <c r="O24" s="41" t="e">
        <f t="shared" si="5"/>
        <v>#REF!</v>
      </c>
      <c r="P24" s="40">
        <f>P22-P23</f>
        <v>0</v>
      </c>
      <c r="Q24" s="40">
        <f t="shared" si="5"/>
        <v>0</v>
      </c>
      <c r="R24" s="40">
        <f>R22-R23</f>
        <v>47320</v>
      </c>
      <c r="S24" s="40">
        <f t="shared" ref="S24" si="6">S22-S23</f>
        <v>13000</v>
      </c>
      <c r="T24" s="40">
        <f t="shared" si="5"/>
        <v>4945</v>
      </c>
      <c r="U24" s="40">
        <f t="shared" si="5"/>
        <v>575</v>
      </c>
      <c r="V24" s="40">
        <f>V22-V23</f>
        <v>0</v>
      </c>
      <c r="W24" s="40">
        <f>W22-W23</f>
        <v>0</v>
      </c>
      <c r="X24" s="40">
        <f>X22-X23</f>
        <v>0</v>
      </c>
      <c r="Y24" s="42">
        <f t="shared" ref="Y24" si="7">Y22-Y23</f>
        <v>0</v>
      </c>
      <c r="Z24" s="41" t="e">
        <f t="shared" si="3"/>
        <v>#REF!</v>
      </c>
      <c r="AA24" s="41">
        <f>AA22-AA23</f>
        <v>25</v>
      </c>
      <c r="AB24" s="41" t="e">
        <f t="shared" si="3"/>
        <v>#REF!</v>
      </c>
      <c r="AC24" s="93">
        <f>AC22-AC23</f>
        <v>2891</v>
      </c>
      <c r="AD24" s="40">
        <f t="shared" si="3"/>
        <v>830</v>
      </c>
      <c r="AE24" s="40">
        <f t="shared" si="3"/>
        <v>0</v>
      </c>
      <c r="AF24" s="41">
        <f t="shared" si="3"/>
        <v>15031</v>
      </c>
      <c r="AG24" s="41">
        <f t="shared" si="3"/>
        <v>0</v>
      </c>
      <c r="AH24" s="41">
        <f>AH22-AH23</f>
        <v>17340</v>
      </c>
      <c r="AI24" s="41">
        <f t="shared" si="3"/>
        <v>8175</v>
      </c>
      <c r="AJ24" s="40">
        <f t="shared" si="3"/>
        <v>0</v>
      </c>
      <c r="AK24" s="44">
        <f>AK22-AK23</f>
        <v>96</v>
      </c>
    </row>
    <row r="25" spans="1:48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8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48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F27" s="152"/>
      <c r="AG27" s="47"/>
      <c r="AH27" s="47"/>
      <c r="AI27" s="47"/>
      <c r="AJ27" s="46"/>
      <c r="AK27" s="46"/>
    </row>
    <row r="28" spans="1:48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G28" s="49"/>
      <c r="AH28" s="49"/>
      <c r="AI28" s="49"/>
      <c r="AJ28" s="49"/>
      <c r="AK28" s="49"/>
      <c r="AL28" s="46"/>
    </row>
    <row r="29" spans="1:48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G29" s="49"/>
      <c r="AH29" s="49"/>
      <c r="AI29" s="49"/>
      <c r="AJ29" s="49"/>
      <c r="AK29" s="49"/>
      <c r="AL29" s="46"/>
    </row>
    <row r="30" spans="1:48" s="45" customFormat="1" ht="24" customHeight="1" x14ac:dyDescent="0.4">
      <c r="A30" s="153" t="s">
        <v>111</v>
      </c>
      <c r="B30" s="154"/>
      <c r="C30" s="155"/>
      <c r="D30" s="155"/>
      <c r="E30" s="155"/>
      <c r="F30" s="155"/>
      <c r="G30" s="155"/>
      <c r="H30" s="156"/>
      <c r="I30" s="156"/>
      <c r="J30" s="156"/>
      <c r="K30" s="155"/>
      <c r="L30" s="155"/>
      <c r="M30" s="155"/>
      <c r="N30" s="154"/>
      <c r="O30" s="154"/>
      <c r="P30" s="154"/>
      <c r="Q30" s="153"/>
      <c r="R30" s="154"/>
      <c r="S30" s="153"/>
      <c r="T30" s="153" t="s">
        <v>107</v>
      </c>
      <c r="U30" s="155"/>
      <c r="V30" s="155"/>
      <c r="W30" s="153"/>
      <c r="X30" s="155"/>
      <c r="Y30" s="155"/>
      <c r="Z30" s="155"/>
      <c r="AA30" s="155"/>
      <c r="AB30" s="155"/>
      <c r="AC30" s="155"/>
      <c r="AD30" s="156" t="s">
        <v>117</v>
      </c>
      <c r="AE30" s="155"/>
      <c r="AF30" s="155"/>
      <c r="AG30" s="155"/>
      <c r="AH30" s="155"/>
      <c r="AI30" s="155"/>
      <c r="AL30" s="46"/>
    </row>
    <row r="31" spans="1:48" s="45" customFormat="1" ht="21.75" customHeight="1" x14ac:dyDescent="0.4">
      <c r="A31" s="157" t="s">
        <v>44</v>
      </c>
      <c r="B31" s="154"/>
      <c r="C31" s="154"/>
      <c r="D31" s="155"/>
      <c r="E31" s="155"/>
      <c r="F31" s="155"/>
      <c r="G31" s="155"/>
      <c r="H31" s="154"/>
      <c r="I31" s="154"/>
      <c r="J31" s="154"/>
      <c r="K31" s="154"/>
      <c r="L31" s="154"/>
      <c r="M31" s="154"/>
      <c r="N31" s="154"/>
      <c r="O31" s="154"/>
      <c r="P31" s="154"/>
      <c r="Q31" s="157"/>
      <c r="R31" s="154"/>
      <c r="S31" s="157"/>
      <c r="T31" s="157" t="s">
        <v>34</v>
      </c>
      <c r="U31" s="155"/>
      <c r="V31" s="155"/>
      <c r="W31" s="154"/>
      <c r="X31" s="154"/>
      <c r="Y31" s="155"/>
      <c r="Z31" s="155"/>
      <c r="AA31" s="155"/>
      <c r="AB31" s="155"/>
      <c r="AC31" s="155"/>
      <c r="AD31" s="154" t="s">
        <v>118</v>
      </c>
      <c r="AE31" s="155"/>
      <c r="AF31" s="155"/>
      <c r="AG31" s="154"/>
      <c r="AH31" s="154"/>
      <c r="AI31" s="154"/>
      <c r="AJ31" s="46"/>
      <c r="AK31" s="46"/>
    </row>
    <row r="32" spans="1:48" s="45" customFormat="1" ht="26.25" customHeight="1" x14ac:dyDescent="0.4">
      <c r="A32" s="157" t="s">
        <v>33</v>
      </c>
      <c r="B32" s="154"/>
      <c r="C32" s="154"/>
      <c r="D32" s="155"/>
      <c r="E32" s="155"/>
      <c r="F32" s="155"/>
      <c r="G32" s="155"/>
      <c r="H32" s="154"/>
      <c r="I32" s="154"/>
      <c r="J32" s="154"/>
      <c r="K32" s="154"/>
      <c r="L32" s="154"/>
      <c r="M32" s="154"/>
      <c r="N32" s="154"/>
      <c r="O32" s="154"/>
      <c r="P32" s="154"/>
      <c r="Q32" s="157"/>
      <c r="R32" s="154"/>
      <c r="S32" s="157"/>
      <c r="T32" s="157" t="s">
        <v>46</v>
      </c>
      <c r="U32" s="155"/>
      <c r="V32" s="155"/>
      <c r="W32" s="154"/>
      <c r="X32" s="154"/>
      <c r="Y32" s="154"/>
      <c r="Z32" s="154"/>
      <c r="AA32" s="154"/>
      <c r="AB32" s="154"/>
      <c r="AC32" s="155"/>
      <c r="AD32" s="154" t="s">
        <v>46</v>
      </c>
      <c r="AE32" s="155"/>
      <c r="AF32" s="155"/>
      <c r="AG32" s="154"/>
      <c r="AH32" s="154"/>
      <c r="AI32" s="154"/>
      <c r="AJ32" s="83"/>
      <c r="AK32" s="84"/>
      <c r="AL32" s="85"/>
      <c r="AM32" s="86"/>
      <c r="AN32" s="87"/>
      <c r="AO32" s="86"/>
      <c r="AP32" s="88"/>
      <c r="AQ32" s="84"/>
      <c r="AR32" s="84"/>
      <c r="AS32" s="86"/>
      <c r="AT32" s="86"/>
      <c r="AU32" s="86"/>
      <c r="AV32" s="84"/>
    </row>
    <row r="33" spans="1:38" s="46" customFormat="1" ht="24" customHeight="1" x14ac:dyDescent="0.4">
      <c r="A33" s="157" t="s">
        <v>112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 t="s">
        <v>51</v>
      </c>
      <c r="U33" s="154"/>
      <c r="V33" s="154"/>
      <c r="W33" s="154"/>
      <c r="X33" s="154" t="s">
        <v>51</v>
      </c>
      <c r="Y33" s="154"/>
      <c r="Z33" s="158"/>
      <c r="AA33" s="158"/>
      <c r="AB33" s="154"/>
      <c r="AC33" s="154"/>
      <c r="AD33" s="154"/>
      <c r="AE33" s="159"/>
      <c r="AF33" s="154"/>
      <c r="AG33" s="154"/>
      <c r="AH33" s="154"/>
      <c r="AI33" s="154"/>
    </row>
    <row r="34" spans="1:38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52"/>
    </row>
    <row r="36" spans="1:38" ht="22.5" x14ac:dyDescent="0.35">
      <c r="B36" s="55"/>
      <c r="C36" s="55"/>
      <c r="D36" s="55"/>
      <c r="E36" s="55"/>
    </row>
    <row r="37" spans="1:38" ht="15.75" customHeight="1" x14ac:dyDescent="0.3"/>
    <row r="40" spans="1:38" ht="15.75" customHeight="1" x14ac:dyDescent="0.3"/>
    <row r="42" spans="1:38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4" spans="1:38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7" spans="1:38" ht="22.5" x14ac:dyDescent="0.35">
      <c r="A47" s="55"/>
    </row>
  </sheetData>
  <mergeCells count="44">
    <mergeCell ref="B24:C24"/>
    <mergeCell ref="T18:U18"/>
    <mergeCell ref="V18:W18"/>
    <mergeCell ref="X18:Y18"/>
    <mergeCell ref="B20:C20"/>
    <mergeCell ref="A21:C21"/>
    <mergeCell ref="A22:C22"/>
    <mergeCell ref="T17:U17"/>
    <mergeCell ref="F17:G17"/>
    <mergeCell ref="H17:I17"/>
    <mergeCell ref="J17:K17"/>
    <mergeCell ref="A23:C23"/>
    <mergeCell ref="N18:O18"/>
    <mergeCell ref="P18:Q18"/>
    <mergeCell ref="R18:S18"/>
    <mergeCell ref="N17:O17"/>
    <mergeCell ref="P17:Q17"/>
    <mergeCell ref="R17:S17"/>
    <mergeCell ref="D18:E18"/>
    <mergeCell ref="F18:G18"/>
    <mergeCell ref="H18:I18"/>
    <mergeCell ref="J18:K18"/>
    <mergeCell ref="L18:M18"/>
    <mergeCell ref="T16:U16"/>
    <mergeCell ref="A10:AL10"/>
    <mergeCell ref="A11:AL11"/>
    <mergeCell ref="A14:C15"/>
    <mergeCell ref="D14:AK15"/>
    <mergeCell ref="A16:A19"/>
    <mergeCell ref="B16:C19"/>
    <mergeCell ref="D16:E16"/>
    <mergeCell ref="F16:G16"/>
    <mergeCell ref="H16:I16"/>
    <mergeCell ref="J16:K16"/>
    <mergeCell ref="X16:Y16"/>
    <mergeCell ref="D17:E17"/>
    <mergeCell ref="V16:W16"/>
    <mergeCell ref="V17:W17"/>
    <mergeCell ref="X17:Y17"/>
    <mergeCell ref="L17:M17"/>
    <mergeCell ref="N16:O16"/>
    <mergeCell ref="L16:M16"/>
    <mergeCell ref="P16:Q16"/>
    <mergeCell ref="R16:S16"/>
  </mergeCells>
  <pageMargins left="0.39370078740157483" right="0.11811023622047245" top="0.39370078740157483" bottom="0.31496062992125984" header="0.31496062992125984" footer="0.31496062992125984"/>
  <pageSetup paperSize="9" scale="40" orientation="landscape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6">
    <tabColor theme="0"/>
  </sheetPr>
  <dimension ref="A10:AV47"/>
  <sheetViews>
    <sheetView topLeftCell="A19" zoomScale="70" zoomScaleNormal="70" workbookViewId="0">
      <selection activeCell="AA22" sqref="AA2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hidden="1" customWidth="1"/>
    <col min="17" max="17" width="16" style="1" hidden="1" customWidth="1"/>
    <col min="18" max="18" width="20.140625" style="1" customWidth="1"/>
    <col min="19" max="19" width="16" style="1" customWidth="1"/>
    <col min="20" max="20" width="16.140625" style="1" customWidth="1"/>
    <col min="21" max="21" width="16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4.5703125" style="1" customWidth="1"/>
    <col min="28" max="28" width="7" style="1" hidden="1" customWidth="1"/>
    <col min="29" max="29" width="17.140625" style="1" customWidth="1"/>
    <col min="30" max="30" width="12.28515625" style="1" customWidth="1"/>
    <col min="31" max="31" width="22.42578125" style="1" bestFit="1" customWidth="1"/>
    <col min="32" max="32" width="14" style="1" customWidth="1"/>
    <col min="33" max="33" width="18.5703125" style="1" bestFit="1" customWidth="1"/>
    <col min="34" max="35" width="18.5703125" style="1" customWidth="1"/>
    <col min="36" max="36" width="12.42578125" style="1" bestFit="1" customWidth="1"/>
    <col min="37" max="37" width="11.140625" style="1" customWidth="1"/>
    <col min="38" max="38" width="14.28515625" style="1" bestFit="1" customWidth="1"/>
    <col min="39" max="39" width="10.28515625" style="1" bestFit="1" customWidth="1"/>
    <col min="40" max="40" width="9.140625" style="1"/>
    <col min="41" max="41" width="10.7109375" style="1" bestFit="1" customWidth="1"/>
    <col min="42" max="16384" width="9.140625" style="1"/>
  </cols>
  <sheetData>
    <row r="10" spans="1:38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</row>
    <row r="11" spans="1:38" ht="34.5" x14ac:dyDescent="0.45">
      <c r="A11" s="315" t="s">
        <v>144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</row>
    <row r="12" spans="1:38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8" ht="22.5" thickBot="1" x14ac:dyDescent="0.35"/>
    <row r="14" spans="1:38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8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1"/>
    </row>
    <row r="16" spans="1:38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49" t="s">
        <v>133</v>
      </c>
      <c r="U16" s="350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7" t="s">
        <v>40</v>
      </c>
      <c r="AH16" s="57" t="s">
        <v>41</v>
      </c>
      <c r="AI16" s="57" t="s">
        <v>41</v>
      </c>
      <c r="AJ16" s="57" t="s">
        <v>12</v>
      </c>
      <c r="AK16" s="162" t="s">
        <v>13</v>
      </c>
    </row>
    <row r="17" spans="1:48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4.9000000000000004</v>
      </c>
      <c r="AG17" s="11">
        <v>10</v>
      </c>
      <c r="AH17" s="11">
        <v>10</v>
      </c>
      <c r="AI17" s="11">
        <v>40</v>
      </c>
      <c r="AJ17" s="12"/>
      <c r="AK17" s="12"/>
    </row>
    <row r="18" spans="1:48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63"/>
      <c r="AG18" s="10"/>
      <c r="AH18" s="10"/>
      <c r="AI18" s="10"/>
      <c r="AJ18" s="10"/>
      <c r="AK18" s="10"/>
    </row>
    <row r="19" spans="1:48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19" t="s">
        <v>22</v>
      </c>
      <c r="AH19" s="19" t="s">
        <v>22</v>
      </c>
      <c r="AI19" s="19" t="s">
        <v>22</v>
      </c>
      <c r="AJ19" s="19" t="s">
        <v>22</v>
      </c>
      <c r="AK19" s="19" t="s">
        <v>20</v>
      </c>
    </row>
    <row r="20" spans="1:48" ht="68.25" customHeight="1" x14ac:dyDescent="0.3">
      <c r="A20" s="56">
        <v>45670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'12-30-1-5, 2025'!P24</f>
        <v>0</v>
      </c>
      <c r="Q20" s="21">
        <f>'12-30-1-5, 2025'!Q24</f>
        <v>0</v>
      </c>
      <c r="R20" s="21">
        <f>'1-6-12, 2025'!R24</f>
        <v>47320</v>
      </c>
      <c r="S20" s="21">
        <f>'1-6-12, 2025'!S24</f>
        <v>13000</v>
      </c>
      <c r="T20" s="21">
        <f>'1-6-12, 2025'!T24</f>
        <v>4945</v>
      </c>
      <c r="U20" s="21">
        <f>'1-6-12, 2025'!U24</f>
        <v>575</v>
      </c>
      <c r="V20" s="21">
        <f>'1-6-12, 2025'!V24</f>
        <v>0</v>
      </c>
      <c r="W20" s="21">
        <f>'1-6-12, 2025'!W24</f>
        <v>0</v>
      </c>
      <c r="X20" s="21">
        <f>'1-6-12, 2025'!X24</f>
        <v>0</v>
      </c>
      <c r="Y20" s="21">
        <f>'1-6-12, 2025'!Y24</f>
        <v>0</v>
      </c>
      <c r="Z20" s="21" t="e">
        <f>'1-6-12, 2025'!Z24</f>
        <v>#REF!</v>
      </c>
      <c r="AA20" s="21">
        <f>'1-6-12, 2025'!AA24</f>
        <v>25</v>
      </c>
      <c r="AB20" s="21" t="e">
        <f>'1-6-12, 2025'!AB24</f>
        <v>#REF!</v>
      </c>
      <c r="AC20" s="21">
        <f>'1-6-12, 2025'!AC24</f>
        <v>2891</v>
      </c>
      <c r="AD20" s="21">
        <f>'1-6-12, 2025'!AD24</f>
        <v>830</v>
      </c>
      <c r="AE20" s="21">
        <f>'1-6-12, 2025'!AE24</f>
        <v>0</v>
      </c>
      <c r="AF20" s="21">
        <f>'1-6-12, 2025'!AF24</f>
        <v>15031</v>
      </c>
      <c r="AG20" s="21">
        <f>'1-6-12, 2025'!AG24</f>
        <v>0</v>
      </c>
      <c r="AH20" s="21">
        <f>'1-6-12, 2025'!AH24</f>
        <v>17340</v>
      </c>
      <c r="AI20" s="21">
        <f>'1-6-12, 2025'!AI24</f>
        <v>8175</v>
      </c>
      <c r="AJ20" s="21">
        <f>'1-6-12, 2025'!AJ24</f>
        <v>0</v>
      </c>
      <c r="AK20" s="21">
        <f>'1-6-12, 2025'!AK24</f>
        <v>96</v>
      </c>
      <c r="AL20" s="28"/>
    </row>
    <row r="21" spans="1:48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R21/91*25</f>
        <v>0</v>
      </c>
      <c r="T21" s="25"/>
      <c r="U21" s="26">
        <f>T21/215*25</f>
        <v>0</v>
      </c>
      <c r="V21" s="23"/>
      <c r="W21" s="26">
        <f>V21/208*25</f>
        <v>0</v>
      </c>
      <c r="X21" s="23"/>
      <c r="Y21" s="26"/>
      <c r="Z21" s="23"/>
      <c r="AA21" s="23"/>
      <c r="AB21" s="23"/>
      <c r="AC21" s="23"/>
      <c r="AD21" s="23"/>
      <c r="AE21" s="23"/>
      <c r="AF21" s="23"/>
      <c r="AG21" s="31"/>
      <c r="AH21" s="31"/>
      <c r="AI21" s="31"/>
      <c r="AJ21" s="23"/>
      <c r="AK21" s="32"/>
      <c r="AM21" s="33"/>
    </row>
    <row r="22" spans="1:48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K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0</v>
      </c>
      <c r="Q22" s="34">
        <f t="shared" si="0"/>
        <v>0</v>
      </c>
      <c r="R22" s="34">
        <f>R20+R21</f>
        <v>47320</v>
      </c>
      <c r="S22" s="34">
        <f t="shared" ref="S22" si="1">S20+S21</f>
        <v>13000</v>
      </c>
      <c r="T22" s="34">
        <f>T20+T21</f>
        <v>4945</v>
      </c>
      <c r="U22" s="34">
        <f t="shared" ref="U22" si="2">U20+U21</f>
        <v>575</v>
      </c>
      <c r="V22" s="34">
        <f t="shared" si="0"/>
        <v>0</v>
      </c>
      <c r="W22" s="34">
        <f>W20+W21</f>
        <v>0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25</v>
      </c>
      <c r="AB22" s="34" t="e">
        <f t="shared" si="0"/>
        <v>#REF!</v>
      </c>
      <c r="AC22" s="34">
        <f t="shared" si="0"/>
        <v>2891</v>
      </c>
      <c r="AD22" s="34">
        <f t="shared" si="0"/>
        <v>830</v>
      </c>
      <c r="AE22" s="34">
        <f t="shared" si="0"/>
        <v>0</v>
      </c>
      <c r="AF22" s="34">
        <f t="shared" si="0"/>
        <v>15031</v>
      </c>
      <c r="AG22" s="34">
        <f t="shared" si="0"/>
        <v>0</v>
      </c>
      <c r="AH22" s="34">
        <f t="shared" si="0"/>
        <v>17340</v>
      </c>
      <c r="AI22" s="34">
        <f t="shared" si="0"/>
        <v>8175</v>
      </c>
      <c r="AJ22" s="34">
        <f t="shared" si="0"/>
        <v>0</v>
      </c>
      <c r="AK22" s="165">
        <f t="shared" si="0"/>
        <v>96</v>
      </c>
    </row>
    <row r="23" spans="1:48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P23/80*25</f>
        <v>0</v>
      </c>
      <c r="R23" s="30">
        <v>6552</v>
      </c>
      <c r="S23" s="21">
        <f>R23/91*25</f>
        <v>1800</v>
      </c>
      <c r="T23" s="30">
        <v>1290</v>
      </c>
      <c r="U23" s="21">
        <f>T23/215*25</f>
        <v>150</v>
      </c>
      <c r="V23" s="30">
        <v>0</v>
      </c>
      <c r="W23" s="22">
        <f>V23/208*25</f>
        <v>0</v>
      </c>
      <c r="X23" s="22"/>
      <c r="Y23" s="24"/>
      <c r="Z23" s="30"/>
      <c r="AA23" s="30">
        <v>0</v>
      </c>
      <c r="AB23" s="30"/>
      <c r="AC23" s="36">
        <v>136</v>
      </c>
      <c r="AD23" s="22">
        <v>58</v>
      </c>
      <c r="AE23" s="22"/>
      <c r="AF23" s="30">
        <v>704</v>
      </c>
      <c r="AG23" s="30"/>
      <c r="AH23" s="30">
        <v>815</v>
      </c>
      <c r="AI23" s="30">
        <v>450</v>
      </c>
      <c r="AJ23" s="22"/>
      <c r="AK23" s="38"/>
    </row>
    <row r="24" spans="1:48" s="3" customFormat="1" ht="100.5" customHeight="1" thickBot="1" x14ac:dyDescent="0.25">
      <c r="A24" s="39">
        <v>45310</v>
      </c>
      <c r="B24" s="336" t="s">
        <v>28</v>
      </c>
      <c r="C24" s="337"/>
      <c r="D24" s="40">
        <f>D22-D23</f>
        <v>0</v>
      </c>
      <c r="E24" s="40">
        <f t="shared" ref="E24:AJ24" si="3">E22-E23</f>
        <v>0</v>
      </c>
      <c r="F24" s="40">
        <f>F22-F23</f>
        <v>0</v>
      </c>
      <c r="G24" s="40">
        <f t="shared" si="3"/>
        <v>0</v>
      </c>
      <c r="H24" s="41" t="e">
        <f t="shared" si="3"/>
        <v>#REF!</v>
      </c>
      <c r="I24" s="41" t="e">
        <f t="shared" si="3"/>
        <v>#REF!</v>
      </c>
      <c r="J24" s="41">
        <f>J22-J23</f>
        <v>0</v>
      </c>
      <c r="K24" s="42">
        <f t="shared" ref="K24" si="4">K22-K23</f>
        <v>0</v>
      </c>
      <c r="L24" s="41">
        <f>L22-L23</f>
        <v>0</v>
      </c>
      <c r="M24" s="42">
        <f>M22-M23</f>
        <v>0</v>
      </c>
      <c r="N24" s="41" t="e">
        <f t="shared" ref="N24:U24" si="5">N22-N23</f>
        <v>#REF!</v>
      </c>
      <c r="O24" s="41" t="e">
        <f t="shared" si="5"/>
        <v>#REF!</v>
      </c>
      <c r="P24" s="40">
        <f>P22-P23</f>
        <v>0</v>
      </c>
      <c r="Q24" s="40">
        <f t="shared" si="5"/>
        <v>0</v>
      </c>
      <c r="R24" s="40">
        <f>R22-R23</f>
        <v>40768</v>
      </c>
      <c r="S24" s="40">
        <f t="shared" ref="S24" si="6">S22-S23</f>
        <v>11200</v>
      </c>
      <c r="T24" s="40">
        <f t="shared" si="5"/>
        <v>3655</v>
      </c>
      <c r="U24" s="40">
        <f t="shared" si="5"/>
        <v>425</v>
      </c>
      <c r="V24" s="40">
        <f>V22-V23</f>
        <v>0</v>
      </c>
      <c r="W24" s="40">
        <f>W22-W23</f>
        <v>0</v>
      </c>
      <c r="X24" s="40">
        <f>X22-X23</f>
        <v>0</v>
      </c>
      <c r="Y24" s="42">
        <f t="shared" ref="Y24" si="7">Y22-Y23</f>
        <v>0</v>
      </c>
      <c r="Z24" s="41" t="e">
        <f t="shared" si="3"/>
        <v>#REF!</v>
      </c>
      <c r="AA24" s="41">
        <f>AA22-AA23</f>
        <v>25</v>
      </c>
      <c r="AB24" s="41" t="e">
        <f t="shared" si="3"/>
        <v>#REF!</v>
      </c>
      <c r="AC24" s="93">
        <f>AC22-AC23</f>
        <v>2755</v>
      </c>
      <c r="AD24" s="40">
        <f t="shared" si="3"/>
        <v>772</v>
      </c>
      <c r="AE24" s="40">
        <f t="shared" si="3"/>
        <v>0</v>
      </c>
      <c r="AF24" s="41">
        <f t="shared" si="3"/>
        <v>14327</v>
      </c>
      <c r="AG24" s="41">
        <f t="shared" si="3"/>
        <v>0</v>
      </c>
      <c r="AH24" s="41">
        <f>AH22-AH23</f>
        <v>16525</v>
      </c>
      <c r="AI24" s="41">
        <f t="shared" si="3"/>
        <v>7725</v>
      </c>
      <c r="AJ24" s="40">
        <f t="shared" si="3"/>
        <v>0</v>
      </c>
      <c r="AK24" s="44">
        <f>AK22-AK23</f>
        <v>96</v>
      </c>
    </row>
    <row r="25" spans="1:48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8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48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F27" s="152"/>
      <c r="AG27" s="47"/>
      <c r="AH27" s="47"/>
      <c r="AI27" s="47"/>
      <c r="AJ27" s="46"/>
      <c r="AK27" s="46"/>
    </row>
    <row r="28" spans="1:48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G28" s="49"/>
      <c r="AH28" s="49"/>
      <c r="AI28" s="49"/>
      <c r="AJ28" s="49"/>
      <c r="AK28" s="49"/>
      <c r="AL28" s="46"/>
    </row>
    <row r="29" spans="1:48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G29" s="49"/>
      <c r="AH29" s="49"/>
      <c r="AI29" s="49"/>
      <c r="AJ29" s="49"/>
      <c r="AK29" s="49"/>
      <c r="AL29" s="46"/>
    </row>
    <row r="30" spans="1:48" s="45" customFormat="1" ht="24" customHeight="1" x14ac:dyDescent="0.4">
      <c r="A30" s="153" t="s">
        <v>111</v>
      </c>
      <c r="B30" s="154"/>
      <c r="C30" s="155"/>
      <c r="D30" s="155"/>
      <c r="E30" s="155"/>
      <c r="F30" s="155"/>
      <c r="G30" s="155"/>
      <c r="H30" s="156"/>
      <c r="I30" s="156"/>
      <c r="J30" s="156"/>
      <c r="K30" s="155"/>
      <c r="L30" s="155"/>
      <c r="M30" s="155"/>
      <c r="N30" s="154"/>
      <c r="O30" s="154"/>
      <c r="P30" s="154"/>
      <c r="Q30" s="153"/>
      <c r="R30" s="154"/>
      <c r="S30" s="153"/>
      <c r="T30" s="153" t="s">
        <v>31</v>
      </c>
      <c r="U30" s="155"/>
      <c r="V30" s="155"/>
      <c r="W30" s="153"/>
      <c r="X30" s="153" t="s">
        <v>31</v>
      </c>
      <c r="Y30" s="155"/>
      <c r="Z30" s="155"/>
      <c r="AA30" s="153"/>
      <c r="AB30" s="155"/>
      <c r="AC30" s="155"/>
      <c r="AD30" s="156" t="s">
        <v>117</v>
      </c>
      <c r="AE30" s="155"/>
      <c r="AF30" s="155"/>
      <c r="AG30" s="155"/>
      <c r="AH30" s="155"/>
      <c r="AI30" s="155"/>
      <c r="AL30" s="46"/>
    </row>
    <row r="31" spans="1:48" s="45" customFormat="1" ht="21.75" customHeight="1" x14ac:dyDescent="0.4">
      <c r="A31" s="157" t="s">
        <v>44</v>
      </c>
      <c r="B31" s="154"/>
      <c r="C31" s="154"/>
      <c r="D31" s="155"/>
      <c r="E31" s="155"/>
      <c r="F31" s="155"/>
      <c r="G31" s="155"/>
      <c r="H31" s="154"/>
      <c r="I31" s="154"/>
      <c r="J31" s="154"/>
      <c r="K31" s="154"/>
      <c r="L31" s="154"/>
      <c r="M31" s="154"/>
      <c r="N31" s="154"/>
      <c r="O31" s="154"/>
      <c r="P31" s="154"/>
      <c r="Q31" s="157"/>
      <c r="R31" s="154"/>
      <c r="S31" s="157"/>
      <c r="T31" s="157" t="s">
        <v>64</v>
      </c>
      <c r="U31" s="155"/>
      <c r="V31" s="155"/>
      <c r="W31" s="154"/>
      <c r="X31" s="157" t="s">
        <v>64</v>
      </c>
      <c r="Y31" s="155"/>
      <c r="Z31" s="155"/>
      <c r="AA31" s="154"/>
      <c r="AB31" s="155"/>
      <c r="AC31" s="155"/>
      <c r="AD31" s="154" t="s">
        <v>118</v>
      </c>
      <c r="AE31" s="155"/>
      <c r="AF31" s="155"/>
      <c r="AG31" s="154"/>
      <c r="AH31" s="154"/>
      <c r="AI31" s="154"/>
      <c r="AJ31" s="46"/>
      <c r="AK31" s="46"/>
    </row>
    <row r="32" spans="1:48" s="45" customFormat="1" ht="26.25" customHeight="1" x14ac:dyDescent="0.4">
      <c r="A32" s="157" t="s">
        <v>33</v>
      </c>
      <c r="B32" s="154"/>
      <c r="C32" s="154"/>
      <c r="D32" s="155"/>
      <c r="E32" s="155"/>
      <c r="F32" s="155"/>
      <c r="G32" s="155"/>
      <c r="H32" s="154"/>
      <c r="I32" s="154"/>
      <c r="J32" s="154"/>
      <c r="K32" s="154"/>
      <c r="L32" s="154"/>
      <c r="M32" s="154"/>
      <c r="N32" s="154"/>
      <c r="O32" s="154"/>
      <c r="P32" s="154"/>
      <c r="Q32" s="157"/>
      <c r="R32" s="154"/>
      <c r="S32" s="157"/>
      <c r="T32" s="157" t="s">
        <v>46</v>
      </c>
      <c r="U32" s="155"/>
      <c r="V32" s="155"/>
      <c r="W32" s="154"/>
      <c r="X32" s="157" t="s">
        <v>46</v>
      </c>
      <c r="Y32" s="155"/>
      <c r="Z32" s="155"/>
      <c r="AA32" s="154"/>
      <c r="AB32" s="154"/>
      <c r="AC32" s="155"/>
      <c r="AD32" s="154" t="s">
        <v>46</v>
      </c>
      <c r="AE32" s="155"/>
      <c r="AF32" s="155"/>
      <c r="AG32" s="154"/>
      <c r="AH32" s="154"/>
      <c r="AI32" s="154"/>
      <c r="AJ32" s="83"/>
      <c r="AK32" s="84"/>
      <c r="AL32" s="85"/>
      <c r="AM32" s="86"/>
      <c r="AN32" s="87"/>
      <c r="AO32" s="86"/>
      <c r="AP32" s="88"/>
      <c r="AQ32" s="84"/>
      <c r="AR32" s="84"/>
      <c r="AS32" s="86"/>
      <c r="AT32" s="86"/>
      <c r="AU32" s="86"/>
      <c r="AV32" s="84"/>
    </row>
    <row r="33" spans="1:38" s="46" customFormat="1" ht="24" customHeight="1" x14ac:dyDescent="0.4">
      <c r="A33" s="157" t="s">
        <v>112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 t="s">
        <v>65</v>
      </c>
      <c r="U33" s="154"/>
      <c r="V33" s="154"/>
      <c r="W33" s="154"/>
      <c r="X33" s="154" t="s">
        <v>65</v>
      </c>
      <c r="Y33" s="154"/>
      <c r="Z33" s="154"/>
      <c r="AA33" s="154"/>
      <c r="AB33" s="154"/>
      <c r="AC33" s="154"/>
      <c r="AD33" s="154"/>
      <c r="AE33" s="159"/>
      <c r="AF33" s="154"/>
      <c r="AG33" s="154"/>
      <c r="AH33" s="154"/>
      <c r="AI33" s="154"/>
    </row>
    <row r="34" spans="1:38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52"/>
    </row>
    <row r="36" spans="1:38" ht="22.5" x14ac:dyDescent="0.35">
      <c r="B36" s="55"/>
      <c r="C36" s="55"/>
      <c r="D36" s="55"/>
      <c r="E36" s="55"/>
    </row>
    <row r="37" spans="1:38" ht="15.75" customHeight="1" x14ac:dyDescent="0.3"/>
    <row r="40" spans="1:38" ht="15.75" customHeight="1" x14ac:dyDescent="0.3"/>
    <row r="42" spans="1:38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4" spans="1:38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7" spans="1:38" ht="22.5" x14ac:dyDescent="0.35">
      <c r="A47" s="55"/>
    </row>
  </sheetData>
  <mergeCells count="44">
    <mergeCell ref="B24:C24"/>
    <mergeCell ref="T18:U18"/>
    <mergeCell ref="V18:W18"/>
    <mergeCell ref="X18:Y18"/>
    <mergeCell ref="B20:C20"/>
    <mergeCell ref="A21:C21"/>
    <mergeCell ref="A22:C22"/>
    <mergeCell ref="T17:U17"/>
    <mergeCell ref="F17:G17"/>
    <mergeCell ref="H17:I17"/>
    <mergeCell ref="J17:K17"/>
    <mergeCell ref="A23:C23"/>
    <mergeCell ref="N18:O18"/>
    <mergeCell ref="P18:Q18"/>
    <mergeCell ref="R18:S18"/>
    <mergeCell ref="N17:O17"/>
    <mergeCell ref="P17:Q17"/>
    <mergeCell ref="R17:S17"/>
    <mergeCell ref="D18:E18"/>
    <mergeCell ref="F18:G18"/>
    <mergeCell ref="H18:I18"/>
    <mergeCell ref="J18:K18"/>
    <mergeCell ref="L18:M18"/>
    <mergeCell ref="T16:U16"/>
    <mergeCell ref="A10:AL10"/>
    <mergeCell ref="A11:AL11"/>
    <mergeCell ref="A14:C15"/>
    <mergeCell ref="D14:AK15"/>
    <mergeCell ref="A16:A19"/>
    <mergeCell ref="B16:C19"/>
    <mergeCell ref="D16:E16"/>
    <mergeCell ref="F16:G16"/>
    <mergeCell ref="H16:I16"/>
    <mergeCell ref="J16:K16"/>
    <mergeCell ref="X16:Y16"/>
    <mergeCell ref="D17:E17"/>
    <mergeCell ref="V16:W16"/>
    <mergeCell ref="V17:W17"/>
    <mergeCell ref="X17:Y17"/>
    <mergeCell ref="L17:M17"/>
    <mergeCell ref="N16:O16"/>
    <mergeCell ref="L16:M16"/>
    <mergeCell ref="P16:Q16"/>
    <mergeCell ref="R16:S16"/>
  </mergeCells>
  <pageMargins left="0.39370078740157483" right="0.11811023622047245" top="0.39370078740157483" bottom="0.31496062992125984" header="0.31496062992125984" footer="0.31496062992125984"/>
  <pageSetup paperSize="9" scale="40" orientation="landscape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7">
    <tabColor theme="0"/>
  </sheetPr>
  <dimension ref="A10:AV47"/>
  <sheetViews>
    <sheetView topLeftCell="A19" zoomScale="70" zoomScaleNormal="70" workbookViewId="0">
      <selection activeCell="AC26" sqref="AC26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hidden="1" customWidth="1"/>
    <col min="17" max="17" width="16" style="1" hidden="1" customWidth="1"/>
    <col min="18" max="18" width="20.140625" style="1" customWidth="1"/>
    <col min="19" max="19" width="16" style="1" customWidth="1"/>
    <col min="20" max="20" width="16.140625" style="1" customWidth="1"/>
    <col min="21" max="21" width="16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4.5703125" style="1" customWidth="1"/>
    <col min="28" max="28" width="7" style="1" hidden="1" customWidth="1"/>
    <col min="29" max="29" width="17.140625" style="1" customWidth="1"/>
    <col min="30" max="30" width="12.28515625" style="1" customWidth="1"/>
    <col min="31" max="31" width="22.42578125" style="1" bestFit="1" customWidth="1"/>
    <col min="32" max="32" width="14" style="1" customWidth="1"/>
    <col min="33" max="33" width="18.5703125" style="1" bestFit="1" customWidth="1"/>
    <col min="34" max="35" width="18.5703125" style="1" customWidth="1"/>
    <col min="36" max="36" width="12.42578125" style="1" bestFit="1" customWidth="1"/>
    <col min="37" max="37" width="11.140625" style="1" customWidth="1"/>
    <col min="38" max="38" width="14.28515625" style="1" bestFit="1" customWidth="1"/>
    <col min="39" max="39" width="10.28515625" style="1" bestFit="1" customWidth="1"/>
    <col min="40" max="40" width="9.140625" style="1"/>
    <col min="41" max="41" width="10.7109375" style="1" bestFit="1" customWidth="1"/>
    <col min="42" max="16384" width="9.140625" style="1"/>
  </cols>
  <sheetData>
    <row r="10" spans="1:38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</row>
    <row r="11" spans="1:38" ht="34.5" x14ac:dyDescent="0.45">
      <c r="A11" s="315" t="s">
        <v>145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</row>
    <row r="12" spans="1:38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8" ht="22.5" thickBot="1" x14ac:dyDescent="0.35"/>
    <row r="14" spans="1:38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8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1"/>
    </row>
    <row r="16" spans="1:38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49" t="s">
        <v>133</v>
      </c>
      <c r="U16" s="350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7" t="s">
        <v>40</v>
      </c>
      <c r="AH16" s="57" t="s">
        <v>41</v>
      </c>
      <c r="AI16" s="57" t="s">
        <v>41</v>
      </c>
      <c r="AJ16" s="57" t="s">
        <v>12</v>
      </c>
      <c r="AK16" s="166" t="s">
        <v>13</v>
      </c>
    </row>
    <row r="17" spans="1:48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4.9000000000000004</v>
      </c>
      <c r="AG17" s="11">
        <v>10</v>
      </c>
      <c r="AH17" s="11">
        <v>10</v>
      </c>
      <c r="AI17" s="11">
        <v>40</v>
      </c>
      <c r="AJ17" s="12"/>
      <c r="AK17" s="12"/>
    </row>
    <row r="18" spans="1:48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67"/>
      <c r="AG18" s="10"/>
      <c r="AH18" s="10"/>
      <c r="AI18" s="10"/>
      <c r="AJ18" s="10"/>
      <c r="AK18" s="10"/>
    </row>
    <row r="19" spans="1:48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19" t="s">
        <v>22</v>
      </c>
      <c r="AH19" s="19" t="s">
        <v>22</v>
      </c>
      <c r="AI19" s="19" t="s">
        <v>22</v>
      </c>
      <c r="AJ19" s="19" t="s">
        <v>22</v>
      </c>
      <c r="AK19" s="19" t="s">
        <v>20</v>
      </c>
    </row>
    <row r="20" spans="1:48" ht="68.25" customHeight="1" x14ac:dyDescent="0.3">
      <c r="A20" s="56">
        <v>45677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'12-30-1-5, 2025'!P24</f>
        <v>0</v>
      </c>
      <c r="Q20" s="21">
        <f>'12-30-1-5, 2025'!Q24</f>
        <v>0</v>
      </c>
      <c r="R20" s="21">
        <f>'1-13-19, 2025'!R24</f>
        <v>40768</v>
      </c>
      <c r="S20" s="21">
        <f>'1-13-19, 2025'!S24</f>
        <v>11200</v>
      </c>
      <c r="T20" s="21">
        <f>'1-13-19, 2025'!T24</f>
        <v>3655</v>
      </c>
      <c r="U20" s="21">
        <f>'1-13-19, 2025'!U24</f>
        <v>425</v>
      </c>
      <c r="V20" s="21">
        <f>'1-13-19, 2025'!V24</f>
        <v>0</v>
      </c>
      <c r="W20" s="21">
        <f>'1-13-19, 2025'!W24</f>
        <v>0</v>
      </c>
      <c r="X20" s="21">
        <f>'1-13-19, 2025'!X24</f>
        <v>0</v>
      </c>
      <c r="Y20" s="21">
        <f>'1-13-19, 2025'!Y24</f>
        <v>0</v>
      </c>
      <c r="Z20" s="21" t="e">
        <f>'1-13-19, 2025'!Z24</f>
        <v>#REF!</v>
      </c>
      <c r="AA20" s="21">
        <f>'1-13-19, 2025'!AA24</f>
        <v>25</v>
      </c>
      <c r="AB20" s="21" t="e">
        <f>'1-13-19, 2025'!AB24</f>
        <v>#REF!</v>
      </c>
      <c r="AC20" s="21">
        <f>'1-13-19, 2025'!AC24</f>
        <v>2755</v>
      </c>
      <c r="AD20" s="21">
        <f>'1-13-19, 2025'!AD24</f>
        <v>772</v>
      </c>
      <c r="AE20" s="21">
        <f>'1-13-19, 2025'!AE24</f>
        <v>0</v>
      </c>
      <c r="AF20" s="21">
        <f>'1-13-19, 2025'!AF24</f>
        <v>14327</v>
      </c>
      <c r="AG20" s="21">
        <f>'1-13-19, 2025'!AG24</f>
        <v>0</v>
      </c>
      <c r="AH20" s="21">
        <f>'1-13-19, 2025'!AH24</f>
        <v>16525</v>
      </c>
      <c r="AI20" s="21">
        <f>'1-13-19, 2025'!AI24</f>
        <v>7725</v>
      </c>
      <c r="AJ20" s="21">
        <f>'1-13-19, 2025'!AJ24</f>
        <v>0</v>
      </c>
      <c r="AK20" s="21">
        <f>'1-13-19, 2025'!AK24</f>
        <v>96</v>
      </c>
      <c r="AL20" s="28"/>
    </row>
    <row r="21" spans="1:48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R21/91*25</f>
        <v>0</v>
      </c>
      <c r="T21" s="25"/>
      <c r="U21" s="26">
        <f>T21/215*25</f>
        <v>0</v>
      </c>
      <c r="V21" s="23"/>
      <c r="W21" s="26">
        <f>V21/208*25</f>
        <v>0</v>
      </c>
      <c r="X21" s="23"/>
      <c r="Y21" s="26"/>
      <c r="Z21" s="23"/>
      <c r="AA21" s="23"/>
      <c r="AB21" s="23"/>
      <c r="AC21" s="23"/>
      <c r="AD21" s="23"/>
      <c r="AE21" s="23"/>
      <c r="AF21" s="23"/>
      <c r="AG21" s="31"/>
      <c r="AH21" s="31"/>
      <c r="AI21" s="31"/>
      <c r="AJ21" s="23"/>
      <c r="AK21" s="32"/>
      <c r="AM21" s="33"/>
    </row>
    <row r="22" spans="1:48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K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0</v>
      </c>
      <c r="Q22" s="34">
        <f t="shared" si="0"/>
        <v>0</v>
      </c>
      <c r="R22" s="34">
        <f>R20+R21</f>
        <v>40768</v>
      </c>
      <c r="S22" s="34">
        <f t="shared" ref="S22" si="1">S20+S21</f>
        <v>11200</v>
      </c>
      <c r="T22" s="34">
        <f>T20+T21</f>
        <v>3655</v>
      </c>
      <c r="U22" s="34">
        <f t="shared" ref="U22" si="2">U20+U21</f>
        <v>425</v>
      </c>
      <c r="V22" s="34">
        <f t="shared" si="0"/>
        <v>0</v>
      </c>
      <c r="W22" s="34">
        <f>W20+W21</f>
        <v>0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25</v>
      </c>
      <c r="AB22" s="34" t="e">
        <f t="shared" si="0"/>
        <v>#REF!</v>
      </c>
      <c r="AC22" s="34">
        <f t="shared" si="0"/>
        <v>2755</v>
      </c>
      <c r="AD22" s="34">
        <f t="shared" si="0"/>
        <v>772</v>
      </c>
      <c r="AE22" s="34">
        <f t="shared" si="0"/>
        <v>0</v>
      </c>
      <c r="AF22" s="34">
        <f t="shared" si="0"/>
        <v>14327</v>
      </c>
      <c r="AG22" s="34">
        <f t="shared" si="0"/>
        <v>0</v>
      </c>
      <c r="AH22" s="34">
        <f t="shared" si="0"/>
        <v>16525</v>
      </c>
      <c r="AI22" s="34">
        <f t="shared" si="0"/>
        <v>7725</v>
      </c>
      <c r="AJ22" s="34">
        <f t="shared" si="0"/>
        <v>0</v>
      </c>
      <c r="AK22" s="165">
        <f t="shared" si="0"/>
        <v>96</v>
      </c>
    </row>
    <row r="23" spans="1:48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P23/80*25</f>
        <v>0</v>
      </c>
      <c r="R23" s="30">
        <v>5733</v>
      </c>
      <c r="S23" s="21">
        <f>R23/91*25</f>
        <v>1575</v>
      </c>
      <c r="T23" s="30">
        <v>1935</v>
      </c>
      <c r="U23" s="21">
        <f>T23/215*25</f>
        <v>225</v>
      </c>
      <c r="V23" s="30"/>
      <c r="W23" s="22">
        <f>V23/208*25</f>
        <v>0</v>
      </c>
      <c r="X23" s="22"/>
      <c r="Y23" s="24"/>
      <c r="Z23" s="30"/>
      <c r="AA23" s="30"/>
      <c r="AB23" s="30"/>
      <c r="AC23" s="36">
        <v>159</v>
      </c>
      <c r="AD23" s="22">
        <v>62</v>
      </c>
      <c r="AE23" s="22"/>
      <c r="AF23" s="30">
        <v>642</v>
      </c>
      <c r="AG23" s="30"/>
      <c r="AH23" s="30">
        <v>915</v>
      </c>
      <c r="AI23" s="30">
        <v>375</v>
      </c>
      <c r="AJ23" s="22"/>
      <c r="AK23" s="38"/>
    </row>
    <row r="24" spans="1:48" s="3" customFormat="1" ht="100.5" customHeight="1" thickBot="1" x14ac:dyDescent="0.25">
      <c r="A24" s="39">
        <v>45317</v>
      </c>
      <c r="B24" s="336" t="s">
        <v>28</v>
      </c>
      <c r="C24" s="337"/>
      <c r="D24" s="40">
        <f>D22-D23</f>
        <v>0</v>
      </c>
      <c r="E24" s="40">
        <f t="shared" ref="E24:AJ24" si="3">E22-E23</f>
        <v>0</v>
      </c>
      <c r="F24" s="40">
        <f>F22-F23</f>
        <v>0</v>
      </c>
      <c r="G24" s="40">
        <f t="shared" si="3"/>
        <v>0</v>
      </c>
      <c r="H24" s="41" t="e">
        <f t="shared" si="3"/>
        <v>#REF!</v>
      </c>
      <c r="I24" s="41" t="e">
        <f t="shared" si="3"/>
        <v>#REF!</v>
      </c>
      <c r="J24" s="41">
        <f>J22-J23</f>
        <v>0</v>
      </c>
      <c r="K24" s="42">
        <f t="shared" ref="K24" si="4">K22-K23</f>
        <v>0</v>
      </c>
      <c r="L24" s="41">
        <f>L22-L23</f>
        <v>0</v>
      </c>
      <c r="M24" s="42">
        <f>M22-M23</f>
        <v>0</v>
      </c>
      <c r="N24" s="41" t="e">
        <f t="shared" ref="N24:U24" si="5">N22-N23</f>
        <v>#REF!</v>
      </c>
      <c r="O24" s="41" t="e">
        <f t="shared" si="5"/>
        <v>#REF!</v>
      </c>
      <c r="P24" s="40">
        <f>P22-P23</f>
        <v>0</v>
      </c>
      <c r="Q24" s="40">
        <f t="shared" si="5"/>
        <v>0</v>
      </c>
      <c r="R24" s="40">
        <f>R22-R23</f>
        <v>35035</v>
      </c>
      <c r="S24" s="40">
        <f t="shared" ref="S24" si="6">S22-S23</f>
        <v>9625</v>
      </c>
      <c r="T24" s="40">
        <f t="shared" si="5"/>
        <v>1720</v>
      </c>
      <c r="U24" s="40">
        <f t="shared" si="5"/>
        <v>200</v>
      </c>
      <c r="V24" s="40">
        <f>V22-V23</f>
        <v>0</v>
      </c>
      <c r="W24" s="40">
        <f>W22-W23</f>
        <v>0</v>
      </c>
      <c r="X24" s="40">
        <f>X22-X23</f>
        <v>0</v>
      </c>
      <c r="Y24" s="42">
        <f t="shared" ref="Y24" si="7">Y22-Y23</f>
        <v>0</v>
      </c>
      <c r="Z24" s="41" t="e">
        <f t="shared" si="3"/>
        <v>#REF!</v>
      </c>
      <c r="AA24" s="41">
        <f>AA22-AA23</f>
        <v>25</v>
      </c>
      <c r="AB24" s="41" t="e">
        <f t="shared" si="3"/>
        <v>#REF!</v>
      </c>
      <c r="AC24" s="93">
        <f>AC22-AC23</f>
        <v>2596</v>
      </c>
      <c r="AD24" s="40">
        <f t="shared" si="3"/>
        <v>710</v>
      </c>
      <c r="AE24" s="40">
        <f t="shared" si="3"/>
        <v>0</v>
      </c>
      <c r="AF24" s="41">
        <f t="shared" si="3"/>
        <v>13685</v>
      </c>
      <c r="AG24" s="41">
        <f t="shared" si="3"/>
        <v>0</v>
      </c>
      <c r="AH24" s="41">
        <f>AH22-AH23</f>
        <v>15610</v>
      </c>
      <c r="AI24" s="41">
        <f t="shared" si="3"/>
        <v>7350</v>
      </c>
      <c r="AJ24" s="40">
        <f t="shared" si="3"/>
        <v>0</v>
      </c>
      <c r="AK24" s="44">
        <f>AK22-AK23</f>
        <v>96</v>
      </c>
    </row>
    <row r="25" spans="1:48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8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48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F27" s="152"/>
      <c r="AG27" s="47"/>
      <c r="AH27" s="47"/>
      <c r="AI27" s="47"/>
      <c r="AJ27" s="46"/>
      <c r="AK27" s="46"/>
    </row>
    <row r="28" spans="1:48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G28" s="49"/>
      <c r="AH28" s="49"/>
      <c r="AI28" s="49"/>
      <c r="AJ28" s="49"/>
      <c r="AK28" s="49"/>
      <c r="AL28" s="46"/>
    </row>
    <row r="29" spans="1:48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G29" s="49"/>
      <c r="AH29" s="49"/>
      <c r="AI29" s="49"/>
      <c r="AJ29" s="49"/>
      <c r="AK29" s="49"/>
      <c r="AL29" s="46"/>
    </row>
    <row r="30" spans="1:48" s="45" customFormat="1" ht="24" customHeight="1" x14ac:dyDescent="0.4">
      <c r="A30" s="153" t="s">
        <v>111</v>
      </c>
      <c r="B30" s="154"/>
      <c r="C30" s="155"/>
      <c r="D30" s="155"/>
      <c r="E30" s="155"/>
      <c r="F30" s="155"/>
      <c r="G30" s="155"/>
      <c r="H30" s="156"/>
      <c r="I30" s="156"/>
      <c r="J30" s="156"/>
      <c r="K30" s="155"/>
      <c r="L30" s="155"/>
      <c r="M30" s="155"/>
      <c r="N30" s="154"/>
      <c r="O30" s="154"/>
      <c r="P30" s="154"/>
      <c r="Q30" s="153"/>
      <c r="R30" s="154"/>
      <c r="S30" s="153"/>
      <c r="T30" s="153" t="s">
        <v>31</v>
      </c>
      <c r="U30" s="155"/>
      <c r="V30" s="155"/>
      <c r="W30" s="153"/>
      <c r="X30" s="153" t="s">
        <v>31</v>
      </c>
      <c r="Y30" s="155"/>
      <c r="Z30" s="155"/>
      <c r="AA30" s="153"/>
      <c r="AB30" s="155"/>
      <c r="AC30" s="155"/>
      <c r="AD30" s="156" t="s">
        <v>117</v>
      </c>
      <c r="AE30" s="155"/>
      <c r="AF30" s="155"/>
      <c r="AG30" s="155"/>
      <c r="AH30" s="155"/>
      <c r="AI30" s="155"/>
      <c r="AL30" s="46"/>
    </row>
    <row r="31" spans="1:48" s="45" customFormat="1" ht="21.75" customHeight="1" x14ac:dyDescent="0.4">
      <c r="A31" s="157" t="s">
        <v>44</v>
      </c>
      <c r="B31" s="154"/>
      <c r="C31" s="154"/>
      <c r="D31" s="155"/>
      <c r="E31" s="155"/>
      <c r="F31" s="155"/>
      <c r="G31" s="155"/>
      <c r="H31" s="154"/>
      <c r="I31" s="154"/>
      <c r="J31" s="154"/>
      <c r="K31" s="154"/>
      <c r="L31" s="154"/>
      <c r="M31" s="154"/>
      <c r="N31" s="154"/>
      <c r="O31" s="154"/>
      <c r="P31" s="154"/>
      <c r="Q31" s="157"/>
      <c r="R31" s="154"/>
      <c r="S31" s="157"/>
      <c r="T31" s="157" t="s">
        <v>64</v>
      </c>
      <c r="U31" s="155"/>
      <c r="V31" s="155"/>
      <c r="W31" s="154"/>
      <c r="X31" s="157" t="s">
        <v>64</v>
      </c>
      <c r="Y31" s="155"/>
      <c r="Z31" s="155"/>
      <c r="AA31" s="154"/>
      <c r="AB31" s="155"/>
      <c r="AC31" s="155"/>
      <c r="AD31" s="154" t="s">
        <v>118</v>
      </c>
      <c r="AE31" s="155"/>
      <c r="AF31" s="155"/>
      <c r="AG31" s="154"/>
      <c r="AH31" s="154"/>
      <c r="AI31" s="154"/>
      <c r="AJ31" s="46"/>
      <c r="AK31" s="46"/>
    </row>
    <row r="32" spans="1:48" s="45" customFormat="1" ht="26.25" customHeight="1" x14ac:dyDescent="0.4">
      <c r="A32" s="157" t="s">
        <v>33</v>
      </c>
      <c r="B32" s="154"/>
      <c r="C32" s="154"/>
      <c r="D32" s="155"/>
      <c r="E32" s="155"/>
      <c r="F32" s="155"/>
      <c r="G32" s="155"/>
      <c r="H32" s="154"/>
      <c r="I32" s="154"/>
      <c r="J32" s="154"/>
      <c r="K32" s="154"/>
      <c r="L32" s="154"/>
      <c r="M32" s="154"/>
      <c r="N32" s="154"/>
      <c r="O32" s="154"/>
      <c r="P32" s="154"/>
      <c r="Q32" s="157"/>
      <c r="R32" s="154"/>
      <c r="S32" s="157"/>
      <c r="T32" s="157" t="s">
        <v>46</v>
      </c>
      <c r="U32" s="155"/>
      <c r="V32" s="155"/>
      <c r="W32" s="154"/>
      <c r="X32" s="157" t="s">
        <v>46</v>
      </c>
      <c r="Y32" s="155"/>
      <c r="Z32" s="155"/>
      <c r="AA32" s="154"/>
      <c r="AB32" s="154"/>
      <c r="AC32" s="155"/>
      <c r="AD32" s="154" t="s">
        <v>46</v>
      </c>
      <c r="AE32" s="155"/>
      <c r="AF32" s="155"/>
      <c r="AG32" s="154"/>
      <c r="AH32" s="154"/>
      <c r="AI32" s="154"/>
      <c r="AJ32" s="83"/>
      <c r="AK32" s="84"/>
      <c r="AL32" s="85"/>
      <c r="AM32" s="86"/>
      <c r="AN32" s="87"/>
      <c r="AO32" s="86"/>
      <c r="AP32" s="88"/>
      <c r="AQ32" s="84"/>
      <c r="AR32" s="84"/>
      <c r="AS32" s="86"/>
      <c r="AT32" s="86"/>
      <c r="AU32" s="86"/>
      <c r="AV32" s="84"/>
    </row>
    <row r="33" spans="1:38" s="46" customFormat="1" ht="24" customHeight="1" x14ac:dyDescent="0.4">
      <c r="A33" s="157" t="s">
        <v>112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 t="s">
        <v>65</v>
      </c>
      <c r="U33" s="154"/>
      <c r="V33" s="154"/>
      <c r="W33" s="154"/>
      <c r="X33" s="154" t="s">
        <v>65</v>
      </c>
      <c r="Y33" s="154"/>
      <c r="Z33" s="154"/>
      <c r="AA33" s="154"/>
      <c r="AB33" s="154"/>
      <c r="AC33" s="154"/>
      <c r="AD33" s="154"/>
      <c r="AE33" s="159"/>
      <c r="AF33" s="154"/>
      <c r="AG33" s="154"/>
      <c r="AH33" s="154"/>
      <c r="AI33" s="154"/>
    </row>
    <row r="34" spans="1:38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52"/>
    </row>
    <row r="36" spans="1:38" ht="22.5" x14ac:dyDescent="0.35">
      <c r="B36" s="55"/>
      <c r="C36" s="55"/>
      <c r="D36" s="55"/>
      <c r="E36" s="55"/>
    </row>
    <row r="37" spans="1:38" ht="15.75" customHeight="1" x14ac:dyDescent="0.3"/>
    <row r="40" spans="1:38" ht="15.75" customHeight="1" x14ac:dyDescent="0.3"/>
    <row r="42" spans="1:38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4" spans="1:38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7" spans="1:38" ht="22.5" x14ac:dyDescent="0.35">
      <c r="A47" s="55"/>
    </row>
  </sheetData>
  <mergeCells count="44">
    <mergeCell ref="B24:C24"/>
    <mergeCell ref="T18:U18"/>
    <mergeCell ref="V18:W18"/>
    <mergeCell ref="X18:Y18"/>
    <mergeCell ref="B20:C20"/>
    <mergeCell ref="A21:C21"/>
    <mergeCell ref="A22:C22"/>
    <mergeCell ref="T17:U17"/>
    <mergeCell ref="F17:G17"/>
    <mergeCell ref="H17:I17"/>
    <mergeCell ref="J17:K17"/>
    <mergeCell ref="A23:C23"/>
    <mergeCell ref="N18:O18"/>
    <mergeCell ref="P18:Q18"/>
    <mergeCell ref="R18:S18"/>
    <mergeCell ref="N17:O17"/>
    <mergeCell ref="P17:Q17"/>
    <mergeCell ref="R17:S17"/>
    <mergeCell ref="D18:E18"/>
    <mergeCell ref="F18:G18"/>
    <mergeCell ref="H18:I18"/>
    <mergeCell ref="J18:K18"/>
    <mergeCell ref="L18:M18"/>
    <mergeCell ref="T16:U16"/>
    <mergeCell ref="A10:AL10"/>
    <mergeCell ref="A11:AL11"/>
    <mergeCell ref="A14:C15"/>
    <mergeCell ref="D14:AK15"/>
    <mergeCell ref="A16:A19"/>
    <mergeCell ref="B16:C19"/>
    <mergeCell ref="D16:E16"/>
    <mergeCell ref="F16:G16"/>
    <mergeCell ref="H16:I16"/>
    <mergeCell ref="J16:K16"/>
    <mergeCell ref="X16:Y16"/>
    <mergeCell ref="D17:E17"/>
    <mergeCell ref="V16:W16"/>
    <mergeCell ref="V17:W17"/>
    <mergeCell ref="X17:Y17"/>
    <mergeCell ref="L17:M17"/>
    <mergeCell ref="N16:O16"/>
    <mergeCell ref="L16:M16"/>
    <mergeCell ref="P16:Q16"/>
    <mergeCell ref="R16:S16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8">
    <tabColor theme="0"/>
  </sheetPr>
  <dimension ref="A10:AV47"/>
  <sheetViews>
    <sheetView topLeftCell="A13" zoomScale="70" zoomScaleNormal="70" workbookViewId="0">
      <selection activeCell="W33" sqref="W33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hidden="1" customWidth="1"/>
    <col min="17" max="17" width="16" style="1" hidden="1" customWidth="1"/>
    <col min="18" max="18" width="20.140625" style="1" customWidth="1"/>
    <col min="19" max="19" width="16" style="1" customWidth="1"/>
    <col min="20" max="20" width="16.140625" style="1" customWidth="1"/>
    <col min="21" max="21" width="16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4.5703125" style="1" customWidth="1"/>
    <col min="28" max="28" width="7" style="1" hidden="1" customWidth="1"/>
    <col min="29" max="29" width="17.140625" style="1" customWidth="1"/>
    <col min="30" max="30" width="12.28515625" style="1" customWidth="1"/>
    <col min="31" max="31" width="22.42578125" style="1" bestFit="1" customWidth="1"/>
    <col min="32" max="32" width="14" style="1" customWidth="1"/>
    <col min="33" max="33" width="18.5703125" style="1" bestFit="1" customWidth="1"/>
    <col min="34" max="35" width="18.5703125" style="1" customWidth="1"/>
    <col min="36" max="36" width="12.42578125" style="1" bestFit="1" customWidth="1"/>
    <col min="37" max="37" width="11.140625" style="1" customWidth="1"/>
    <col min="38" max="38" width="14.28515625" style="1" bestFit="1" customWidth="1"/>
    <col min="39" max="39" width="10.28515625" style="1" bestFit="1" customWidth="1"/>
    <col min="40" max="40" width="9.140625" style="1"/>
    <col min="41" max="41" width="10.7109375" style="1" bestFit="1" customWidth="1"/>
    <col min="42" max="16384" width="9.140625" style="1"/>
  </cols>
  <sheetData>
    <row r="10" spans="1:38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</row>
    <row r="11" spans="1:38" ht="34.5" x14ac:dyDescent="0.45">
      <c r="A11" s="315" t="s">
        <v>146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</row>
    <row r="12" spans="1:38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8" ht="22.5" thickBot="1" x14ac:dyDescent="0.35"/>
    <row r="14" spans="1:38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8"/>
    </row>
    <row r="15" spans="1:38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1"/>
    </row>
    <row r="16" spans="1:38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49" t="s">
        <v>133</v>
      </c>
      <c r="U16" s="350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7" t="s">
        <v>40</v>
      </c>
      <c r="AH16" s="57" t="s">
        <v>41</v>
      </c>
      <c r="AI16" s="57" t="s">
        <v>41</v>
      </c>
      <c r="AJ16" s="57" t="s">
        <v>12</v>
      </c>
      <c r="AK16" s="168" t="s">
        <v>13</v>
      </c>
    </row>
    <row r="17" spans="1:48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4.9000000000000004</v>
      </c>
      <c r="AG17" s="11">
        <v>10</v>
      </c>
      <c r="AH17" s="11">
        <v>10</v>
      </c>
      <c r="AI17" s="11">
        <v>40</v>
      </c>
      <c r="AJ17" s="12"/>
      <c r="AK17" s="12"/>
    </row>
    <row r="18" spans="1:48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69"/>
      <c r="AG18" s="10"/>
      <c r="AH18" s="10"/>
      <c r="AI18" s="10"/>
      <c r="AJ18" s="10"/>
      <c r="AK18" s="10"/>
    </row>
    <row r="19" spans="1:48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19" t="s">
        <v>22</v>
      </c>
      <c r="AH19" s="19" t="s">
        <v>22</v>
      </c>
      <c r="AI19" s="19" t="s">
        <v>22</v>
      </c>
      <c r="AJ19" s="19" t="s">
        <v>22</v>
      </c>
      <c r="AK19" s="19" t="s">
        <v>20</v>
      </c>
    </row>
    <row r="20" spans="1:48" ht="68.25" customHeight="1" x14ac:dyDescent="0.3">
      <c r="A20" s="56">
        <v>45684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'12-30-1-5, 2025'!P24</f>
        <v>0</v>
      </c>
      <c r="Q20" s="21">
        <f>'12-30-1-5, 2025'!Q24</f>
        <v>0</v>
      </c>
      <c r="R20" s="21">
        <f>'1-20-26, 2025'!R24</f>
        <v>35035</v>
      </c>
      <c r="S20" s="21">
        <f>'1-20-26, 2025'!S24</f>
        <v>9625</v>
      </c>
      <c r="T20" s="21">
        <f>'1-20-26, 2025'!T24</f>
        <v>1720</v>
      </c>
      <c r="U20" s="21">
        <f>'1-20-26, 2025'!U24</f>
        <v>200</v>
      </c>
      <c r="V20" s="21">
        <f>'1-20-26, 2025'!V24</f>
        <v>0</v>
      </c>
      <c r="W20" s="21">
        <f>'1-20-26, 2025'!W24</f>
        <v>0</v>
      </c>
      <c r="X20" s="21">
        <f>'1-20-26, 2025'!X24</f>
        <v>0</v>
      </c>
      <c r="Y20" s="21">
        <f>'1-20-26, 2025'!Y24</f>
        <v>0</v>
      </c>
      <c r="Z20" s="21" t="e">
        <f>'1-20-26, 2025'!Z24</f>
        <v>#REF!</v>
      </c>
      <c r="AA20" s="21">
        <f>'1-20-26, 2025'!AA24</f>
        <v>25</v>
      </c>
      <c r="AB20" s="21" t="e">
        <f>'1-20-26, 2025'!AB24</f>
        <v>#REF!</v>
      </c>
      <c r="AC20" s="21">
        <f>'1-20-26, 2025'!AC24</f>
        <v>2596</v>
      </c>
      <c r="AD20" s="21">
        <f>'1-20-26, 2025'!AD24</f>
        <v>710</v>
      </c>
      <c r="AE20" s="21">
        <f>'1-20-26, 2025'!AE24</f>
        <v>0</v>
      </c>
      <c r="AF20" s="21">
        <f>'1-20-26, 2025'!AF24</f>
        <v>13685</v>
      </c>
      <c r="AG20" s="21">
        <f>'1-20-26, 2025'!AG24</f>
        <v>0</v>
      </c>
      <c r="AH20" s="21">
        <f>'1-20-26, 2025'!AH24</f>
        <v>15610</v>
      </c>
      <c r="AI20" s="21">
        <f>'1-20-26, 2025'!AI24</f>
        <v>7350</v>
      </c>
      <c r="AJ20" s="21">
        <f>'1-20-26, 2025'!AJ24</f>
        <v>0</v>
      </c>
      <c r="AK20" s="21">
        <f>'1-20-26, 2025'!AK24</f>
        <v>96</v>
      </c>
      <c r="AL20" s="28"/>
    </row>
    <row r="21" spans="1:48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R21/91*25</f>
        <v>0</v>
      </c>
      <c r="T21" s="25"/>
      <c r="U21" s="26">
        <f>T21/215*25</f>
        <v>0</v>
      </c>
      <c r="V21" s="23"/>
      <c r="W21" s="26">
        <f>V21/208*25</f>
        <v>0</v>
      </c>
      <c r="X21" s="23"/>
      <c r="Y21" s="26"/>
      <c r="Z21" s="23"/>
      <c r="AA21" s="23"/>
      <c r="AB21" s="23"/>
      <c r="AC21" s="23"/>
      <c r="AD21" s="23"/>
      <c r="AE21" s="23"/>
      <c r="AF21" s="23"/>
      <c r="AG21" s="31"/>
      <c r="AH21" s="31"/>
      <c r="AI21" s="31"/>
      <c r="AJ21" s="23"/>
      <c r="AK21" s="32"/>
      <c r="AM21" s="33"/>
    </row>
    <row r="22" spans="1:48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K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0</v>
      </c>
      <c r="Q22" s="34">
        <f t="shared" si="0"/>
        <v>0</v>
      </c>
      <c r="R22" s="34">
        <f>R20+R21</f>
        <v>35035</v>
      </c>
      <c r="S22" s="34">
        <f t="shared" ref="S22" si="1">S20+S21</f>
        <v>9625</v>
      </c>
      <c r="T22" s="34">
        <f>T20+T21</f>
        <v>1720</v>
      </c>
      <c r="U22" s="34">
        <f t="shared" ref="U22" si="2">U20+U21</f>
        <v>200</v>
      </c>
      <c r="V22" s="34">
        <f t="shared" si="0"/>
        <v>0</v>
      </c>
      <c r="W22" s="34">
        <f>W20+W21</f>
        <v>0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25</v>
      </c>
      <c r="AB22" s="34" t="e">
        <f t="shared" si="0"/>
        <v>#REF!</v>
      </c>
      <c r="AC22" s="34">
        <f t="shared" si="0"/>
        <v>2596</v>
      </c>
      <c r="AD22" s="34">
        <f t="shared" si="0"/>
        <v>710</v>
      </c>
      <c r="AE22" s="34">
        <f t="shared" si="0"/>
        <v>0</v>
      </c>
      <c r="AF22" s="34">
        <f t="shared" si="0"/>
        <v>13685</v>
      </c>
      <c r="AG22" s="34">
        <f t="shared" si="0"/>
        <v>0</v>
      </c>
      <c r="AH22" s="34">
        <f t="shared" si="0"/>
        <v>15610</v>
      </c>
      <c r="AI22" s="34">
        <f t="shared" si="0"/>
        <v>7350</v>
      </c>
      <c r="AJ22" s="34">
        <f t="shared" si="0"/>
        <v>0</v>
      </c>
      <c r="AK22" s="165">
        <f t="shared" si="0"/>
        <v>96</v>
      </c>
    </row>
    <row r="23" spans="1:48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P23/80*25</f>
        <v>0</v>
      </c>
      <c r="R23" s="30">
        <v>6552</v>
      </c>
      <c r="S23" s="21">
        <f>R23/91*25</f>
        <v>1800</v>
      </c>
      <c r="T23" s="30">
        <v>215</v>
      </c>
      <c r="U23" s="21">
        <f>T23/215*25</f>
        <v>25</v>
      </c>
      <c r="V23" s="30"/>
      <c r="W23" s="22">
        <f>V23/208*25</f>
        <v>0</v>
      </c>
      <c r="X23" s="22"/>
      <c r="Y23" s="24"/>
      <c r="Z23" s="30"/>
      <c r="AA23" s="30"/>
      <c r="AB23" s="30"/>
      <c r="AC23" s="36">
        <f>114+21</f>
        <v>135</v>
      </c>
      <c r="AD23" s="22">
        <f>45+8</f>
        <v>53</v>
      </c>
      <c r="AE23" s="22"/>
      <c r="AF23" s="30">
        <f>488+148</f>
        <v>636</v>
      </c>
      <c r="AG23" s="30"/>
      <c r="AH23" s="30">
        <f>590+160</f>
        <v>750</v>
      </c>
      <c r="AI23" s="30">
        <f>225+75</f>
        <v>300</v>
      </c>
      <c r="AJ23" s="22"/>
      <c r="AK23" s="38"/>
    </row>
    <row r="24" spans="1:48" s="3" customFormat="1" ht="100.5" customHeight="1" thickBot="1" x14ac:dyDescent="0.25">
      <c r="A24" s="39">
        <v>45324</v>
      </c>
      <c r="B24" s="336" t="s">
        <v>28</v>
      </c>
      <c r="C24" s="337"/>
      <c r="D24" s="40">
        <f>D22-D23</f>
        <v>0</v>
      </c>
      <c r="E24" s="40">
        <f t="shared" ref="E24:AJ24" si="3">E22-E23</f>
        <v>0</v>
      </c>
      <c r="F24" s="40">
        <f>F22-F23</f>
        <v>0</v>
      </c>
      <c r="G24" s="40">
        <f t="shared" si="3"/>
        <v>0</v>
      </c>
      <c r="H24" s="41" t="e">
        <f t="shared" si="3"/>
        <v>#REF!</v>
      </c>
      <c r="I24" s="41" t="e">
        <f t="shared" si="3"/>
        <v>#REF!</v>
      </c>
      <c r="J24" s="41">
        <f>J22-J23</f>
        <v>0</v>
      </c>
      <c r="K24" s="42">
        <f t="shared" ref="K24" si="4">K22-K23</f>
        <v>0</v>
      </c>
      <c r="L24" s="41">
        <f>L22-L23</f>
        <v>0</v>
      </c>
      <c r="M24" s="42">
        <f>M22-M23</f>
        <v>0</v>
      </c>
      <c r="N24" s="41" t="e">
        <f t="shared" ref="N24:U24" si="5">N22-N23</f>
        <v>#REF!</v>
      </c>
      <c r="O24" s="41" t="e">
        <f t="shared" si="5"/>
        <v>#REF!</v>
      </c>
      <c r="P24" s="40">
        <f>P22-P23</f>
        <v>0</v>
      </c>
      <c r="Q24" s="40">
        <f t="shared" si="5"/>
        <v>0</v>
      </c>
      <c r="R24" s="40">
        <f>R22-R23</f>
        <v>28483</v>
      </c>
      <c r="S24" s="40">
        <f t="shared" ref="S24" si="6">S22-S23</f>
        <v>7825</v>
      </c>
      <c r="T24" s="40">
        <f t="shared" si="5"/>
        <v>1505</v>
      </c>
      <c r="U24" s="40">
        <f t="shared" si="5"/>
        <v>175</v>
      </c>
      <c r="V24" s="40">
        <f>V22-V23</f>
        <v>0</v>
      </c>
      <c r="W24" s="40">
        <f>W22-W23</f>
        <v>0</v>
      </c>
      <c r="X24" s="40">
        <f>X22-X23</f>
        <v>0</v>
      </c>
      <c r="Y24" s="42">
        <f t="shared" ref="Y24" si="7">Y22-Y23</f>
        <v>0</v>
      </c>
      <c r="Z24" s="41" t="e">
        <f t="shared" si="3"/>
        <v>#REF!</v>
      </c>
      <c r="AA24" s="41">
        <f>AA22-AA23</f>
        <v>25</v>
      </c>
      <c r="AB24" s="41" t="e">
        <f t="shared" si="3"/>
        <v>#REF!</v>
      </c>
      <c r="AC24" s="93">
        <f>AC22-AC23</f>
        <v>2461</v>
      </c>
      <c r="AD24" s="40">
        <f t="shared" si="3"/>
        <v>657</v>
      </c>
      <c r="AE24" s="40">
        <f t="shared" si="3"/>
        <v>0</v>
      </c>
      <c r="AF24" s="41">
        <f t="shared" si="3"/>
        <v>13049</v>
      </c>
      <c r="AG24" s="41">
        <f t="shared" si="3"/>
        <v>0</v>
      </c>
      <c r="AH24" s="41">
        <f>AH22-AH23</f>
        <v>14860</v>
      </c>
      <c r="AI24" s="41">
        <f t="shared" si="3"/>
        <v>7050</v>
      </c>
      <c r="AJ24" s="40">
        <f t="shared" si="3"/>
        <v>0</v>
      </c>
      <c r="AK24" s="44">
        <f>AK22-AK23</f>
        <v>96</v>
      </c>
    </row>
    <row r="25" spans="1:48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8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48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F27" s="152"/>
      <c r="AG27" s="47"/>
      <c r="AH27" s="47"/>
      <c r="AI27" s="47"/>
      <c r="AJ27" s="46"/>
      <c r="AK27" s="46"/>
    </row>
    <row r="28" spans="1:48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G28" s="49"/>
      <c r="AH28" s="49"/>
      <c r="AI28" s="49"/>
      <c r="AJ28" s="49"/>
      <c r="AK28" s="49"/>
      <c r="AL28" s="46"/>
    </row>
    <row r="29" spans="1:48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G29" s="49"/>
      <c r="AH29" s="49"/>
      <c r="AI29" s="49"/>
      <c r="AJ29" s="49"/>
      <c r="AK29" s="49"/>
      <c r="AL29" s="46"/>
    </row>
    <row r="30" spans="1:48" s="45" customFormat="1" ht="24" customHeight="1" x14ac:dyDescent="0.4">
      <c r="A30" s="153" t="s">
        <v>111</v>
      </c>
      <c r="B30" s="154"/>
      <c r="C30" s="155"/>
      <c r="D30" s="155"/>
      <c r="E30" s="155"/>
      <c r="F30" s="155"/>
      <c r="G30" s="155"/>
      <c r="H30" s="156"/>
      <c r="I30" s="156"/>
      <c r="J30" s="156"/>
      <c r="K30" s="155"/>
      <c r="L30" s="155"/>
      <c r="M30" s="155"/>
      <c r="N30" s="154"/>
      <c r="O30" s="154"/>
      <c r="P30" s="154"/>
      <c r="Q30" s="153"/>
      <c r="R30" s="154"/>
      <c r="S30" s="153"/>
      <c r="T30" s="153" t="s">
        <v>31</v>
      </c>
      <c r="U30" s="155"/>
      <c r="V30" s="155"/>
      <c r="W30" s="153"/>
      <c r="X30" s="153" t="s">
        <v>31</v>
      </c>
      <c r="Y30" s="155"/>
      <c r="Z30" s="155"/>
      <c r="AA30" s="153"/>
      <c r="AB30" s="155"/>
      <c r="AC30" s="155"/>
      <c r="AD30" s="156" t="s">
        <v>117</v>
      </c>
      <c r="AE30" s="155"/>
      <c r="AF30" s="155"/>
      <c r="AG30" s="155"/>
      <c r="AH30" s="155"/>
      <c r="AI30" s="155"/>
      <c r="AL30" s="46"/>
    </row>
    <row r="31" spans="1:48" s="45" customFormat="1" ht="21.75" customHeight="1" x14ac:dyDescent="0.4">
      <c r="A31" s="157" t="s">
        <v>44</v>
      </c>
      <c r="B31" s="154"/>
      <c r="C31" s="154"/>
      <c r="D31" s="155"/>
      <c r="E31" s="155"/>
      <c r="F31" s="155"/>
      <c r="G31" s="155"/>
      <c r="H31" s="154"/>
      <c r="I31" s="154"/>
      <c r="J31" s="154"/>
      <c r="K31" s="154"/>
      <c r="L31" s="154"/>
      <c r="M31" s="154"/>
      <c r="N31" s="154"/>
      <c r="O31" s="154"/>
      <c r="P31" s="154"/>
      <c r="Q31" s="157"/>
      <c r="R31" s="154"/>
      <c r="S31" s="157"/>
      <c r="T31" s="157" t="s">
        <v>64</v>
      </c>
      <c r="U31" s="155"/>
      <c r="V31" s="155"/>
      <c r="W31" s="154"/>
      <c r="X31" s="157" t="s">
        <v>64</v>
      </c>
      <c r="Y31" s="155"/>
      <c r="Z31" s="155"/>
      <c r="AA31" s="154"/>
      <c r="AB31" s="155"/>
      <c r="AC31" s="155"/>
      <c r="AD31" s="154" t="s">
        <v>118</v>
      </c>
      <c r="AE31" s="155"/>
      <c r="AF31" s="155"/>
      <c r="AG31" s="154"/>
      <c r="AH31" s="154"/>
      <c r="AI31" s="154"/>
      <c r="AJ31" s="46"/>
      <c r="AK31" s="46"/>
    </row>
    <row r="32" spans="1:48" s="45" customFormat="1" ht="26.25" customHeight="1" x14ac:dyDescent="0.4">
      <c r="A32" s="157" t="s">
        <v>33</v>
      </c>
      <c r="B32" s="154"/>
      <c r="C32" s="154"/>
      <c r="D32" s="155"/>
      <c r="E32" s="155"/>
      <c r="F32" s="155"/>
      <c r="G32" s="155"/>
      <c r="H32" s="154"/>
      <c r="I32" s="154"/>
      <c r="J32" s="154"/>
      <c r="K32" s="154"/>
      <c r="L32" s="154"/>
      <c r="M32" s="154"/>
      <c r="N32" s="154"/>
      <c r="O32" s="154"/>
      <c r="P32" s="154"/>
      <c r="Q32" s="157"/>
      <c r="R32" s="154"/>
      <c r="S32" s="157"/>
      <c r="T32" s="157" t="s">
        <v>46</v>
      </c>
      <c r="U32" s="155"/>
      <c r="V32" s="155"/>
      <c r="W32" s="154"/>
      <c r="X32" s="157" t="s">
        <v>46</v>
      </c>
      <c r="Y32" s="155"/>
      <c r="Z32" s="155"/>
      <c r="AA32" s="154"/>
      <c r="AB32" s="154"/>
      <c r="AC32" s="155"/>
      <c r="AD32" s="154" t="s">
        <v>46</v>
      </c>
      <c r="AE32" s="155"/>
      <c r="AF32" s="155"/>
      <c r="AG32" s="154"/>
      <c r="AH32" s="154"/>
      <c r="AI32" s="154"/>
      <c r="AJ32" s="83"/>
      <c r="AK32" s="84"/>
      <c r="AL32" s="85"/>
      <c r="AM32" s="86"/>
      <c r="AN32" s="87"/>
      <c r="AO32" s="86"/>
      <c r="AP32" s="88"/>
      <c r="AQ32" s="84"/>
      <c r="AR32" s="84"/>
      <c r="AS32" s="86"/>
      <c r="AT32" s="86"/>
      <c r="AU32" s="86"/>
      <c r="AV32" s="84"/>
    </row>
    <row r="33" spans="1:38" s="46" customFormat="1" ht="24" customHeight="1" x14ac:dyDescent="0.4">
      <c r="A33" s="157" t="s">
        <v>112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 t="s">
        <v>65</v>
      </c>
      <c r="U33" s="154"/>
      <c r="V33" s="154"/>
      <c r="W33" s="154"/>
      <c r="X33" s="154" t="s">
        <v>65</v>
      </c>
      <c r="Y33" s="154"/>
      <c r="Z33" s="154"/>
      <c r="AA33" s="154"/>
      <c r="AB33" s="154"/>
      <c r="AC33" s="154"/>
      <c r="AD33" s="154"/>
      <c r="AE33" s="159"/>
      <c r="AF33" s="154"/>
      <c r="AG33" s="154"/>
      <c r="AH33" s="154"/>
      <c r="AI33" s="154"/>
    </row>
    <row r="34" spans="1:38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52"/>
    </row>
    <row r="36" spans="1:38" ht="22.5" x14ac:dyDescent="0.35">
      <c r="B36" s="55"/>
      <c r="C36" s="55"/>
      <c r="D36" s="55"/>
      <c r="E36" s="55"/>
    </row>
    <row r="37" spans="1:38" ht="15.75" customHeight="1" x14ac:dyDescent="0.3"/>
    <row r="40" spans="1:38" ht="15.75" customHeight="1" x14ac:dyDescent="0.3"/>
    <row r="42" spans="1:38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4" spans="1:38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7" spans="1:38" ht="22.5" x14ac:dyDescent="0.35">
      <c r="A47" s="55"/>
    </row>
  </sheetData>
  <mergeCells count="44">
    <mergeCell ref="B24:C24"/>
    <mergeCell ref="T18:U18"/>
    <mergeCell ref="V18:W18"/>
    <mergeCell ref="X18:Y18"/>
    <mergeCell ref="B20:C20"/>
    <mergeCell ref="A21:C21"/>
    <mergeCell ref="A22:C22"/>
    <mergeCell ref="T17:U17"/>
    <mergeCell ref="F17:G17"/>
    <mergeCell ref="H17:I17"/>
    <mergeCell ref="J17:K17"/>
    <mergeCell ref="A23:C23"/>
    <mergeCell ref="N18:O18"/>
    <mergeCell ref="P18:Q18"/>
    <mergeCell ref="R18:S18"/>
    <mergeCell ref="N17:O17"/>
    <mergeCell ref="P17:Q17"/>
    <mergeCell ref="R17:S17"/>
    <mergeCell ref="D18:E18"/>
    <mergeCell ref="F18:G18"/>
    <mergeCell ref="H18:I18"/>
    <mergeCell ref="J18:K18"/>
    <mergeCell ref="L18:M18"/>
    <mergeCell ref="T16:U16"/>
    <mergeCell ref="A10:AL10"/>
    <mergeCell ref="A11:AL11"/>
    <mergeCell ref="A14:C15"/>
    <mergeCell ref="D14:AK15"/>
    <mergeCell ref="A16:A19"/>
    <mergeCell ref="B16:C19"/>
    <mergeCell ref="D16:E16"/>
    <mergeCell ref="F16:G16"/>
    <mergeCell ref="H16:I16"/>
    <mergeCell ref="J16:K16"/>
    <mergeCell ref="X16:Y16"/>
    <mergeCell ref="D17:E17"/>
    <mergeCell ref="V16:W16"/>
    <mergeCell ref="V17:W17"/>
    <mergeCell ref="X17:Y17"/>
    <mergeCell ref="L17:M17"/>
    <mergeCell ref="N16:O16"/>
    <mergeCell ref="L16:M16"/>
    <mergeCell ref="P16:Q16"/>
    <mergeCell ref="R16:S16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9">
    <tabColor theme="0"/>
  </sheetPr>
  <dimension ref="A10:AW47"/>
  <sheetViews>
    <sheetView topLeftCell="A13" zoomScale="70" zoomScaleNormal="70" workbookViewId="0">
      <selection activeCell="AG32" sqref="AG32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hidden="1" customWidth="1"/>
    <col min="17" max="17" width="16" style="1" hidden="1" customWidth="1"/>
    <col min="18" max="18" width="15.7109375" style="1" customWidth="1"/>
    <col min="19" max="19" width="13.7109375" style="1" customWidth="1"/>
    <col min="20" max="20" width="11.7109375" style="1" customWidth="1"/>
    <col min="21" max="21" width="12.7109375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2.5703125" style="1" customWidth="1"/>
    <col min="28" max="28" width="7" style="1" hidden="1" customWidth="1"/>
    <col min="29" max="29" width="14.85546875" style="1" customWidth="1"/>
    <col min="30" max="30" width="12.28515625" style="1" customWidth="1"/>
    <col min="31" max="31" width="22.42578125" style="1" bestFit="1" customWidth="1"/>
    <col min="32" max="33" width="14" style="1" customWidth="1"/>
    <col min="34" max="34" width="18.5703125" style="1" bestFit="1" customWidth="1"/>
    <col min="35" max="36" width="18.5703125" style="1" customWidth="1"/>
    <col min="37" max="37" width="12.42578125" style="1" bestFit="1" customWidth="1"/>
    <col min="38" max="38" width="11.140625" style="1" customWidth="1"/>
    <col min="39" max="39" width="14.28515625" style="1" bestFit="1" customWidth="1"/>
    <col min="40" max="40" width="10.28515625" style="1" bestFit="1" customWidth="1"/>
    <col min="41" max="41" width="9.140625" style="1"/>
    <col min="42" max="42" width="10.7109375" style="1" bestFit="1" customWidth="1"/>
    <col min="43" max="16384" width="9.140625" style="1"/>
  </cols>
  <sheetData>
    <row r="10" spans="1:39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</row>
    <row r="11" spans="1:39" ht="34.5" x14ac:dyDescent="0.45">
      <c r="A11" s="315" t="s">
        <v>147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</row>
    <row r="12" spans="1:39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9" ht="22.5" thickBot="1" x14ac:dyDescent="0.35"/>
    <row r="14" spans="1:39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8"/>
    </row>
    <row r="15" spans="1:39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1"/>
    </row>
    <row r="16" spans="1:39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49" t="s">
        <v>133</v>
      </c>
      <c r="U16" s="350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8" t="s">
        <v>10</v>
      </c>
      <c r="AH16" s="57" t="s">
        <v>40</v>
      </c>
      <c r="AI16" s="57" t="s">
        <v>41</v>
      </c>
      <c r="AJ16" s="57" t="s">
        <v>41</v>
      </c>
      <c r="AK16" s="57" t="s">
        <v>12</v>
      </c>
      <c r="AL16" s="170" t="s">
        <v>13</v>
      </c>
    </row>
    <row r="17" spans="1:49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2.4</v>
      </c>
      <c r="AG17" s="11">
        <v>4.9000000000000004</v>
      </c>
      <c r="AH17" s="11">
        <v>10</v>
      </c>
      <c r="AI17" s="11">
        <v>10</v>
      </c>
      <c r="AJ17" s="11">
        <v>40</v>
      </c>
      <c r="AK17" s="12"/>
      <c r="AL17" s="12"/>
    </row>
    <row r="18" spans="1:49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71"/>
      <c r="AG18" s="171"/>
      <c r="AH18" s="10"/>
      <c r="AI18" s="10"/>
      <c r="AJ18" s="10"/>
      <c r="AK18" s="10"/>
      <c r="AL18" s="10"/>
    </row>
    <row r="19" spans="1:49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20" t="s">
        <v>20</v>
      </c>
      <c r="AH19" s="19" t="s">
        <v>22</v>
      </c>
      <c r="AI19" s="19" t="s">
        <v>22</v>
      </c>
      <c r="AJ19" s="19" t="s">
        <v>22</v>
      </c>
      <c r="AK19" s="19" t="s">
        <v>22</v>
      </c>
      <c r="AL19" s="19" t="s">
        <v>20</v>
      </c>
    </row>
    <row r="20" spans="1:49" ht="68.25" customHeight="1" x14ac:dyDescent="0.3">
      <c r="A20" s="56">
        <v>45691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'12-30-1-5, 2025'!P24</f>
        <v>0</v>
      </c>
      <c r="Q20" s="21">
        <f>'12-30-1-5, 2025'!Q24</f>
        <v>0</v>
      </c>
      <c r="R20" s="21">
        <f>'1-27-2-2, 2025'!R24</f>
        <v>28483</v>
      </c>
      <c r="S20" s="21">
        <f>'1-27-2-2, 2025'!S24</f>
        <v>7825</v>
      </c>
      <c r="T20" s="21">
        <f>'1-27-2-2, 2025'!T24</f>
        <v>1505</v>
      </c>
      <c r="U20" s="21">
        <f>'1-27-2-2, 2025'!U24</f>
        <v>175</v>
      </c>
      <c r="V20" s="21">
        <f>'1-27-2-2, 2025'!V24</f>
        <v>0</v>
      </c>
      <c r="W20" s="21">
        <f>'1-27-2-2, 2025'!W24</f>
        <v>0</v>
      </c>
      <c r="X20" s="21">
        <f>'1-27-2-2, 2025'!X24</f>
        <v>0</v>
      </c>
      <c r="Y20" s="21">
        <f>'1-27-2-2, 2025'!Y24</f>
        <v>0</v>
      </c>
      <c r="Z20" s="21" t="e">
        <f>'1-27-2-2, 2025'!Z24</f>
        <v>#REF!</v>
      </c>
      <c r="AA20" s="21">
        <f>'1-27-2-2, 2025'!AA24</f>
        <v>25</v>
      </c>
      <c r="AB20" s="21" t="e">
        <f>'1-27-2-2, 2025'!AB24</f>
        <v>#REF!</v>
      </c>
      <c r="AC20" s="21">
        <f>'1-27-2-2, 2025'!AC24</f>
        <v>2461</v>
      </c>
      <c r="AD20" s="21">
        <f>'1-27-2-2, 2025'!AD24</f>
        <v>657</v>
      </c>
      <c r="AE20" s="21">
        <f>'1-27-2-2, 2025'!AE24</f>
        <v>0</v>
      </c>
      <c r="AF20" s="21">
        <f>'1-27-2-2, 2025'!AE24</f>
        <v>0</v>
      </c>
      <c r="AG20" s="21">
        <f>'1-27-2-2, 2025'!AF24</f>
        <v>13049</v>
      </c>
      <c r="AH20" s="21">
        <f>'1-27-2-2, 2025'!AG24</f>
        <v>0</v>
      </c>
      <c r="AI20" s="21">
        <f>'1-27-2-2, 2025'!AH24</f>
        <v>14860</v>
      </c>
      <c r="AJ20" s="21">
        <f>'1-27-2-2, 2025'!AI24</f>
        <v>7050</v>
      </c>
      <c r="AK20" s="21">
        <f>'1-27-2-2, 2025'!AJ24</f>
        <v>0</v>
      </c>
      <c r="AL20" s="164">
        <f>'1-27-2-2, 2025'!AK24</f>
        <v>96</v>
      </c>
      <c r="AM20" s="28"/>
    </row>
    <row r="21" spans="1:49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R21/91*25</f>
        <v>0</v>
      </c>
      <c r="T21" s="25"/>
      <c r="U21" s="26">
        <f>T21/215*25</f>
        <v>0</v>
      </c>
      <c r="V21" s="23">
        <f>225*208</f>
        <v>46800</v>
      </c>
      <c r="W21" s="26">
        <f>V21/208*25</f>
        <v>5625</v>
      </c>
      <c r="X21" s="23"/>
      <c r="Y21" s="26"/>
      <c r="Z21" s="23"/>
      <c r="AA21" s="23">
        <f>20*25</f>
        <v>500</v>
      </c>
      <c r="AB21" s="23"/>
      <c r="AC21" s="23"/>
      <c r="AD21" s="23"/>
      <c r="AE21" s="23"/>
      <c r="AF21" s="23">
        <v>4320</v>
      </c>
      <c r="AG21" s="23"/>
      <c r="AH21" s="31"/>
      <c r="AI21" s="31"/>
      <c r="AJ21" s="31"/>
      <c r="AK21" s="23"/>
      <c r="AL21" s="32"/>
      <c r="AN21" s="33"/>
    </row>
    <row r="22" spans="1:49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L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0</v>
      </c>
      <c r="Q22" s="34">
        <f t="shared" si="0"/>
        <v>0</v>
      </c>
      <c r="R22" s="34">
        <f>R20+R21</f>
        <v>28483</v>
      </c>
      <c r="S22" s="34">
        <f t="shared" ref="S22" si="1">S20+S21</f>
        <v>7825</v>
      </c>
      <c r="T22" s="34">
        <f>T20+T21</f>
        <v>1505</v>
      </c>
      <c r="U22" s="34">
        <f t="shared" ref="U22" si="2">U20+U21</f>
        <v>175</v>
      </c>
      <c r="V22" s="34">
        <f t="shared" si="0"/>
        <v>46800</v>
      </c>
      <c r="W22" s="34">
        <f>W20+W21</f>
        <v>5625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525</v>
      </c>
      <c r="AB22" s="34" t="e">
        <f t="shared" si="0"/>
        <v>#REF!</v>
      </c>
      <c r="AC22" s="34">
        <f t="shared" si="0"/>
        <v>2461</v>
      </c>
      <c r="AD22" s="34">
        <f t="shared" si="0"/>
        <v>657</v>
      </c>
      <c r="AE22" s="34">
        <f t="shared" si="0"/>
        <v>0</v>
      </c>
      <c r="AF22" s="34">
        <f t="shared" ref="AF22" si="3">AF20+AF21</f>
        <v>4320</v>
      </c>
      <c r="AG22" s="34">
        <f t="shared" si="0"/>
        <v>13049</v>
      </c>
      <c r="AH22" s="34">
        <f t="shared" si="0"/>
        <v>0</v>
      </c>
      <c r="AI22" s="34">
        <f t="shared" si="0"/>
        <v>14860</v>
      </c>
      <c r="AJ22" s="34">
        <f t="shared" si="0"/>
        <v>7050</v>
      </c>
      <c r="AK22" s="34">
        <f t="shared" si="0"/>
        <v>0</v>
      </c>
      <c r="AL22" s="165">
        <f t="shared" si="0"/>
        <v>96</v>
      </c>
    </row>
    <row r="23" spans="1:49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P23/80*25</f>
        <v>0</v>
      </c>
      <c r="R23" s="30">
        <v>1820</v>
      </c>
      <c r="S23" s="21">
        <f>R23/91*25</f>
        <v>500</v>
      </c>
      <c r="T23" s="30">
        <v>1505</v>
      </c>
      <c r="U23" s="21">
        <f>T23/215*25</f>
        <v>175</v>
      </c>
      <c r="V23" s="30">
        <v>3952</v>
      </c>
      <c r="W23" s="22">
        <f>V23/208*25</f>
        <v>475</v>
      </c>
      <c r="X23" s="22"/>
      <c r="Y23" s="24"/>
      <c r="Z23" s="30"/>
      <c r="AA23" s="30"/>
      <c r="AB23" s="30"/>
      <c r="AC23" s="36">
        <v>97</v>
      </c>
      <c r="AD23" s="22">
        <v>44</v>
      </c>
      <c r="AE23" s="22"/>
      <c r="AF23" s="30">
        <v>307</v>
      </c>
      <c r="AG23" s="30">
        <v>279</v>
      </c>
      <c r="AH23" s="30"/>
      <c r="AI23" s="30">
        <v>600</v>
      </c>
      <c r="AJ23" s="30">
        <v>75</v>
      </c>
      <c r="AK23" s="22"/>
      <c r="AL23" s="38"/>
    </row>
    <row r="24" spans="1:49" s="3" customFormat="1" ht="100.5" customHeight="1" thickBot="1" x14ac:dyDescent="0.25">
      <c r="A24" s="39">
        <v>45331</v>
      </c>
      <c r="B24" s="336" t="s">
        <v>28</v>
      </c>
      <c r="C24" s="337"/>
      <c r="D24" s="40">
        <f>D22-D23</f>
        <v>0</v>
      </c>
      <c r="E24" s="40">
        <f t="shared" ref="E24:AK24" si="4">E22-E23</f>
        <v>0</v>
      </c>
      <c r="F24" s="40">
        <f>F22-F23</f>
        <v>0</v>
      </c>
      <c r="G24" s="40">
        <f t="shared" si="4"/>
        <v>0</v>
      </c>
      <c r="H24" s="41" t="e">
        <f t="shared" si="4"/>
        <v>#REF!</v>
      </c>
      <c r="I24" s="41" t="e">
        <f t="shared" si="4"/>
        <v>#REF!</v>
      </c>
      <c r="J24" s="41">
        <f>J22-J23</f>
        <v>0</v>
      </c>
      <c r="K24" s="42">
        <f t="shared" ref="K24" si="5">K22-K23</f>
        <v>0</v>
      </c>
      <c r="L24" s="41">
        <f>L22-L23</f>
        <v>0</v>
      </c>
      <c r="M24" s="42">
        <f>M22-M23</f>
        <v>0</v>
      </c>
      <c r="N24" s="41" t="e">
        <f t="shared" ref="N24:U24" si="6">N22-N23</f>
        <v>#REF!</v>
      </c>
      <c r="O24" s="41" t="e">
        <f t="shared" si="6"/>
        <v>#REF!</v>
      </c>
      <c r="P24" s="40">
        <f>P22-P23</f>
        <v>0</v>
      </c>
      <c r="Q24" s="40">
        <f t="shared" si="6"/>
        <v>0</v>
      </c>
      <c r="R24" s="40">
        <f>R22-R23</f>
        <v>26663</v>
      </c>
      <c r="S24" s="40">
        <f t="shared" ref="S24" si="7">S22-S23</f>
        <v>7325</v>
      </c>
      <c r="T24" s="40">
        <f t="shared" si="6"/>
        <v>0</v>
      </c>
      <c r="U24" s="40">
        <f t="shared" si="6"/>
        <v>0</v>
      </c>
      <c r="V24" s="40">
        <f>V22-V23</f>
        <v>42848</v>
      </c>
      <c r="W24" s="40">
        <f>W22-W23</f>
        <v>5150</v>
      </c>
      <c r="X24" s="40">
        <f>X22-X23</f>
        <v>0</v>
      </c>
      <c r="Y24" s="42">
        <f t="shared" ref="Y24" si="8">Y22-Y23</f>
        <v>0</v>
      </c>
      <c r="Z24" s="41" t="e">
        <f t="shared" si="4"/>
        <v>#REF!</v>
      </c>
      <c r="AA24" s="41">
        <f>AA22-AA23</f>
        <v>525</v>
      </c>
      <c r="AB24" s="41" t="e">
        <f t="shared" si="4"/>
        <v>#REF!</v>
      </c>
      <c r="AC24" s="93">
        <f>AC22-AC23</f>
        <v>2364</v>
      </c>
      <c r="AD24" s="40">
        <f t="shared" si="4"/>
        <v>613</v>
      </c>
      <c r="AE24" s="40">
        <f t="shared" si="4"/>
        <v>0</v>
      </c>
      <c r="AF24" s="41">
        <f t="shared" ref="AF24" si="9">AF22-AF23</f>
        <v>4013</v>
      </c>
      <c r="AG24" s="41">
        <f t="shared" si="4"/>
        <v>12770</v>
      </c>
      <c r="AH24" s="41">
        <f t="shared" si="4"/>
        <v>0</v>
      </c>
      <c r="AI24" s="41">
        <f>AI22-AI23</f>
        <v>14260</v>
      </c>
      <c r="AJ24" s="41">
        <f t="shared" si="4"/>
        <v>6975</v>
      </c>
      <c r="AK24" s="40">
        <f t="shared" si="4"/>
        <v>0</v>
      </c>
      <c r="AL24" s="44">
        <f>AL22-AL23</f>
        <v>96</v>
      </c>
    </row>
    <row r="25" spans="1:49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49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49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F27" s="152"/>
      <c r="AG27" s="152"/>
      <c r="AH27" s="47"/>
      <c r="AI27" s="47"/>
      <c r="AJ27" s="47"/>
      <c r="AK27" s="46"/>
      <c r="AL27" s="46"/>
    </row>
    <row r="28" spans="1:49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H28" s="49"/>
      <c r="AI28" s="49"/>
      <c r="AJ28" s="49"/>
      <c r="AK28" s="49"/>
      <c r="AL28" s="49"/>
      <c r="AM28" s="46"/>
    </row>
    <row r="29" spans="1:49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H29" s="49"/>
      <c r="AI29" s="49"/>
      <c r="AJ29" s="49"/>
      <c r="AK29" s="49"/>
      <c r="AL29" s="49"/>
      <c r="AM29" s="46"/>
    </row>
    <row r="30" spans="1:49" s="45" customFormat="1" ht="24" customHeight="1" x14ac:dyDescent="0.4">
      <c r="A30" s="153" t="s">
        <v>111</v>
      </c>
      <c r="B30" s="154"/>
      <c r="C30" s="155"/>
      <c r="D30" s="155"/>
      <c r="E30" s="155"/>
      <c r="F30" s="155"/>
      <c r="G30" s="155"/>
      <c r="H30" s="156"/>
      <c r="I30" s="156"/>
      <c r="J30" s="156"/>
      <c r="K30" s="155"/>
      <c r="L30" s="155"/>
      <c r="M30" s="155"/>
      <c r="N30" s="154"/>
      <c r="O30" s="154"/>
      <c r="P30" s="154"/>
      <c r="Q30" s="153"/>
      <c r="R30" s="154"/>
      <c r="S30" s="153"/>
      <c r="T30" s="153" t="s">
        <v>107</v>
      </c>
      <c r="U30" s="155"/>
      <c r="V30" s="155"/>
      <c r="W30" s="153"/>
      <c r="X30" s="155"/>
      <c r="Y30" s="155"/>
      <c r="Z30" s="155"/>
      <c r="AA30" s="155"/>
      <c r="AB30" s="155"/>
      <c r="AC30" s="155"/>
      <c r="AD30" s="156" t="s">
        <v>117</v>
      </c>
      <c r="AE30" s="155"/>
      <c r="AF30" s="155"/>
      <c r="AG30" s="155"/>
      <c r="AH30" s="155"/>
      <c r="AI30" s="155"/>
      <c r="AJ30" s="155"/>
      <c r="AM30" s="46"/>
    </row>
    <row r="31" spans="1:49" s="45" customFormat="1" ht="21.75" customHeight="1" x14ac:dyDescent="0.4">
      <c r="A31" s="157" t="s">
        <v>44</v>
      </c>
      <c r="B31" s="154"/>
      <c r="C31" s="154"/>
      <c r="D31" s="155"/>
      <c r="E31" s="155"/>
      <c r="F31" s="155"/>
      <c r="G31" s="155"/>
      <c r="H31" s="154"/>
      <c r="I31" s="154"/>
      <c r="J31" s="154"/>
      <c r="K31" s="154"/>
      <c r="L31" s="154"/>
      <c r="M31" s="154"/>
      <c r="N31" s="154"/>
      <c r="O31" s="154"/>
      <c r="P31" s="154"/>
      <c r="Q31" s="157"/>
      <c r="R31" s="154"/>
      <c r="S31" s="157"/>
      <c r="T31" s="157" t="s">
        <v>34</v>
      </c>
      <c r="U31" s="155"/>
      <c r="V31" s="155"/>
      <c r="W31" s="154"/>
      <c r="X31" s="154"/>
      <c r="Y31" s="155"/>
      <c r="Z31" s="155"/>
      <c r="AA31" s="155"/>
      <c r="AB31" s="155"/>
      <c r="AC31" s="155"/>
      <c r="AD31" s="154" t="s">
        <v>118</v>
      </c>
      <c r="AE31" s="155"/>
      <c r="AF31" s="155"/>
      <c r="AG31" s="155"/>
      <c r="AH31" s="154"/>
      <c r="AI31" s="154"/>
      <c r="AJ31" s="154"/>
      <c r="AK31" s="46"/>
      <c r="AL31" s="46"/>
    </row>
    <row r="32" spans="1:49" s="45" customFormat="1" ht="26.25" customHeight="1" x14ac:dyDescent="0.4">
      <c r="A32" s="157" t="s">
        <v>33</v>
      </c>
      <c r="B32" s="154"/>
      <c r="C32" s="154"/>
      <c r="D32" s="155"/>
      <c r="E32" s="155"/>
      <c r="F32" s="155"/>
      <c r="G32" s="155"/>
      <c r="H32" s="154"/>
      <c r="I32" s="154"/>
      <c r="J32" s="154"/>
      <c r="K32" s="154"/>
      <c r="L32" s="154"/>
      <c r="M32" s="154"/>
      <c r="N32" s="154"/>
      <c r="O32" s="154"/>
      <c r="P32" s="154"/>
      <c r="Q32" s="157"/>
      <c r="R32" s="154"/>
      <c r="S32" s="157"/>
      <c r="T32" s="157" t="s">
        <v>46</v>
      </c>
      <c r="U32" s="155"/>
      <c r="V32" s="155"/>
      <c r="W32" s="154"/>
      <c r="X32" s="154"/>
      <c r="Y32" s="154"/>
      <c r="Z32" s="154"/>
      <c r="AA32" s="154"/>
      <c r="AB32" s="154"/>
      <c r="AC32" s="155"/>
      <c r="AD32" s="154" t="s">
        <v>46</v>
      </c>
      <c r="AE32" s="155"/>
      <c r="AF32" s="155"/>
      <c r="AG32" s="155"/>
      <c r="AH32" s="154"/>
      <c r="AI32" s="154"/>
      <c r="AJ32" s="154"/>
      <c r="AK32" s="83"/>
      <c r="AL32" s="84"/>
      <c r="AM32" s="85"/>
      <c r="AN32" s="86"/>
      <c r="AO32" s="87"/>
      <c r="AP32" s="86"/>
      <c r="AQ32" s="88"/>
      <c r="AR32" s="84"/>
      <c r="AS32" s="84"/>
      <c r="AT32" s="86"/>
      <c r="AU32" s="86"/>
      <c r="AV32" s="86"/>
      <c r="AW32" s="84"/>
    </row>
    <row r="33" spans="1:39" s="46" customFormat="1" ht="24" customHeight="1" x14ac:dyDescent="0.4">
      <c r="A33" s="157" t="s">
        <v>112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 t="s">
        <v>51</v>
      </c>
      <c r="U33" s="154"/>
      <c r="V33" s="154"/>
      <c r="W33" s="154"/>
      <c r="X33" s="154" t="s">
        <v>51</v>
      </c>
      <c r="Y33" s="154"/>
      <c r="Z33" s="158"/>
      <c r="AA33" s="158"/>
      <c r="AB33" s="154"/>
      <c r="AC33" s="154"/>
      <c r="AD33" s="154"/>
      <c r="AE33" s="159"/>
      <c r="AF33" s="154"/>
      <c r="AG33" s="154"/>
      <c r="AH33" s="154"/>
      <c r="AI33" s="154"/>
      <c r="AJ33" s="154"/>
    </row>
    <row r="34" spans="1:39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52"/>
    </row>
    <row r="36" spans="1:39" ht="22.5" x14ac:dyDescent="0.35">
      <c r="B36" s="55"/>
      <c r="C36" s="55"/>
      <c r="D36" s="55"/>
      <c r="E36" s="55"/>
    </row>
    <row r="37" spans="1:39" ht="15.75" customHeight="1" x14ac:dyDescent="0.3"/>
    <row r="40" spans="1:39" ht="15.75" customHeight="1" x14ac:dyDescent="0.3"/>
    <row r="42" spans="1:39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</row>
    <row r="44" spans="1:39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7" spans="1:39" ht="22.5" x14ac:dyDescent="0.35">
      <c r="A47" s="55"/>
    </row>
  </sheetData>
  <mergeCells count="44">
    <mergeCell ref="B24:C24"/>
    <mergeCell ref="T18:U18"/>
    <mergeCell ref="V18:W18"/>
    <mergeCell ref="X18:Y18"/>
    <mergeCell ref="B20:C20"/>
    <mergeCell ref="A21:C21"/>
    <mergeCell ref="A22:C22"/>
    <mergeCell ref="T17:U17"/>
    <mergeCell ref="F17:G17"/>
    <mergeCell ref="H17:I17"/>
    <mergeCell ref="J17:K17"/>
    <mergeCell ref="A23:C23"/>
    <mergeCell ref="N18:O18"/>
    <mergeCell ref="P18:Q18"/>
    <mergeCell ref="R18:S18"/>
    <mergeCell ref="N17:O17"/>
    <mergeCell ref="P17:Q17"/>
    <mergeCell ref="R17:S17"/>
    <mergeCell ref="D18:E18"/>
    <mergeCell ref="F18:G18"/>
    <mergeCell ref="H18:I18"/>
    <mergeCell ref="J18:K18"/>
    <mergeCell ref="L18:M18"/>
    <mergeCell ref="T16:U16"/>
    <mergeCell ref="A10:AM10"/>
    <mergeCell ref="A11:AM11"/>
    <mergeCell ref="A14:C15"/>
    <mergeCell ref="D14:AL15"/>
    <mergeCell ref="A16:A19"/>
    <mergeCell ref="B16:C19"/>
    <mergeCell ref="D16:E16"/>
    <mergeCell ref="F16:G16"/>
    <mergeCell ref="H16:I16"/>
    <mergeCell ref="J16:K16"/>
    <mergeCell ref="X16:Y16"/>
    <mergeCell ref="D17:E17"/>
    <mergeCell ref="V16:W16"/>
    <mergeCell ref="V17:W17"/>
    <mergeCell ref="X17:Y17"/>
    <mergeCell ref="L17:M17"/>
    <mergeCell ref="N16:O16"/>
    <mergeCell ref="L16:M16"/>
    <mergeCell ref="P16:Q16"/>
    <mergeCell ref="R16:S16"/>
  </mergeCells>
  <pageMargins left="0.39370078740157483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0">
    <tabColor theme="0"/>
  </sheetPr>
  <dimension ref="A10:AW47"/>
  <sheetViews>
    <sheetView topLeftCell="A4" zoomScale="70" zoomScaleNormal="70" workbookViewId="0">
      <selection activeCell="AD24" sqref="AD24"/>
    </sheetView>
  </sheetViews>
  <sheetFormatPr defaultRowHeight="21.75" x14ac:dyDescent="0.3"/>
  <cols>
    <col min="1" max="1" width="18.5703125" style="1" customWidth="1"/>
    <col min="2" max="2" width="18.7109375" style="1" customWidth="1"/>
    <col min="3" max="3" width="21.140625" style="1" customWidth="1"/>
    <col min="4" max="5" width="6.42578125" style="1" hidden="1" customWidth="1"/>
    <col min="6" max="6" width="14" style="1" hidden="1" customWidth="1"/>
    <col min="7" max="7" width="18.7109375" style="1" hidden="1" customWidth="1"/>
    <col min="8" max="8" width="4.42578125" style="1" hidden="1" customWidth="1"/>
    <col min="9" max="9" width="4.7109375" style="1" hidden="1" customWidth="1"/>
    <col min="10" max="10" width="6.85546875" style="1" hidden="1" customWidth="1"/>
    <col min="11" max="11" width="9.140625" style="1" hidden="1" customWidth="1"/>
    <col min="12" max="12" width="6.42578125" style="1" hidden="1" customWidth="1"/>
    <col min="13" max="13" width="7.42578125" style="1" hidden="1" customWidth="1"/>
    <col min="14" max="15" width="10.7109375" style="1" hidden="1" customWidth="1"/>
    <col min="16" max="16" width="20.140625" style="1" hidden="1" customWidth="1"/>
    <col min="17" max="17" width="16" style="1" hidden="1" customWidth="1"/>
    <col min="18" max="18" width="15.7109375" style="1" customWidth="1"/>
    <col min="19" max="19" width="13.7109375" style="1" customWidth="1"/>
    <col min="20" max="20" width="11.7109375" style="1" customWidth="1"/>
    <col min="21" max="21" width="16.5703125" style="1" customWidth="1"/>
    <col min="22" max="22" width="13.7109375" style="1" bestFit="1" customWidth="1"/>
    <col min="23" max="23" width="14.85546875" style="1" customWidth="1"/>
    <col min="24" max="25" width="12.7109375" style="1" hidden="1" customWidth="1"/>
    <col min="26" max="26" width="2.140625" style="1" hidden="1" customWidth="1"/>
    <col min="27" max="27" width="12.5703125" style="1" customWidth="1"/>
    <col min="28" max="28" width="7" style="1" hidden="1" customWidth="1"/>
    <col min="29" max="29" width="14.85546875" style="1" customWidth="1"/>
    <col min="30" max="30" width="12.28515625" style="1" customWidth="1"/>
    <col min="31" max="31" width="22.42578125" style="1" bestFit="1" customWidth="1"/>
    <col min="32" max="33" width="14" style="1" customWidth="1"/>
    <col min="34" max="34" width="18.5703125" style="1" bestFit="1" customWidth="1"/>
    <col min="35" max="36" width="18.5703125" style="1" customWidth="1"/>
    <col min="37" max="37" width="12.42578125" style="1" bestFit="1" customWidth="1"/>
    <col min="38" max="38" width="11.140625" style="1" customWidth="1"/>
    <col min="39" max="39" width="14.28515625" style="1" bestFit="1" customWidth="1"/>
    <col min="40" max="40" width="10.28515625" style="1" bestFit="1" customWidth="1"/>
    <col min="41" max="41" width="9.140625" style="1"/>
    <col min="42" max="42" width="10.7109375" style="1" bestFit="1" customWidth="1"/>
    <col min="43" max="16384" width="9.140625" style="1"/>
  </cols>
  <sheetData>
    <row r="10" spans="1:39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</row>
    <row r="11" spans="1:39" ht="34.5" x14ac:dyDescent="0.45">
      <c r="A11" s="315" t="s">
        <v>148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</row>
    <row r="12" spans="1:39" ht="3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9" ht="22.5" thickBot="1" x14ac:dyDescent="0.35"/>
    <row r="14" spans="1:39" s="3" customFormat="1" ht="18" customHeight="1" x14ac:dyDescent="0.2">
      <c r="A14" s="316" t="s">
        <v>0</v>
      </c>
      <c r="B14" s="317"/>
      <c r="C14" s="318"/>
      <c r="D14" s="316" t="s">
        <v>1</v>
      </c>
      <c r="E14" s="317"/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8"/>
    </row>
    <row r="15" spans="1:39" s="3" customFormat="1" ht="24" customHeight="1" thickBot="1" x14ac:dyDescent="0.25">
      <c r="A15" s="319"/>
      <c r="B15" s="320"/>
      <c r="C15" s="321"/>
      <c r="D15" s="319"/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1"/>
    </row>
    <row r="16" spans="1:39" s="3" customFormat="1" x14ac:dyDescent="0.2">
      <c r="A16" s="322" t="s">
        <v>2</v>
      </c>
      <c r="B16" s="325" t="s">
        <v>3</v>
      </c>
      <c r="C16" s="325"/>
      <c r="D16" s="328" t="s">
        <v>4</v>
      </c>
      <c r="E16" s="329"/>
      <c r="F16" s="328" t="s">
        <v>4</v>
      </c>
      <c r="G16" s="329"/>
      <c r="H16" s="330" t="s">
        <v>5</v>
      </c>
      <c r="I16" s="331"/>
      <c r="J16" s="328" t="s">
        <v>4</v>
      </c>
      <c r="K16" s="329"/>
      <c r="L16" s="328" t="s">
        <v>4</v>
      </c>
      <c r="M16" s="329"/>
      <c r="N16" s="330" t="s">
        <v>5</v>
      </c>
      <c r="O16" s="331"/>
      <c r="P16" s="328" t="s">
        <v>4</v>
      </c>
      <c r="Q16" s="329"/>
      <c r="R16" s="328" t="s">
        <v>4</v>
      </c>
      <c r="S16" s="329"/>
      <c r="T16" s="353" t="s">
        <v>133</v>
      </c>
      <c r="U16" s="354"/>
      <c r="V16" s="328" t="s">
        <v>4</v>
      </c>
      <c r="W16" s="329"/>
      <c r="X16" s="328" t="s">
        <v>4</v>
      </c>
      <c r="Y16" s="329"/>
      <c r="Z16" s="5" t="s">
        <v>6</v>
      </c>
      <c r="AA16" s="6" t="s">
        <v>7</v>
      </c>
      <c r="AB16" s="6" t="s">
        <v>8</v>
      </c>
      <c r="AC16" s="7" t="s">
        <v>8</v>
      </c>
      <c r="AD16" s="5" t="s">
        <v>9</v>
      </c>
      <c r="AE16" s="57" t="s">
        <v>11</v>
      </c>
      <c r="AF16" s="58" t="s">
        <v>10</v>
      </c>
      <c r="AG16" s="58" t="s">
        <v>10</v>
      </c>
      <c r="AH16" s="57" t="s">
        <v>40</v>
      </c>
      <c r="AI16" s="57" t="s">
        <v>41</v>
      </c>
      <c r="AJ16" s="57" t="s">
        <v>41</v>
      </c>
      <c r="AK16" s="57" t="s">
        <v>12</v>
      </c>
      <c r="AL16" s="172" t="s">
        <v>13</v>
      </c>
    </row>
    <row r="17" spans="1:49" s="3" customFormat="1" ht="19.5" customHeight="1" x14ac:dyDescent="0.2">
      <c r="A17" s="323"/>
      <c r="B17" s="326"/>
      <c r="C17" s="326"/>
      <c r="D17" s="332">
        <v>62</v>
      </c>
      <c r="E17" s="333"/>
      <c r="F17" s="332">
        <v>36</v>
      </c>
      <c r="G17" s="333"/>
      <c r="H17" s="334">
        <v>200</v>
      </c>
      <c r="I17" s="335"/>
      <c r="J17" s="332">
        <v>208</v>
      </c>
      <c r="K17" s="333"/>
      <c r="L17" s="332">
        <v>150</v>
      </c>
      <c r="M17" s="333"/>
      <c r="N17" s="334">
        <v>150</v>
      </c>
      <c r="O17" s="335"/>
      <c r="P17" s="332">
        <v>80</v>
      </c>
      <c r="Q17" s="333"/>
      <c r="R17" s="332">
        <v>91</v>
      </c>
      <c r="S17" s="333"/>
      <c r="T17" s="351">
        <v>215</v>
      </c>
      <c r="U17" s="352"/>
      <c r="V17" s="332">
        <v>208</v>
      </c>
      <c r="W17" s="333"/>
      <c r="X17" s="332">
        <v>135</v>
      </c>
      <c r="Y17" s="333"/>
      <c r="Z17" s="8" t="s">
        <v>14</v>
      </c>
      <c r="AA17" s="9"/>
      <c r="AB17" s="9" t="s">
        <v>15</v>
      </c>
      <c r="AC17" s="10"/>
      <c r="AD17" s="8"/>
      <c r="AE17" s="11">
        <v>4.8</v>
      </c>
      <c r="AF17" s="11">
        <v>2.4</v>
      </c>
      <c r="AG17" s="11">
        <v>4.9000000000000004</v>
      </c>
      <c r="AH17" s="11">
        <v>10</v>
      </c>
      <c r="AI17" s="11">
        <v>10</v>
      </c>
      <c r="AJ17" s="11">
        <v>40</v>
      </c>
      <c r="AK17" s="12"/>
      <c r="AL17" s="12"/>
    </row>
    <row r="18" spans="1:49" s="3" customFormat="1" ht="19.5" customHeight="1" x14ac:dyDescent="0.2">
      <c r="A18" s="323"/>
      <c r="B18" s="326"/>
      <c r="C18" s="326"/>
      <c r="D18" s="332" t="s">
        <v>37</v>
      </c>
      <c r="E18" s="333"/>
      <c r="F18" s="332" t="s">
        <v>38</v>
      </c>
      <c r="G18" s="333"/>
      <c r="H18" s="334" t="s">
        <v>17</v>
      </c>
      <c r="I18" s="335"/>
      <c r="J18" s="332" t="s">
        <v>18</v>
      </c>
      <c r="K18" s="333"/>
      <c r="L18" s="332" t="s">
        <v>16</v>
      </c>
      <c r="M18" s="333"/>
      <c r="N18" s="334" t="s">
        <v>19</v>
      </c>
      <c r="O18" s="335"/>
      <c r="P18" s="332" t="s">
        <v>38</v>
      </c>
      <c r="Q18" s="333"/>
      <c r="R18" s="332" t="s">
        <v>97</v>
      </c>
      <c r="S18" s="333"/>
      <c r="T18" s="351"/>
      <c r="U18" s="352"/>
      <c r="V18" s="332" t="s">
        <v>97</v>
      </c>
      <c r="W18" s="333"/>
      <c r="X18" s="332" t="s">
        <v>19</v>
      </c>
      <c r="Y18" s="333"/>
      <c r="Z18" s="8"/>
      <c r="AA18" s="10"/>
      <c r="AB18" s="10"/>
      <c r="AC18" s="10"/>
      <c r="AD18" s="8"/>
      <c r="AE18" s="10"/>
      <c r="AF18" s="173"/>
      <c r="AG18" s="173"/>
      <c r="AH18" s="10"/>
      <c r="AI18" s="10"/>
      <c r="AJ18" s="10"/>
      <c r="AK18" s="10"/>
      <c r="AL18" s="10"/>
    </row>
    <row r="19" spans="1:49" s="3" customFormat="1" ht="22.5" thickBot="1" x14ac:dyDescent="0.25">
      <c r="A19" s="324"/>
      <c r="B19" s="327"/>
      <c r="C19" s="327"/>
      <c r="D19" s="14" t="s">
        <v>20</v>
      </c>
      <c r="E19" s="15" t="s">
        <v>21</v>
      </c>
      <c r="F19" s="14" t="s">
        <v>20</v>
      </c>
      <c r="G19" s="15" t="s">
        <v>21</v>
      </c>
      <c r="H19" s="16" t="s">
        <v>20</v>
      </c>
      <c r="I19" s="17" t="s">
        <v>21</v>
      </c>
      <c r="J19" s="14" t="s">
        <v>20</v>
      </c>
      <c r="K19" s="15" t="s">
        <v>21</v>
      </c>
      <c r="L19" s="14" t="s">
        <v>20</v>
      </c>
      <c r="M19" s="15" t="s">
        <v>21</v>
      </c>
      <c r="N19" s="16" t="s">
        <v>20</v>
      </c>
      <c r="O19" s="17" t="s">
        <v>21</v>
      </c>
      <c r="P19" s="14" t="s">
        <v>20</v>
      </c>
      <c r="Q19" s="15" t="s">
        <v>21</v>
      </c>
      <c r="R19" s="14" t="s">
        <v>20</v>
      </c>
      <c r="S19" s="15" t="s">
        <v>21</v>
      </c>
      <c r="T19" s="14" t="s">
        <v>20</v>
      </c>
      <c r="U19" s="15" t="s">
        <v>21</v>
      </c>
      <c r="V19" s="14" t="s">
        <v>20</v>
      </c>
      <c r="W19" s="15" t="s">
        <v>21</v>
      </c>
      <c r="X19" s="14" t="s">
        <v>20</v>
      </c>
      <c r="Y19" s="15" t="s">
        <v>21</v>
      </c>
      <c r="Z19" s="18" t="s">
        <v>20</v>
      </c>
      <c r="AA19" s="19" t="s">
        <v>21</v>
      </c>
      <c r="AB19" s="19" t="s">
        <v>22</v>
      </c>
      <c r="AC19" s="19" t="s">
        <v>22</v>
      </c>
      <c r="AD19" s="18" t="s">
        <v>20</v>
      </c>
      <c r="AE19" s="19" t="s">
        <v>20</v>
      </c>
      <c r="AF19" s="20" t="s">
        <v>20</v>
      </c>
      <c r="AG19" s="20" t="s">
        <v>20</v>
      </c>
      <c r="AH19" s="19" t="s">
        <v>22</v>
      </c>
      <c r="AI19" s="19" t="s">
        <v>22</v>
      </c>
      <c r="AJ19" s="19" t="s">
        <v>22</v>
      </c>
      <c r="AK19" s="19" t="s">
        <v>22</v>
      </c>
      <c r="AL19" s="19" t="s">
        <v>20</v>
      </c>
    </row>
    <row r="20" spans="1:49" ht="68.25" customHeight="1" x14ac:dyDescent="0.3">
      <c r="A20" s="56">
        <v>45698</v>
      </c>
      <c r="B20" s="338" t="s">
        <v>23</v>
      </c>
      <c r="C20" s="339"/>
      <c r="D20" s="21"/>
      <c r="E20" s="21">
        <f>'4-8-14,2024'!E24</f>
        <v>0</v>
      </c>
      <c r="F20" s="21">
        <f>'5-20-26,2024'!F24</f>
        <v>0</v>
      </c>
      <c r="G20" s="21">
        <f>'5-20-26,2024'!G24</f>
        <v>0</v>
      </c>
      <c r="H20" s="21" t="e">
        <f>'5-20-26,2024'!H24</f>
        <v>#REF!</v>
      </c>
      <c r="I20" s="21" t="e">
        <f>'5-20-26,2024'!I24</f>
        <v>#REF!</v>
      </c>
      <c r="J20" s="21">
        <f>'5-20-26,2024'!J24</f>
        <v>0</v>
      </c>
      <c r="K20" s="21">
        <f>'5-20-26,2024'!K24</f>
        <v>0</v>
      </c>
      <c r="L20" s="21">
        <f>'5-20-26,2024'!L24</f>
        <v>0</v>
      </c>
      <c r="M20" s="21">
        <f>'5-20-26,2024'!M24</f>
        <v>0</v>
      </c>
      <c r="N20" s="21" t="e">
        <f>'5-20-26,2024'!N24</f>
        <v>#REF!</v>
      </c>
      <c r="O20" s="21" t="e">
        <f>'5-20-26,2024'!O24</f>
        <v>#REF!</v>
      </c>
      <c r="P20" s="21">
        <f>'12-30-1-5, 2025'!P24</f>
        <v>0</v>
      </c>
      <c r="Q20" s="21">
        <f>'12-30-1-5, 2025'!Q24</f>
        <v>0</v>
      </c>
      <c r="R20" s="21">
        <f>'2-3-9, 2025'!R24</f>
        <v>26663</v>
      </c>
      <c r="S20" s="21">
        <f>'2-3-9, 2025'!S24</f>
        <v>7325</v>
      </c>
      <c r="T20" s="21">
        <f>'2-3-9, 2025'!T24</f>
        <v>0</v>
      </c>
      <c r="U20" s="21">
        <f>'2-3-9, 2025'!U24</f>
        <v>0</v>
      </c>
      <c r="V20" s="21">
        <f>'2-3-9, 2025'!V24</f>
        <v>42848</v>
      </c>
      <c r="W20" s="21">
        <f>'2-3-9, 2025'!W24</f>
        <v>5150</v>
      </c>
      <c r="X20" s="21">
        <f>'2-3-9, 2025'!X24</f>
        <v>0</v>
      </c>
      <c r="Y20" s="21">
        <f>'2-3-9, 2025'!Y24</f>
        <v>0</v>
      </c>
      <c r="Z20" s="21" t="e">
        <f>'2-3-9, 2025'!Z24</f>
        <v>#REF!</v>
      </c>
      <c r="AA20" s="21">
        <f>'2-3-9, 2025'!AA24</f>
        <v>525</v>
      </c>
      <c r="AB20" s="21" t="e">
        <f>'2-3-9, 2025'!AB24</f>
        <v>#REF!</v>
      </c>
      <c r="AC20" s="21">
        <f>'2-3-9, 2025'!AC24</f>
        <v>2364</v>
      </c>
      <c r="AD20" s="21">
        <f>'2-3-9, 2025'!AD24</f>
        <v>613</v>
      </c>
      <c r="AE20" s="21">
        <f>'2-3-9, 2025'!AE24</f>
        <v>0</v>
      </c>
      <c r="AF20" s="21">
        <f>'2-3-9, 2025'!AF24</f>
        <v>4013</v>
      </c>
      <c r="AG20" s="21">
        <f>'2-3-9, 2025'!AG24</f>
        <v>12770</v>
      </c>
      <c r="AH20" s="21">
        <f>'2-3-9, 2025'!AH24</f>
        <v>0</v>
      </c>
      <c r="AI20" s="21">
        <f>'2-3-9, 2025'!AI24</f>
        <v>14260</v>
      </c>
      <c r="AJ20" s="21">
        <f>'2-3-9, 2025'!AJ24</f>
        <v>6975</v>
      </c>
      <c r="AK20" s="21">
        <f>'2-3-9, 2025'!AK24</f>
        <v>0</v>
      </c>
      <c r="AL20" s="21">
        <f>'2-3-9, 2025'!AL24</f>
        <v>96</v>
      </c>
      <c r="AM20" s="28"/>
    </row>
    <row r="21" spans="1:49" ht="48" customHeight="1" x14ac:dyDescent="0.3">
      <c r="A21" s="340" t="s">
        <v>25</v>
      </c>
      <c r="B21" s="341"/>
      <c r="C21" s="342"/>
      <c r="D21" s="23"/>
      <c r="E21" s="24"/>
      <c r="F21" s="23"/>
      <c r="G21" s="22">
        <f>F21/36*25</f>
        <v>0</v>
      </c>
      <c r="H21" s="23"/>
      <c r="I21" s="23"/>
      <c r="J21" s="30"/>
      <c r="K21" s="26"/>
      <c r="L21" s="30"/>
      <c r="M21" s="26"/>
      <c r="N21" s="30"/>
      <c r="O21" s="26"/>
      <c r="P21" s="25"/>
      <c r="Q21" s="26">
        <f>P21/80*25</f>
        <v>0</v>
      </c>
      <c r="R21" s="25"/>
      <c r="S21" s="26">
        <f>R21/91*25</f>
        <v>0</v>
      </c>
      <c r="T21" s="25"/>
      <c r="U21" s="26">
        <f>T21/215*25</f>
        <v>0</v>
      </c>
      <c r="V21" s="23"/>
      <c r="W21" s="26">
        <f>V21/208*25</f>
        <v>0</v>
      </c>
      <c r="X21" s="23"/>
      <c r="Y21" s="26"/>
      <c r="Z21" s="23"/>
      <c r="AA21" s="23">
        <f>100*25</f>
        <v>2500</v>
      </c>
      <c r="AB21" s="23"/>
      <c r="AC21" s="23"/>
      <c r="AD21" s="23"/>
      <c r="AE21" s="23"/>
      <c r="AF21" s="23"/>
      <c r="AG21" s="23"/>
      <c r="AH21" s="31"/>
      <c r="AI21" s="31"/>
      <c r="AJ21" s="31"/>
      <c r="AK21" s="23"/>
      <c r="AL21" s="32"/>
      <c r="AN21" s="33"/>
    </row>
    <row r="22" spans="1:49" ht="54" customHeight="1" x14ac:dyDescent="0.3">
      <c r="A22" s="343" t="s">
        <v>26</v>
      </c>
      <c r="B22" s="344"/>
      <c r="C22" s="345"/>
      <c r="D22" s="34">
        <f>D20+D21</f>
        <v>0</v>
      </c>
      <c r="E22" s="80">
        <f t="shared" ref="E22:AL22" si="0">E20+E21</f>
        <v>0</v>
      </c>
      <c r="F22" s="34">
        <f>F20+F21</f>
        <v>0</v>
      </c>
      <c r="G22" s="111">
        <f t="shared" si="0"/>
        <v>0</v>
      </c>
      <c r="H22" s="34" t="e">
        <f t="shared" si="0"/>
        <v>#REF!</v>
      </c>
      <c r="I22" s="34" t="e">
        <f t="shared" si="0"/>
        <v>#REF!</v>
      </c>
      <c r="J22" s="34">
        <f t="shared" si="0"/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 t="e">
        <f t="shared" si="0"/>
        <v>#REF!</v>
      </c>
      <c r="O22" s="34" t="e">
        <f t="shared" si="0"/>
        <v>#REF!</v>
      </c>
      <c r="P22" s="34">
        <f>P20+P21</f>
        <v>0</v>
      </c>
      <c r="Q22" s="34">
        <f t="shared" si="0"/>
        <v>0</v>
      </c>
      <c r="R22" s="34">
        <f>R20+R21</f>
        <v>26663</v>
      </c>
      <c r="S22" s="34">
        <f t="shared" ref="S22" si="1">S20+S21</f>
        <v>7325</v>
      </c>
      <c r="T22" s="34">
        <f>T20+T21</f>
        <v>0</v>
      </c>
      <c r="U22" s="34">
        <f t="shared" ref="U22" si="2">U20+U21</f>
        <v>0</v>
      </c>
      <c r="V22" s="34">
        <f t="shared" si="0"/>
        <v>42848</v>
      </c>
      <c r="W22" s="34">
        <f>W20+W21</f>
        <v>5150</v>
      </c>
      <c r="X22" s="34">
        <f t="shared" si="0"/>
        <v>0</v>
      </c>
      <c r="Y22" s="34">
        <f t="shared" si="0"/>
        <v>0</v>
      </c>
      <c r="Z22" s="34" t="e">
        <f t="shared" si="0"/>
        <v>#REF!</v>
      </c>
      <c r="AA22" s="34">
        <f t="shared" si="0"/>
        <v>3025</v>
      </c>
      <c r="AB22" s="34" t="e">
        <f t="shared" si="0"/>
        <v>#REF!</v>
      </c>
      <c r="AC22" s="34">
        <f t="shared" si="0"/>
        <v>2364</v>
      </c>
      <c r="AD22" s="34">
        <f t="shared" si="0"/>
        <v>613</v>
      </c>
      <c r="AE22" s="34">
        <f t="shared" si="0"/>
        <v>0</v>
      </c>
      <c r="AF22" s="34">
        <f t="shared" si="0"/>
        <v>4013</v>
      </c>
      <c r="AG22" s="34">
        <f t="shared" si="0"/>
        <v>12770</v>
      </c>
      <c r="AH22" s="34">
        <f t="shared" si="0"/>
        <v>0</v>
      </c>
      <c r="AI22" s="34">
        <f t="shared" si="0"/>
        <v>14260</v>
      </c>
      <c r="AJ22" s="34">
        <f t="shared" si="0"/>
        <v>6975</v>
      </c>
      <c r="AK22" s="34">
        <f t="shared" si="0"/>
        <v>0</v>
      </c>
      <c r="AL22" s="165">
        <f t="shared" si="0"/>
        <v>96</v>
      </c>
    </row>
    <row r="23" spans="1:49" ht="75.75" customHeight="1" x14ac:dyDescent="0.3">
      <c r="A23" s="346" t="s">
        <v>27</v>
      </c>
      <c r="B23" s="347"/>
      <c r="C23" s="348"/>
      <c r="D23" s="23"/>
      <c r="E23" s="22">
        <f>D23/62*25</f>
        <v>0</v>
      </c>
      <c r="F23" s="22">
        <v>0</v>
      </c>
      <c r="G23" s="26">
        <f>F23/36*25</f>
        <v>0</v>
      </c>
      <c r="H23" s="30" t="e">
        <f>#REF!</f>
        <v>#REF!</v>
      </c>
      <c r="I23" s="30" t="e">
        <f>#REF!</f>
        <v>#REF!</v>
      </c>
      <c r="J23" s="30">
        <v>0</v>
      </c>
      <c r="K23" s="22">
        <f>J23/208*25</f>
        <v>0</v>
      </c>
      <c r="L23" s="30">
        <v>0</v>
      </c>
      <c r="M23" s="24">
        <f>L23/150*25</f>
        <v>0</v>
      </c>
      <c r="N23" s="30">
        <v>0</v>
      </c>
      <c r="O23" s="30">
        <f>N23/150*20</f>
        <v>0</v>
      </c>
      <c r="P23" s="30"/>
      <c r="Q23" s="21">
        <f>P23/80*25</f>
        <v>0</v>
      </c>
      <c r="R23" s="30">
        <v>6370</v>
      </c>
      <c r="S23" s="21">
        <f>R23/91*25</f>
        <v>1750</v>
      </c>
      <c r="T23" s="30">
        <v>0</v>
      </c>
      <c r="U23" s="21">
        <f>T23/215*25</f>
        <v>0</v>
      </c>
      <c r="V23" s="30">
        <v>3536</v>
      </c>
      <c r="W23" s="22">
        <f>V23/208*25</f>
        <v>425</v>
      </c>
      <c r="X23" s="22"/>
      <c r="Y23" s="24"/>
      <c r="Z23" s="30"/>
      <c r="AA23" s="30">
        <f>19*25</f>
        <v>475</v>
      </c>
      <c r="AB23" s="30"/>
      <c r="AC23" s="36">
        <v>123</v>
      </c>
      <c r="AD23" s="22">
        <v>58</v>
      </c>
      <c r="AE23" s="22"/>
      <c r="AF23" s="30">
        <v>80</v>
      </c>
      <c r="AG23" s="30">
        <v>659</v>
      </c>
      <c r="AH23" s="30"/>
      <c r="AI23" s="30">
        <v>1030</v>
      </c>
      <c r="AJ23" s="30">
        <v>450</v>
      </c>
      <c r="AK23" s="22"/>
      <c r="AL23" s="38"/>
    </row>
    <row r="24" spans="1:49" s="3" customFormat="1" ht="100.5" customHeight="1" thickBot="1" x14ac:dyDescent="0.25">
      <c r="A24" s="39">
        <v>45338</v>
      </c>
      <c r="B24" s="336" t="s">
        <v>28</v>
      </c>
      <c r="C24" s="337"/>
      <c r="D24" s="40">
        <f>D22-D23</f>
        <v>0</v>
      </c>
      <c r="E24" s="40">
        <f t="shared" ref="E24:AK24" si="3">E22-E23</f>
        <v>0</v>
      </c>
      <c r="F24" s="40">
        <f>F22-F23</f>
        <v>0</v>
      </c>
      <c r="G24" s="40">
        <f t="shared" si="3"/>
        <v>0</v>
      </c>
      <c r="H24" s="41" t="e">
        <f t="shared" si="3"/>
        <v>#REF!</v>
      </c>
      <c r="I24" s="41" t="e">
        <f t="shared" si="3"/>
        <v>#REF!</v>
      </c>
      <c r="J24" s="41">
        <f>J22-J23</f>
        <v>0</v>
      </c>
      <c r="K24" s="42">
        <f t="shared" ref="K24" si="4">K22-K23</f>
        <v>0</v>
      </c>
      <c r="L24" s="41">
        <f>L22-L23</f>
        <v>0</v>
      </c>
      <c r="M24" s="42">
        <f>M22-M23</f>
        <v>0</v>
      </c>
      <c r="N24" s="41" t="e">
        <f t="shared" ref="N24:U24" si="5">N22-N23</f>
        <v>#REF!</v>
      </c>
      <c r="O24" s="41" t="e">
        <f t="shared" si="5"/>
        <v>#REF!</v>
      </c>
      <c r="P24" s="40">
        <f>P22-P23</f>
        <v>0</v>
      </c>
      <c r="Q24" s="40">
        <f t="shared" si="5"/>
        <v>0</v>
      </c>
      <c r="R24" s="40">
        <f>R22-R23</f>
        <v>20293</v>
      </c>
      <c r="S24" s="40">
        <f t="shared" ref="S24" si="6">S22-S23</f>
        <v>5575</v>
      </c>
      <c r="T24" s="40">
        <f t="shared" si="5"/>
        <v>0</v>
      </c>
      <c r="U24" s="40">
        <f t="shared" si="5"/>
        <v>0</v>
      </c>
      <c r="V24" s="40">
        <f>V22-V23</f>
        <v>39312</v>
      </c>
      <c r="W24" s="40">
        <f>W22-W23</f>
        <v>4725</v>
      </c>
      <c r="X24" s="40">
        <f>X22-X23</f>
        <v>0</v>
      </c>
      <c r="Y24" s="42">
        <f t="shared" ref="Y24" si="7">Y22-Y23</f>
        <v>0</v>
      </c>
      <c r="Z24" s="41" t="e">
        <f t="shared" si="3"/>
        <v>#REF!</v>
      </c>
      <c r="AA24" s="41">
        <f>AA22-AA23</f>
        <v>2550</v>
      </c>
      <c r="AB24" s="41" t="e">
        <f t="shared" si="3"/>
        <v>#REF!</v>
      </c>
      <c r="AC24" s="93">
        <f>AC22-AC23</f>
        <v>2241</v>
      </c>
      <c r="AD24" s="40">
        <f t="shared" si="3"/>
        <v>555</v>
      </c>
      <c r="AE24" s="40">
        <f t="shared" si="3"/>
        <v>0</v>
      </c>
      <c r="AF24" s="41">
        <f t="shared" si="3"/>
        <v>3933</v>
      </c>
      <c r="AG24" s="41">
        <f t="shared" si="3"/>
        <v>12111</v>
      </c>
      <c r="AH24" s="41">
        <f t="shared" si="3"/>
        <v>0</v>
      </c>
      <c r="AI24" s="41">
        <f>AI22-AI23</f>
        <v>13230</v>
      </c>
      <c r="AJ24" s="41">
        <f t="shared" si="3"/>
        <v>6525</v>
      </c>
      <c r="AK24" s="40">
        <f t="shared" si="3"/>
        <v>0</v>
      </c>
      <c r="AL24" s="44">
        <f>AL22-AL23</f>
        <v>96</v>
      </c>
    </row>
    <row r="25" spans="1:49" ht="24.75" customHeight="1" x14ac:dyDescent="0.3">
      <c r="D25" s="7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49" ht="24.75" customHeight="1" x14ac:dyDescent="0.3"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spans="1:49" s="45" customFormat="1" ht="24" customHeight="1" x14ac:dyDescent="0.35">
      <c r="A27" s="45" t="s">
        <v>29</v>
      </c>
      <c r="O27" s="46"/>
      <c r="P27" s="135"/>
      <c r="R27" s="135"/>
      <c r="T27" s="45" t="s">
        <v>56</v>
      </c>
      <c r="X27" s="45" t="s">
        <v>30</v>
      </c>
      <c r="AD27" s="45" t="s">
        <v>57</v>
      </c>
      <c r="AF27" s="152"/>
      <c r="AG27" s="152"/>
      <c r="AH27" s="47"/>
      <c r="AI27" s="47"/>
      <c r="AJ27" s="47"/>
      <c r="AK27" s="46"/>
      <c r="AL27" s="46"/>
    </row>
    <row r="28" spans="1:49" s="45" customFormat="1" ht="37.5" customHeight="1" x14ac:dyDescent="0.35">
      <c r="A28" s="48"/>
      <c r="B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X28" s="49"/>
      <c r="Y28" s="49"/>
      <c r="AH28" s="49"/>
      <c r="AI28" s="49"/>
      <c r="AJ28" s="49"/>
      <c r="AK28" s="49"/>
      <c r="AL28" s="49"/>
      <c r="AM28" s="46"/>
    </row>
    <row r="29" spans="1:49" s="45" customFormat="1" ht="14.25" customHeight="1" x14ac:dyDescent="0.35">
      <c r="A29" s="48"/>
      <c r="B29" s="46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X29" s="49"/>
      <c r="Y29" s="49"/>
      <c r="AH29" s="49"/>
      <c r="AI29" s="49"/>
      <c r="AJ29" s="49"/>
      <c r="AK29" s="49"/>
      <c r="AL29" s="49"/>
      <c r="AM29" s="46"/>
    </row>
    <row r="30" spans="1:49" s="45" customFormat="1" ht="24" customHeight="1" x14ac:dyDescent="0.4">
      <c r="A30" s="153" t="s">
        <v>111</v>
      </c>
      <c r="B30" s="154"/>
      <c r="C30" s="155"/>
      <c r="D30" s="155"/>
      <c r="E30" s="155"/>
      <c r="F30" s="155"/>
      <c r="G30" s="155"/>
      <c r="H30" s="156"/>
      <c r="I30" s="156"/>
      <c r="J30" s="156"/>
      <c r="K30" s="155"/>
      <c r="L30" s="155"/>
      <c r="M30" s="155"/>
      <c r="N30" s="154"/>
      <c r="O30" s="154"/>
      <c r="P30" s="154"/>
      <c r="Q30" s="153"/>
      <c r="R30" s="154"/>
      <c r="S30" s="153"/>
      <c r="T30" s="153" t="s">
        <v>31</v>
      </c>
      <c r="U30" s="155"/>
      <c r="V30" s="155"/>
      <c r="W30" s="153"/>
      <c r="X30" s="153" t="s">
        <v>31</v>
      </c>
      <c r="Y30" s="155"/>
      <c r="Z30" s="155"/>
      <c r="AA30" s="153"/>
      <c r="AB30" s="155"/>
      <c r="AC30" s="155"/>
      <c r="AD30" s="156" t="s">
        <v>117</v>
      </c>
      <c r="AE30" s="155"/>
      <c r="AF30" s="155"/>
      <c r="AG30" s="155"/>
      <c r="AH30" s="155"/>
      <c r="AI30" s="155"/>
      <c r="AJ30" s="155"/>
      <c r="AM30" s="46"/>
    </row>
    <row r="31" spans="1:49" s="45" customFormat="1" ht="21.75" customHeight="1" x14ac:dyDescent="0.4">
      <c r="A31" s="157" t="s">
        <v>44</v>
      </c>
      <c r="B31" s="154"/>
      <c r="C31" s="154"/>
      <c r="D31" s="155"/>
      <c r="E31" s="155"/>
      <c r="F31" s="155"/>
      <c r="G31" s="155"/>
      <c r="H31" s="154"/>
      <c r="I31" s="154"/>
      <c r="J31" s="154"/>
      <c r="K31" s="154"/>
      <c r="L31" s="154"/>
      <c r="M31" s="154"/>
      <c r="N31" s="154"/>
      <c r="O31" s="154"/>
      <c r="P31" s="154"/>
      <c r="Q31" s="157"/>
      <c r="R31" s="154"/>
      <c r="S31" s="157"/>
      <c r="T31" s="157" t="s">
        <v>64</v>
      </c>
      <c r="U31" s="155"/>
      <c r="V31" s="155"/>
      <c r="W31" s="154"/>
      <c r="X31" s="157" t="s">
        <v>64</v>
      </c>
      <c r="Y31" s="155"/>
      <c r="Z31" s="155"/>
      <c r="AA31" s="154"/>
      <c r="AB31" s="155"/>
      <c r="AC31" s="155"/>
      <c r="AD31" s="154" t="s">
        <v>118</v>
      </c>
      <c r="AE31" s="155"/>
      <c r="AF31" s="155"/>
      <c r="AG31" s="155"/>
      <c r="AH31" s="154"/>
      <c r="AI31" s="154"/>
      <c r="AJ31" s="154"/>
      <c r="AK31" s="46"/>
      <c r="AL31" s="46"/>
    </row>
    <row r="32" spans="1:49" s="45" customFormat="1" ht="26.25" customHeight="1" x14ac:dyDescent="0.4">
      <c r="A32" s="157" t="s">
        <v>33</v>
      </c>
      <c r="B32" s="154"/>
      <c r="C32" s="154"/>
      <c r="D32" s="155"/>
      <c r="E32" s="155"/>
      <c r="F32" s="155"/>
      <c r="G32" s="155"/>
      <c r="H32" s="154"/>
      <c r="I32" s="154"/>
      <c r="J32" s="154"/>
      <c r="K32" s="154"/>
      <c r="L32" s="154"/>
      <c r="M32" s="154"/>
      <c r="N32" s="154"/>
      <c r="O32" s="154"/>
      <c r="P32" s="154"/>
      <c r="Q32" s="157"/>
      <c r="R32" s="154"/>
      <c r="S32" s="157"/>
      <c r="T32" s="157" t="s">
        <v>46</v>
      </c>
      <c r="U32" s="155"/>
      <c r="V32" s="155"/>
      <c r="W32" s="154"/>
      <c r="X32" s="157" t="s">
        <v>46</v>
      </c>
      <c r="Y32" s="155"/>
      <c r="Z32" s="155"/>
      <c r="AA32" s="154"/>
      <c r="AB32" s="154"/>
      <c r="AC32" s="155"/>
      <c r="AD32" s="154" t="s">
        <v>46</v>
      </c>
      <c r="AE32" s="155"/>
      <c r="AF32" s="155"/>
      <c r="AG32" s="155"/>
      <c r="AH32" s="154"/>
      <c r="AI32" s="154"/>
      <c r="AJ32" s="154"/>
      <c r="AK32" s="83"/>
      <c r="AL32" s="84"/>
      <c r="AM32" s="85"/>
      <c r="AN32" s="86"/>
      <c r="AO32" s="87"/>
      <c r="AP32" s="86"/>
      <c r="AQ32" s="88"/>
      <c r="AR32" s="84"/>
      <c r="AS32" s="84"/>
      <c r="AT32" s="86"/>
      <c r="AU32" s="86"/>
      <c r="AV32" s="86"/>
      <c r="AW32" s="84"/>
    </row>
    <row r="33" spans="1:39" s="46" customFormat="1" ht="24" customHeight="1" x14ac:dyDescent="0.4">
      <c r="A33" s="157" t="s">
        <v>112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 t="s">
        <v>65</v>
      </c>
      <c r="U33" s="154"/>
      <c r="V33" s="154"/>
      <c r="W33" s="154"/>
      <c r="X33" s="154" t="s">
        <v>65</v>
      </c>
      <c r="Y33" s="154"/>
      <c r="Z33" s="154"/>
      <c r="AA33" s="154"/>
      <c r="AB33" s="154"/>
      <c r="AC33" s="154"/>
      <c r="AD33" s="154"/>
      <c r="AE33" s="159"/>
      <c r="AF33" s="154"/>
      <c r="AG33" s="154"/>
      <c r="AH33" s="154"/>
      <c r="AI33" s="154"/>
      <c r="AJ33" s="154"/>
    </row>
    <row r="34" spans="1:39" s="46" customFormat="1" ht="24" customHeight="1" x14ac:dyDescent="0.3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52"/>
    </row>
    <row r="36" spans="1:39" ht="22.5" x14ac:dyDescent="0.35">
      <c r="B36" s="55"/>
      <c r="C36" s="55"/>
      <c r="D36" s="55"/>
      <c r="E36" s="55"/>
    </row>
    <row r="37" spans="1:39" ht="15.75" customHeight="1" x14ac:dyDescent="0.3"/>
    <row r="40" spans="1:39" ht="15.75" customHeight="1" x14ac:dyDescent="0.3"/>
    <row r="42" spans="1:39" ht="22.5" x14ac:dyDescent="0.35"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</row>
    <row r="44" spans="1:39" s="55" customFormat="1" ht="22.5" x14ac:dyDescent="0.35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7" spans="1:39" ht="22.5" x14ac:dyDescent="0.35">
      <c r="A47" s="55"/>
    </row>
  </sheetData>
  <mergeCells count="44">
    <mergeCell ref="B24:C24"/>
    <mergeCell ref="T18:U18"/>
    <mergeCell ref="V18:W18"/>
    <mergeCell ref="X18:Y18"/>
    <mergeCell ref="B20:C20"/>
    <mergeCell ref="A21:C21"/>
    <mergeCell ref="A22:C22"/>
    <mergeCell ref="T17:U17"/>
    <mergeCell ref="F17:G17"/>
    <mergeCell ref="H17:I17"/>
    <mergeCell ref="J17:K17"/>
    <mergeCell ref="A23:C23"/>
    <mergeCell ref="N18:O18"/>
    <mergeCell ref="P18:Q18"/>
    <mergeCell ref="R18:S18"/>
    <mergeCell ref="N17:O17"/>
    <mergeCell ref="P17:Q17"/>
    <mergeCell ref="R17:S17"/>
    <mergeCell ref="D18:E18"/>
    <mergeCell ref="F18:G18"/>
    <mergeCell ref="H18:I18"/>
    <mergeCell ref="J18:K18"/>
    <mergeCell ref="L18:M18"/>
    <mergeCell ref="T16:U16"/>
    <mergeCell ref="A10:AM10"/>
    <mergeCell ref="A11:AM11"/>
    <mergeCell ref="A14:C15"/>
    <mergeCell ref="D14:AL15"/>
    <mergeCell ref="A16:A19"/>
    <mergeCell ref="B16:C19"/>
    <mergeCell ref="D16:E16"/>
    <mergeCell ref="F16:G16"/>
    <mergeCell ref="H16:I16"/>
    <mergeCell ref="J16:K16"/>
    <mergeCell ref="X16:Y16"/>
    <mergeCell ref="D17:E17"/>
    <mergeCell ref="V16:W16"/>
    <mergeCell ref="V17:W17"/>
    <mergeCell ref="X17:Y17"/>
    <mergeCell ref="L17:M17"/>
    <mergeCell ref="N16:O16"/>
    <mergeCell ref="L16:M16"/>
    <mergeCell ref="P16:Q16"/>
    <mergeCell ref="R16:S16"/>
  </mergeCells>
  <pageMargins left="0.39370078740157483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1">
    <tabColor theme="0"/>
  </sheetPr>
  <dimension ref="A10:AX47"/>
  <sheetViews>
    <sheetView topLeftCell="A7" zoomScale="70" zoomScaleNormal="70" workbookViewId="0">
      <selection activeCell="AD24" sqref="AD24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2.5703125" style="1" customWidth="1"/>
    <col min="29" max="29" width="7" style="1" hidden="1" customWidth="1"/>
    <col min="30" max="30" width="14.85546875" style="1" customWidth="1"/>
    <col min="31" max="31" width="12.28515625" style="1" customWidth="1"/>
    <col min="32" max="32" width="22.42578125" style="1" hidden="1" customWidth="1"/>
    <col min="33" max="33" width="16.42578125" style="1" customWidth="1"/>
    <col min="34" max="34" width="17.7109375" style="1" customWidth="1"/>
    <col min="35" max="35" width="18.5703125" style="1" hidden="1" customWidth="1"/>
    <col min="36" max="37" width="18.5703125" style="1" customWidth="1"/>
    <col min="38" max="38" width="12.42578125" style="1" bestFit="1" customWidth="1"/>
    <col min="39" max="39" width="11.140625" style="1" customWidth="1"/>
    <col min="40" max="40" width="14.28515625" style="1" bestFit="1" customWidth="1"/>
    <col min="41" max="41" width="10.28515625" style="1" bestFit="1" customWidth="1"/>
    <col min="42" max="42" width="9.140625" style="1"/>
    <col min="43" max="43" width="10.7109375" style="1" bestFit="1" customWidth="1"/>
    <col min="44" max="16384" width="9.140625" style="1"/>
  </cols>
  <sheetData>
    <row r="10" spans="1:40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178"/>
    </row>
    <row r="11" spans="1:40" ht="34.5" x14ac:dyDescent="0.45">
      <c r="A11" s="315" t="s">
        <v>149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179"/>
    </row>
    <row r="12" spans="1:40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ht="22.5" thickBot="1" x14ac:dyDescent="0.35"/>
    <row r="14" spans="1:40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8"/>
    </row>
    <row r="15" spans="1:40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1"/>
    </row>
    <row r="16" spans="1:40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6" t="s">
        <v>7</v>
      </c>
      <c r="AC16" s="6" t="s">
        <v>8</v>
      </c>
      <c r="AD16" s="7" t="s">
        <v>8</v>
      </c>
      <c r="AE16" s="5" t="s">
        <v>9</v>
      </c>
      <c r="AF16" s="57" t="s">
        <v>11</v>
      </c>
      <c r="AG16" s="57" t="s">
        <v>10</v>
      </c>
      <c r="AH16" s="57" t="s">
        <v>10</v>
      </c>
      <c r="AI16" s="57" t="s">
        <v>40</v>
      </c>
      <c r="AJ16" s="57" t="s">
        <v>41</v>
      </c>
      <c r="AK16" s="57" t="s">
        <v>41</v>
      </c>
      <c r="AL16" s="57" t="s">
        <v>12</v>
      </c>
      <c r="AM16" s="174" t="s">
        <v>13</v>
      </c>
    </row>
    <row r="17" spans="2:50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9"/>
      <c r="AC17" s="9" t="s">
        <v>15</v>
      </c>
      <c r="AD17" s="10"/>
      <c r="AE17" s="8"/>
      <c r="AF17" s="11">
        <v>4.8</v>
      </c>
      <c r="AG17" s="11">
        <v>2.4</v>
      </c>
      <c r="AH17" s="11">
        <v>4.9000000000000004</v>
      </c>
      <c r="AI17" s="11">
        <v>10</v>
      </c>
      <c r="AJ17" s="11">
        <v>10</v>
      </c>
      <c r="AK17" s="11">
        <v>40</v>
      </c>
      <c r="AL17" s="12"/>
      <c r="AM17" s="12"/>
    </row>
    <row r="18" spans="2:50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10"/>
      <c r="AC18" s="10"/>
      <c r="AD18" s="10"/>
      <c r="AE18" s="8"/>
      <c r="AF18" s="10"/>
      <c r="AG18" s="175"/>
      <c r="AH18" s="175"/>
      <c r="AI18" s="10"/>
      <c r="AJ18" s="10"/>
      <c r="AK18" s="10"/>
      <c r="AL18" s="10"/>
      <c r="AM18" s="10"/>
    </row>
    <row r="19" spans="2:50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9" t="s">
        <v>21</v>
      </c>
      <c r="AC19" s="19" t="s">
        <v>22</v>
      </c>
      <c r="AD19" s="19" t="s">
        <v>22</v>
      </c>
      <c r="AE19" s="18" t="s">
        <v>20</v>
      </c>
      <c r="AF19" s="19" t="s">
        <v>20</v>
      </c>
      <c r="AG19" s="20" t="s">
        <v>20</v>
      </c>
      <c r="AH19" s="20" t="s">
        <v>20</v>
      </c>
      <c r="AI19" s="19" t="s">
        <v>22</v>
      </c>
      <c r="AJ19" s="19" t="s">
        <v>22</v>
      </c>
      <c r="AK19" s="19" t="s">
        <v>22</v>
      </c>
      <c r="AL19" s="19" t="s">
        <v>22</v>
      </c>
      <c r="AM19" s="19" t="s">
        <v>20</v>
      </c>
    </row>
    <row r="20" spans="2:50" ht="68.25" customHeight="1" x14ac:dyDescent="0.3">
      <c r="B20" s="56">
        <v>45705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'2-10-16, 2025'!R24</f>
        <v>20293</v>
      </c>
      <c r="T20" s="21">
        <f>'2-10-16, 2025'!S24</f>
        <v>5575</v>
      </c>
      <c r="U20" s="21">
        <f>'2-10-16, 2025'!T24</f>
        <v>0</v>
      </c>
      <c r="V20" s="21">
        <f>'2-10-16, 2025'!U24</f>
        <v>0</v>
      </c>
      <c r="W20" s="21">
        <f>'2-10-16, 2025'!V24</f>
        <v>39312</v>
      </c>
      <c r="X20" s="21">
        <f>'2-10-16, 2025'!W24</f>
        <v>4725</v>
      </c>
      <c r="Y20" s="21">
        <f>'2-10-16, 2025'!X24</f>
        <v>0</v>
      </c>
      <c r="Z20" s="21">
        <f>'2-10-16, 2025'!Y24</f>
        <v>0</v>
      </c>
      <c r="AA20" s="21" t="e">
        <f>'2-10-16, 2025'!Z24</f>
        <v>#REF!</v>
      </c>
      <c r="AB20" s="21">
        <f>'2-10-16, 2025'!AA24</f>
        <v>2550</v>
      </c>
      <c r="AC20" s="21" t="e">
        <f>'2-10-16, 2025'!AB24</f>
        <v>#REF!</v>
      </c>
      <c r="AD20" s="21">
        <f>'2-10-16, 2025'!AC24</f>
        <v>2241</v>
      </c>
      <c r="AE20" s="21">
        <f>'2-10-16, 2025'!AD24</f>
        <v>555</v>
      </c>
      <c r="AF20" s="21">
        <f>'2-10-16, 2025'!AE24</f>
        <v>0</v>
      </c>
      <c r="AG20" s="21">
        <f>'2-10-16, 2025'!AF24</f>
        <v>3933</v>
      </c>
      <c r="AH20" s="21">
        <f>'2-10-16, 2025'!AG24</f>
        <v>12111</v>
      </c>
      <c r="AI20" s="21">
        <f>'2-10-16, 2025'!AH24</f>
        <v>0</v>
      </c>
      <c r="AJ20" s="21">
        <f>'2-10-16, 2025'!AI24</f>
        <v>13230</v>
      </c>
      <c r="AK20" s="21">
        <f>'2-10-16, 2025'!AJ24</f>
        <v>6525</v>
      </c>
      <c r="AL20" s="21">
        <f>'2-10-16, 2025'!AK24</f>
        <v>0</v>
      </c>
      <c r="AM20" s="164">
        <f>'2-10-16, 2025'!AL24</f>
        <v>96</v>
      </c>
      <c r="AN20" s="28"/>
    </row>
    <row r="21" spans="2:50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3"/>
      <c r="AD21" s="23"/>
      <c r="AE21" s="23"/>
      <c r="AF21" s="23"/>
      <c r="AG21" s="23"/>
      <c r="AH21" s="23"/>
      <c r="AI21" s="31"/>
      <c r="AJ21" s="31"/>
      <c r="AK21" s="31"/>
      <c r="AL21" s="23"/>
      <c r="AM21" s="32"/>
      <c r="AO21" s="33"/>
    </row>
    <row r="22" spans="2:50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M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20293</v>
      </c>
      <c r="T22" s="34">
        <f t="shared" ref="T22" si="1">T20+T21</f>
        <v>5575</v>
      </c>
      <c r="U22" s="34">
        <f>U20+U21</f>
        <v>0</v>
      </c>
      <c r="V22" s="34">
        <f t="shared" ref="V22" si="2">V20+V21</f>
        <v>0</v>
      </c>
      <c r="W22" s="34">
        <f t="shared" si="0"/>
        <v>39312</v>
      </c>
      <c r="X22" s="34">
        <f>X20+X21</f>
        <v>4725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2550</v>
      </c>
      <c r="AC22" s="34" t="e">
        <f t="shared" si="0"/>
        <v>#REF!</v>
      </c>
      <c r="AD22" s="34">
        <f t="shared" si="0"/>
        <v>2241</v>
      </c>
      <c r="AE22" s="34">
        <f t="shared" si="0"/>
        <v>555</v>
      </c>
      <c r="AF22" s="34">
        <f t="shared" si="0"/>
        <v>0</v>
      </c>
      <c r="AG22" s="34">
        <f t="shared" si="0"/>
        <v>3933</v>
      </c>
      <c r="AH22" s="34">
        <f t="shared" si="0"/>
        <v>12111</v>
      </c>
      <c r="AI22" s="34">
        <f t="shared" si="0"/>
        <v>0</v>
      </c>
      <c r="AJ22" s="34">
        <f t="shared" si="0"/>
        <v>13230</v>
      </c>
      <c r="AK22" s="34">
        <f t="shared" si="0"/>
        <v>6525</v>
      </c>
      <c r="AL22" s="34">
        <f t="shared" si="0"/>
        <v>0</v>
      </c>
      <c r="AM22" s="165">
        <f t="shared" si="0"/>
        <v>96</v>
      </c>
    </row>
    <row r="23" spans="2:50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>
        <f>21*91</f>
        <v>1911</v>
      </c>
      <c r="T23" s="21">
        <f>S23/91*25</f>
        <v>525</v>
      </c>
      <c r="U23" s="30">
        <v>0</v>
      </c>
      <c r="V23" s="21">
        <f>U23/215*25</f>
        <v>0</v>
      </c>
      <c r="W23" s="30">
        <f>35*208</f>
        <v>7280</v>
      </c>
      <c r="X23" s="22">
        <f>W23/208*25</f>
        <v>875</v>
      </c>
      <c r="Y23" s="22"/>
      <c r="Z23" s="24"/>
      <c r="AA23" s="30"/>
      <c r="AB23" s="30">
        <f>26*25</f>
        <v>650</v>
      </c>
      <c r="AC23" s="30"/>
      <c r="AD23" s="36">
        <v>108</v>
      </c>
      <c r="AE23" s="22">
        <v>48</v>
      </c>
      <c r="AF23" s="22">
        <v>0</v>
      </c>
      <c r="AG23" s="30">
        <v>360</v>
      </c>
      <c r="AH23" s="30">
        <v>283</v>
      </c>
      <c r="AI23" s="30"/>
      <c r="AJ23" s="30">
        <v>710</v>
      </c>
      <c r="AK23" s="30">
        <v>375</v>
      </c>
      <c r="AL23" s="22">
        <v>0</v>
      </c>
      <c r="AM23" s="38"/>
    </row>
    <row r="24" spans="2:50" s="3" customFormat="1" ht="100.5" customHeight="1" thickBot="1" x14ac:dyDescent="0.25">
      <c r="B24" s="39">
        <v>45345</v>
      </c>
      <c r="C24" s="336" t="s">
        <v>28</v>
      </c>
      <c r="D24" s="337"/>
      <c r="E24" s="40">
        <f>E22-E23</f>
        <v>0</v>
      </c>
      <c r="F24" s="40">
        <f t="shared" ref="F24:AL24" si="3">F22-F23</f>
        <v>0</v>
      </c>
      <c r="G24" s="40">
        <f>G22-G23</f>
        <v>0</v>
      </c>
      <c r="H24" s="40">
        <f t="shared" si="3"/>
        <v>0</v>
      </c>
      <c r="I24" s="41" t="e">
        <f t="shared" si="3"/>
        <v>#REF!</v>
      </c>
      <c r="J24" s="41" t="e">
        <f t="shared" si="3"/>
        <v>#REF!</v>
      </c>
      <c r="K24" s="41">
        <f>K22-K23</f>
        <v>0</v>
      </c>
      <c r="L24" s="42">
        <f t="shared" ref="L24" si="4">L22-L23</f>
        <v>0</v>
      </c>
      <c r="M24" s="41">
        <f>M22-M23</f>
        <v>0</v>
      </c>
      <c r="N24" s="42">
        <f>N22-N23</f>
        <v>0</v>
      </c>
      <c r="O24" s="41" t="e">
        <f t="shared" ref="O24:V24" si="5">O22-O23</f>
        <v>#REF!</v>
      </c>
      <c r="P24" s="41" t="e">
        <f t="shared" si="5"/>
        <v>#REF!</v>
      </c>
      <c r="Q24" s="40">
        <f>Q22-Q23</f>
        <v>0</v>
      </c>
      <c r="R24" s="40">
        <f t="shared" si="5"/>
        <v>0</v>
      </c>
      <c r="S24" s="40">
        <f>S22-S23</f>
        <v>18382</v>
      </c>
      <c r="T24" s="40">
        <f t="shared" ref="T24" si="6">T22-T23</f>
        <v>5050</v>
      </c>
      <c r="U24" s="40">
        <f t="shared" si="5"/>
        <v>0</v>
      </c>
      <c r="V24" s="40">
        <f t="shared" si="5"/>
        <v>0</v>
      </c>
      <c r="W24" s="40">
        <f>W22-W23</f>
        <v>32032</v>
      </c>
      <c r="X24" s="40">
        <f>X22-X23</f>
        <v>3850</v>
      </c>
      <c r="Y24" s="40">
        <f>Y22-Y23</f>
        <v>0</v>
      </c>
      <c r="Z24" s="42">
        <f t="shared" ref="Z24" si="7">Z22-Z23</f>
        <v>0</v>
      </c>
      <c r="AA24" s="41" t="e">
        <f t="shared" si="3"/>
        <v>#REF!</v>
      </c>
      <c r="AB24" s="41">
        <f>AB22-AB23</f>
        <v>1900</v>
      </c>
      <c r="AC24" s="41" t="e">
        <f t="shared" si="3"/>
        <v>#REF!</v>
      </c>
      <c r="AD24" s="93">
        <f>AD22-AD23</f>
        <v>2133</v>
      </c>
      <c r="AE24" s="40">
        <f t="shared" si="3"/>
        <v>507</v>
      </c>
      <c r="AF24" s="40">
        <f t="shared" si="3"/>
        <v>0</v>
      </c>
      <c r="AG24" s="41">
        <f t="shared" si="3"/>
        <v>3573</v>
      </c>
      <c r="AH24" s="41">
        <f t="shared" si="3"/>
        <v>11828</v>
      </c>
      <c r="AI24" s="41">
        <f t="shared" si="3"/>
        <v>0</v>
      </c>
      <c r="AJ24" s="41">
        <f>AJ22-AJ23</f>
        <v>12520</v>
      </c>
      <c r="AK24" s="41">
        <f t="shared" si="3"/>
        <v>6150</v>
      </c>
      <c r="AL24" s="40">
        <f t="shared" si="3"/>
        <v>0</v>
      </c>
      <c r="AM24" s="44">
        <f>AM22-AM23</f>
        <v>96</v>
      </c>
    </row>
    <row r="25" spans="2:50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2:50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I26" s="29"/>
      <c r="AJ26" s="29"/>
      <c r="AK26" s="29"/>
      <c r="AL26" s="29"/>
      <c r="AM26" s="29"/>
    </row>
    <row r="27" spans="2:50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H27" s="45" t="s">
        <v>57</v>
      </c>
      <c r="AI27" s="47"/>
      <c r="AJ27" s="47"/>
      <c r="AK27" s="47"/>
      <c r="AL27" s="46"/>
      <c r="AM27" s="46"/>
    </row>
    <row r="28" spans="2:50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I28" s="49"/>
      <c r="AJ28" s="49"/>
      <c r="AK28" s="49"/>
      <c r="AL28" s="49"/>
      <c r="AM28" s="49"/>
      <c r="AN28" s="46"/>
    </row>
    <row r="29" spans="2:50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I29" s="49"/>
      <c r="AJ29" s="49"/>
      <c r="AK29" s="49"/>
      <c r="AL29" s="49"/>
      <c r="AM29" s="49"/>
      <c r="AN29" s="46"/>
    </row>
    <row r="30" spans="2:50" s="45" customFormat="1" ht="24" customHeight="1" x14ac:dyDescent="0.4">
      <c r="B30" s="153" t="s">
        <v>111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3"/>
      <c r="Y30" s="153" t="s">
        <v>31</v>
      </c>
      <c r="Z30" s="155"/>
      <c r="AA30" s="155"/>
      <c r="AB30" s="153"/>
      <c r="AC30" s="155"/>
      <c r="AD30" s="155"/>
      <c r="AF30" s="155"/>
      <c r="AH30" s="156" t="s">
        <v>117</v>
      </c>
      <c r="AI30" s="155"/>
      <c r="AJ30" s="155"/>
      <c r="AK30" s="155"/>
      <c r="AN30" s="46"/>
    </row>
    <row r="31" spans="2:50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4"/>
      <c r="Y31" s="157" t="s">
        <v>64</v>
      </c>
      <c r="Z31" s="155"/>
      <c r="AA31" s="155"/>
      <c r="AB31" s="154"/>
      <c r="AC31" s="155"/>
      <c r="AD31" s="155"/>
      <c r="AF31" s="155"/>
      <c r="AH31" s="154" t="s">
        <v>118</v>
      </c>
      <c r="AI31" s="154"/>
      <c r="AJ31" s="154"/>
      <c r="AK31" s="154"/>
      <c r="AL31" s="46"/>
      <c r="AM31" s="46"/>
    </row>
    <row r="32" spans="2:50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4"/>
      <c r="Y32" s="157" t="s">
        <v>46</v>
      </c>
      <c r="Z32" s="155"/>
      <c r="AA32" s="155"/>
      <c r="AB32" s="154"/>
      <c r="AC32" s="154"/>
      <c r="AD32" s="155"/>
      <c r="AF32" s="155"/>
      <c r="AH32" s="154" t="s">
        <v>46</v>
      </c>
      <c r="AI32" s="154"/>
      <c r="AJ32" s="154"/>
      <c r="AK32" s="154"/>
      <c r="AL32" s="83"/>
      <c r="AM32" s="84"/>
      <c r="AN32" s="85"/>
      <c r="AO32" s="86"/>
      <c r="AP32" s="87"/>
      <c r="AQ32" s="86"/>
      <c r="AR32" s="88"/>
      <c r="AS32" s="84"/>
      <c r="AT32" s="84"/>
      <c r="AU32" s="86"/>
      <c r="AV32" s="86"/>
      <c r="AW32" s="86"/>
      <c r="AX32" s="84"/>
    </row>
    <row r="33" spans="2:40" s="46" customFormat="1" ht="24" customHeight="1" x14ac:dyDescent="0.4">
      <c r="B33" s="157" t="s">
        <v>112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 t="s">
        <v>65</v>
      </c>
      <c r="Z33" s="154"/>
      <c r="AA33" s="154"/>
      <c r="AB33" s="154"/>
      <c r="AC33" s="154"/>
      <c r="AD33" s="154"/>
      <c r="AE33" s="154"/>
      <c r="AF33" s="159"/>
      <c r="AG33" s="154"/>
      <c r="AH33" s="154"/>
      <c r="AI33" s="154"/>
      <c r="AJ33" s="154"/>
      <c r="AK33" s="154"/>
    </row>
    <row r="34" spans="2:40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52"/>
    </row>
    <row r="36" spans="2:40" ht="22.5" x14ac:dyDescent="0.35">
      <c r="C36" s="55"/>
      <c r="D36" s="55"/>
      <c r="E36" s="55"/>
      <c r="F36" s="55"/>
    </row>
    <row r="37" spans="2:40" ht="15.75" customHeight="1" x14ac:dyDescent="0.3"/>
    <row r="40" spans="2:40" ht="15.75" customHeight="1" x14ac:dyDescent="0.3"/>
    <row r="42" spans="2:40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4" spans="2:40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7" spans="2:40" ht="22.5" x14ac:dyDescent="0.35">
      <c r="B47" s="55"/>
    </row>
  </sheetData>
  <mergeCells count="44">
    <mergeCell ref="B14:D15"/>
    <mergeCell ref="E14:AM15"/>
    <mergeCell ref="B16:B19"/>
    <mergeCell ref="C16:D19"/>
    <mergeCell ref="E16:F16"/>
    <mergeCell ref="G16:H16"/>
    <mergeCell ref="I16:J16"/>
    <mergeCell ref="K16:L16"/>
    <mergeCell ref="U16:V16"/>
    <mergeCell ref="W16:X16"/>
    <mergeCell ref="W17:X17"/>
    <mergeCell ref="Y17:Z17"/>
    <mergeCell ref="E18:F18"/>
    <mergeCell ref="G18:H18"/>
    <mergeCell ref="I18:J18"/>
    <mergeCell ref="K18:L18"/>
    <mergeCell ref="A10:AM10"/>
    <mergeCell ref="A11:AM11"/>
    <mergeCell ref="Y16:Z16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M16:N16"/>
    <mergeCell ref="O16:P16"/>
    <mergeCell ref="Q16:R16"/>
    <mergeCell ref="S16:T16"/>
    <mergeCell ref="C24:D24"/>
    <mergeCell ref="U18:V18"/>
    <mergeCell ref="W18:X18"/>
    <mergeCell ref="Y18:Z18"/>
    <mergeCell ref="C20:D20"/>
    <mergeCell ref="B21:D21"/>
    <mergeCell ref="B22:D22"/>
    <mergeCell ref="M18:N18"/>
    <mergeCell ref="O18:P18"/>
    <mergeCell ref="Q18:R18"/>
    <mergeCell ref="S18:T18"/>
    <mergeCell ref="B23:D23"/>
  </mergeCells>
  <pageMargins left="0.78740157480314965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2">
    <tabColor theme="0"/>
  </sheetPr>
  <dimension ref="A10:AX47"/>
  <sheetViews>
    <sheetView topLeftCell="A16" zoomScale="70" zoomScaleNormal="70" workbookViewId="0">
      <selection activeCell="W33" sqref="W33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2.5703125" style="1" customWidth="1"/>
    <col min="29" max="29" width="7" style="1" hidden="1" customWidth="1"/>
    <col min="30" max="30" width="14.85546875" style="1" customWidth="1"/>
    <col min="31" max="31" width="12.28515625" style="1" customWidth="1"/>
    <col min="32" max="32" width="22.42578125" style="1" hidden="1" customWidth="1"/>
    <col min="33" max="33" width="16.42578125" style="1" customWidth="1"/>
    <col min="34" max="34" width="17.7109375" style="1" customWidth="1"/>
    <col min="35" max="35" width="18.5703125" style="1" hidden="1" customWidth="1"/>
    <col min="36" max="37" width="18.5703125" style="1" customWidth="1"/>
    <col min="38" max="38" width="12.42578125" style="1" bestFit="1" customWidth="1"/>
    <col min="39" max="39" width="11.140625" style="1" customWidth="1"/>
    <col min="40" max="40" width="14.28515625" style="1" bestFit="1" customWidth="1"/>
    <col min="41" max="41" width="10.28515625" style="1" bestFit="1" customWidth="1"/>
    <col min="42" max="42" width="9.140625" style="1"/>
    <col min="43" max="43" width="10.7109375" style="1" bestFit="1" customWidth="1"/>
    <col min="44" max="16384" width="9.140625" style="1"/>
  </cols>
  <sheetData>
    <row r="10" spans="1:40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178"/>
    </row>
    <row r="11" spans="1:40" ht="34.5" x14ac:dyDescent="0.45">
      <c r="A11" s="315" t="s">
        <v>150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179"/>
    </row>
    <row r="12" spans="1:40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ht="22.5" thickBot="1" x14ac:dyDescent="0.35"/>
    <row r="14" spans="1:40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8"/>
    </row>
    <row r="15" spans="1:40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1"/>
    </row>
    <row r="16" spans="1:40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6" t="s">
        <v>7</v>
      </c>
      <c r="AC16" s="6" t="s">
        <v>8</v>
      </c>
      <c r="AD16" s="7" t="s">
        <v>8</v>
      </c>
      <c r="AE16" s="5" t="s">
        <v>9</v>
      </c>
      <c r="AF16" s="57" t="s">
        <v>11</v>
      </c>
      <c r="AG16" s="57" t="s">
        <v>10</v>
      </c>
      <c r="AH16" s="57" t="s">
        <v>10</v>
      </c>
      <c r="AI16" s="57" t="s">
        <v>40</v>
      </c>
      <c r="AJ16" s="57" t="s">
        <v>41</v>
      </c>
      <c r="AK16" s="57" t="s">
        <v>41</v>
      </c>
      <c r="AL16" s="57" t="s">
        <v>12</v>
      </c>
      <c r="AM16" s="176" t="s">
        <v>13</v>
      </c>
    </row>
    <row r="17" spans="2:50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9"/>
      <c r="AC17" s="9" t="s">
        <v>15</v>
      </c>
      <c r="AD17" s="10"/>
      <c r="AE17" s="8"/>
      <c r="AF17" s="11">
        <v>4.8</v>
      </c>
      <c r="AG17" s="11">
        <v>2.4</v>
      </c>
      <c r="AH17" s="11">
        <v>4.9000000000000004</v>
      </c>
      <c r="AI17" s="11">
        <v>10</v>
      </c>
      <c r="AJ17" s="11">
        <v>10</v>
      </c>
      <c r="AK17" s="11">
        <v>40</v>
      </c>
      <c r="AL17" s="12"/>
      <c r="AM17" s="12"/>
    </row>
    <row r="18" spans="2:50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10"/>
      <c r="AC18" s="10"/>
      <c r="AD18" s="10"/>
      <c r="AE18" s="8"/>
      <c r="AF18" s="10"/>
      <c r="AG18" s="177"/>
      <c r="AH18" s="177"/>
      <c r="AI18" s="10"/>
      <c r="AJ18" s="10"/>
      <c r="AK18" s="10"/>
      <c r="AL18" s="10"/>
      <c r="AM18" s="10"/>
    </row>
    <row r="19" spans="2:50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9" t="s">
        <v>21</v>
      </c>
      <c r="AC19" s="19" t="s">
        <v>22</v>
      </c>
      <c r="AD19" s="19" t="s">
        <v>22</v>
      </c>
      <c r="AE19" s="18" t="s">
        <v>20</v>
      </c>
      <c r="AF19" s="19" t="s">
        <v>20</v>
      </c>
      <c r="AG19" s="20" t="s">
        <v>20</v>
      </c>
      <c r="AH19" s="20" t="s">
        <v>20</v>
      </c>
      <c r="AI19" s="19" t="s">
        <v>22</v>
      </c>
      <c r="AJ19" s="19" t="s">
        <v>22</v>
      </c>
      <c r="AK19" s="19" t="s">
        <v>22</v>
      </c>
      <c r="AL19" s="19" t="s">
        <v>22</v>
      </c>
      <c r="AM19" s="19" t="s">
        <v>20</v>
      </c>
    </row>
    <row r="20" spans="2:50" ht="68.25" customHeight="1" x14ac:dyDescent="0.3">
      <c r="B20" s="56">
        <v>45712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'2-17-23, 2025'!S24</f>
        <v>18382</v>
      </c>
      <c r="T20" s="21">
        <f>'2-17-23, 2025'!T24</f>
        <v>5050</v>
      </c>
      <c r="U20" s="21">
        <f>'2-17-23, 2025'!U24</f>
        <v>0</v>
      </c>
      <c r="V20" s="21">
        <f>'2-17-23, 2025'!V24</f>
        <v>0</v>
      </c>
      <c r="W20" s="21">
        <f>'2-17-23, 2025'!W24</f>
        <v>32032</v>
      </c>
      <c r="X20" s="21">
        <f>'2-17-23, 2025'!X24</f>
        <v>3850</v>
      </c>
      <c r="Y20" s="21">
        <f>'2-17-23, 2025'!Y24</f>
        <v>0</v>
      </c>
      <c r="Z20" s="21">
        <f>'2-17-23, 2025'!Z24</f>
        <v>0</v>
      </c>
      <c r="AA20" s="21" t="e">
        <f>'2-17-23, 2025'!AA24</f>
        <v>#REF!</v>
      </c>
      <c r="AB20" s="21">
        <f>'2-17-23, 2025'!AB24</f>
        <v>1900</v>
      </c>
      <c r="AC20" s="21" t="e">
        <f>'2-17-23, 2025'!AC24</f>
        <v>#REF!</v>
      </c>
      <c r="AD20" s="21">
        <f>'2-17-23, 2025'!AD24</f>
        <v>2133</v>
      </c>
      <c r="AE20" s="21">
        <f>'2-17-23, 2025'!AE24</f>
        <v>507</v>
      </c>
      <c r="AF20" s="21">
        <f>'2-17-23, 2025'!AF24</f>
        <v>0</v>
      </c>
      <c r="AG20" s="21">
        <f>'2-17-23, 2025'!AG24</f>
        <v>3573</v>
      </c>
      <c r="AH20" s="21">
        <f>'2-17-23, 2025'!AH24</f>
        <v>11828</v>
      </c>
      <c r="AI20" s="21">
        <f>'2-17-23, 2025'!AI24</f>
        <v>0</v>
      </c>
      <c r="AJ20" s="21">
        <f>'2-17-23, 2025'!AJ24</f>
        <v>12520</v>
      </c>
      <c r="AK20" s="21">
        <f>'2-17-23, 2025'!AK24</f>
        <v>6150</v>
      </c>
      <c r="AL20" s="21">
        <f>'2-17-23, 2025'!AL24</f>
        <v>0</v>
      </c>
      <c r="AM20" s="21">
        <f>'2-17-23, 2025'!AM24</f>
        <v>96</v>
      </c>
      <c r="AN20" s="28"/>
    </row>
    <row r="21" spans="2:50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3"/>
      <c r="AD21" s="23"/>
      <c r="AE21" s="23"/>
      <c r="AF21" s="23"/>
      <c r="AG21" s="23"/>
      <c r="AH21" s="23"/>
      <c r="AI21" s="31"/>
      <c r="AJ21" s="31"/>
      <c r="AK21" s="31"/>
      <c r="AL21" s="23"/>
      <c r="AM21" s="32"/>
      <c r="AO21" s="33"/>
    </row>
    <row r="22" spans="2:50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M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18382</v>
      </c>
      <c r="T22" s="34">
        <f t="shared" ref="T22" si="1">T20+T21</f>
        <v>5050</v>
      </c>
      <c r="U22" s="34">
        <f>U20+U21</f>
        <v>0</v>
      </c>
      <c r="V22" s="34">
        <f t="shared" ref="V22" si="2">V20+V21</f>
        <v>0</v>
      </c>
      <c r="W22" s="34">
        <f t="shared" si="0"/>
        <v>32032</v>
      </c>
      <c r="X22" s="34">
        <f>X20+X21</f>
        <v>3850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1900</v>
      </c>
      <c r="AC22" s="34" t="e">
        <f t="shared" si="0"/>
        <v>#REF!</v>
      </c>
      <c r="AD22" s="34">
        <f t="shared" si="0"/>
        <v>2133</v>
      </c>
      <c r="AE22" s="34">
        <f t="shared" si="0"/>
        <v>507</v>
      </c>
      <c r="AF22" s="34">
        <f t="shared" si="0"/>
        <v>0</v>
      </c>
      <c r="AG22" s="34">
        <f t="shared" si="0"/>
        <v>3573</v>
      </c>
      <c r="AH22" s="34">
        <f t="shared" si="0"/>
        <v>11828</v>
      </c>
      <c r="AI22" s="34">
        <f t="shared" si="0"/>
        <v>0</v>
      </c>
      <c r="AJ22" s="34">
        <f t="shared" si="0"/>
        <v>12520</v>
      </c>
      <c r="AK22" s="34">
        <f t="shared" si="0"/>
        <v>6150</v>
      </c>
      <c r="AL22" s="34">
        <f t="shared" si="0"/>
        <v>0</v>
      </c>
      <c r="AM22" s="165">
        <f t="shared" si="0"/>
        <v>96</v>
      </c>
    </row>
    <row r="23" spans="2:50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>
        <v>1820</v>
      </c>
      <c r="T23" s="21">
        <f>S23/91*25</f>
        <v>500</v>
      </c>
      <c r="U23" s="30">
        <v>0</v>
      </c>
      <c r="V23" s="21">
        <f>U23/215*25</f>
        <v>0</v>
      </c>
      <c r="W23" s="30">
        <v>9776</v>
      </c>
      <c r="X23" s="22">
        <f>W23/208*25</f>
        <v>1175</v>
      </c>
      <c r="Y23" s="22"/>
      <c r="Z23" s="24"/>
      <c r="AA23" s="30"/>
      <c r="AB23" s="30">
        <f>21*25</f>
        <v>525</v>
      </c>
      <c r="AC23" s="30"/>
      <c r="AD23" s="36">
        <v>86</v>
      </c>
      <c r="AE23" s="22">
        <v>39</v>
      </c>
      <c r="AF23" s="22"/>
      <c r="AG23" s="30">
        <v>96</v>
      </c>
      <c r="AH23" s="30">
        <v>458</v>
      </c>
      <c r="AI23" s="30"/>
      <c r="AJ23" s="30">
        <f>480+75+100</f>
        <v>655</v>
      </c>
      <c r="AK23" s="30">
        <f>450+75</f>
        <v>525</v>
      </c>
      <c r="AL23" s="22">
        <v>0</v>
      </c>
      <c r="AM23" s="38">
        <v>0</v>
      </c>
    </row>
    <row r="24" spans="2:50" s="3" customFormat="1" ht="100.5" customHeight="1" thickBot="1" x14ac:dyDescent="0.25">
      <c r="B24" s="39">
        <v>45353</v>
      </c>
      <c r="C24" s="336" t="s">
        <v>28</v>
      </c>
      <c r="D24" s="337"/>
      <c r="E24" s="40">
        <f>E22-E23</f>
        <v>0</v>
      </c>
      <c r="F24" s="40">
        <f t="shared" ref="F24:AL24" si="3">F22-F23</f>
        <v>0</v>
      </c>
      <c r="G24" s="40">
        <f>G22-G23</f>
        <v>0</v>
      </c>
      <c r="H24" s="40">
        <f t="shared" si="3"/>
        <v>0</v>
      </c>
      <c r="I24" s="41" t="e">
        <f t="shared" si="3"/>
        <v>#REF!</v>
      </c>
      <c r="J24" s="41" t="e">
        <f t="shared" si="3"/>
        <v>#REF!</v>
      </c>
      <c r="K24" s="41">
        <f>K22-K23</f>
        <v>0</v>
      </c>
      <c r="L24" s="42">
        <f t="shared" ref="L24" si="4">L22-L23</f>
        <v>0</v>
      </c>
      <c r="M24" s="41">
        <f>M22-M23</f>
        <v>0</v>
      </c>
      <c r="N24" s="42">
        <f>N22-N23</f>
        <v>0</v>
      </c>
      <c r="O24" s="41" t="e">
        <f t="shared" ref="O24:V24" si="5">O22-O23</f>
        <v>#REF!</v>
      </c>
      <c r="P24" s="41" t="e">
        <f t="shared" si="5"/>
        <v>#REF!</v>
      </c>
      <c r="Q24" s="40">
        <f>Q22-Q23</f>
        <v>0</v>
      </c>
      <c r="R24" s="40">
        <f t="shared" si="5"/>
        <v>0</v>
      </c>
      <c r="S24" s="40">
        <f>S22-S23</f>
        <v>16562</v>
      </c>
      <c r="T24" s="40">
        <f t="shared" ref="T24" si="6">T22-T23</f>
        <v>4550</v>
      </c>
      <c r="U24" s="40">
        <f t="shared" si="5"/>
        <v>0</v>
      </c>
      <c r="V24" s="40">
        <f t="shared" si="5"/>
        <v>0</v>
      </c>
      <c r="W24" s="40">
        <f>W22-W23</f>
        <v>22256</v>
      </c>
      <c r="X24" s="40">
        <f>X22-X23</f>
        <v>2675</v>
      </c>
      <c r="Y24" s="40">
        <f>Y22-Y23</f>
        <v>0</v>
      </c>
      <c r="Z24" s="42">
        <f t="shared" ref="Z24" si="7">Z22-Z23</f>
        <v>0</v>
      </c>
      <c r="AA24" s="41" t="e">
        <f t="shared" si="3"/>
        <v>#REF!</v>
      </c>
      <c r="AB24" s="41">
        <f>AB22-AB23</f>
        <v>1375</v>
      </c>
      <c r="AC24" s="41" t="e">
        <f t="shared" si="3"/>
        <v>#REF!</v>
      </c>
      <c r="AD24" s="93">
        <f>AD22-AD23</f>
        <v>2047</v>
      </c>
      <c r="AE24" s="40">
        <f t="shared" si="3"/>
        <v>468</v>
      </c>
      <c r="AF24" s="40">
        <f t="shared" si="3"/>
        <v>0</v>
      </c>
      <c r="AG24" s="41">
        <f t="shared" si="3"/>
        <v>3477</v>
      </c>
      <c r="AH24" s="41">
        <f t="shared" si="3"/>
        <v>11370</v>
      </c>
      <c r="AI24" s="41">
        <f t="shared" si="3"/>
        <v>0</v>
      </c>
      <c r="AJ24" s="41">
        <f>AJ22-AJ23</f>
        <v>11865</v>
      </c>
      <c r="AK24" s="41">
        <f t="shared" si="3"/>
        <v>5625</v>
      </c>
      <c r="AL24" s="40">
        <f t="shared" si="3"/>
        <v>0</v>
      </c>
      <c r="AM24" s="44">
        <f>AM22-AM23</f>
        <v>96</v>
      </c>
    </row>
    <row r="25" spans="2:50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2:50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I26" s="29"/>
      <c r="AJ26" s="29"/>
      <c r="AK26" s="29"/>
      <c r="AL26" s="29"/>
      <c r="AM26" s="29"/>
    </row>
    <row r="27" spans="2:50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H27" s="45" t="s">
        <v>57</v>
      </c>
      <c r="AI27" s="47"/>
      <c r="AJ27" s="47"/>
      <c r="AK27" s="47"/>
      <c r="AL27" s="46"/>
      <c r="AM27" s="46"/>
    </row>
    <row r="28" spans="2:50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I28" s="49"/>
      <c r="AJ28" s="49"/>
      <c r="AK28" s="49"/>
      <c r="AL28" s="49"/>
      <c r="AM28" s="49"/>
      <c r="AN28" s="46"/>
    </row>
    <row r="29" spans="2:50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I29" s="49"/>
      <c r="AJ29" s="49"/>
      <c r="AK29" s="49"/>
      <c r="AL29" s="49"/>
      <c r="AM29" s="49"/>
      <c r="AN29" s="46"/>
    </row>
    <row r="30" spans="2:50" s="45" customFormat="1" ht="24" customHeight="1" x14ac:dyDescent="0.4">
      <c r="B30" s="153" t="s">
        <v>111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3"/>
      <c r="Y30" s="153" t="s">
        <v>31</v>
      </c>
      <c r="Z30" s="155"/>
      <c r="AA30" s="155"/>
      <c r="AB30" s="153"/>
      <c r="AC30" s="155"/>
      <c r="AD30" s="155"/>
      <c r="AF30" s="155"/>
      <c r="AH30" s="156" t="s">
        <v>117</v>
      </c>
      <c r="AI30" s="155"/>
      <c r="AJ30" s="155"/>
      <c r="AK30" s="155"/>
      <c r="AN30" s="46"/>
    </row>
    <row r="31" spans="2:50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4"/>
      <c r="Y31" s="157" t="s">
        <v>64</v>
      </c>
      <c r="Z31" s="155"/>
      <c r="AA31" s="155"/>
      <c r="AB31" s="154"/>
      <c r="AC31" s="155"/>
      <c r="AD31" s="155"/>
      <c r="AF31" s="155"/>
      <c r="AH31" s="154" t="s">
        <v>118</v>
      </c>
      <c r="AI31" s="154"/>
      <c r="AJ31" s="154"/>
      <c r="AK31" s="154"/>
      <c r="AL31" s="46"/>
      <c r="AM31" s="46"/>
    </row>
    <row r="32" spans="2:50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4"/>
      <c r="Y32" s="157" t="s">
        <v>46</v>
      </c>
      <c r="Z32" s="155"/>
      <c r="AA32" s="155"/>
      <c r="AB32" s="154"/>
      <c r="AC32" s="154"/>
      <c r="AD32" s="155"/>
      <c r="AF32" s="155"/>
      <c r="AH32" s="154" t="s">
        <v>46</v>
      </c>
      <c r="AI32" s="154"/>
      <c r="AJ32" s="154"/>
      <c r="AK32" s="154"/>
      <c r="AL32" s="83"/>
      <c r="AM32" s="84"/>
      <c r="AN32" s="85"/>
      <c r="AO32" s="86"/>
      <c r="AP32" s="87"/>
      <c r="AQ32" s="86"/>
      <c r="AR32" s="88"/>
      <c r="AS32" s="84"/>
      <c r="AT32" s="84"/>
      <c r="AU32" s="86"/>
      <c r="AV32" s="86"/>
      <c r="AW32" s="86"/>
      <c r="AX32" s="84"/>
    </row>
    <row r="33" spans="2:40" s="46" customFormat="1" ht="24" customHeight="1" x14ac:dyDescent="0.4">
      <c r="B33" s="157" t="s">
        <v>112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 t="s">
        <v>65</v>
      </c>
      <c r="Z33" s="154"/>
      <c r="AA33" s="154"/>
      <c r="AB33" s="154"/>
      <c r="AC33" s="154"/>
      <c r="AD33" s="154"/>
      <c r="AE33" s="154"/>
      <c r="AF33" s="159"/>
      <c r="AG33" s="154"/>
      <c r="AH33" s="154"/>
      <c r="AI33" s="154"/>
      <c r="AJ33" s="154"/>
      <c r="AK33" s="154"/>
    </row>
    <row r="34" spans="2:40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52"/>
    </row>
    <row r="36" spans="2:40" ht="22.5" x14ac:dyDescent="0.35">
      <c r="C36" s="55"/>
      <c r="D36" s="55"/>
      <c r="E36" s="55"/>
      <c r="F36" s="55"/>
    </row>
    <row r="37" spans="2:40" ht="15.75" customHeight="1" x14ac:dyDescent="0.3"/>
    <row r="40" spans="2:40" ht="15.75" customHeight="1" x14ac:dyDescent="0.3"/>
    <row r="42" spans="2:40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4" spans="2:40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7" spans="2:40" ht="22.5" x14ac:dyDescent="0.35">
      <c r="B47" s="55"/>
    </row>
  </sheetData>
  <mergeCells count="44">
    <mergeCell ref="M17:N17"/>
    <mergeCell ref="O16:P16"/>
    <mergeCell ref="M16:N16"/>
    <mergeCell ref="Q16:R16"/>
    <mergeCell ref="S16:T16"/>
    <mergeCell ref="U16:V16"/>
    <mergeCell ref="A10:AM10"/>
    <mergeCell ref="A11:AM11"/>
    <mergeCell ref="B14:D15"/>
    <mergeCell ref="E14:AM15"/>
    <mergeCell ref="B16:B19"/>
    <mergeCell ref="C16:D19"/>
    <mergeCell ref="E16:F16"/>
    <mergeCell ref="G16:H16"/>
    <mergeCell ref="I16:J16"/>
    <mergeCell ref="K16:L16"/>
    <mergeCell ref="Y16:Z16"/>
    <mergeCell ref="E17:F17"/>
    <mergeCell ref="W16:X16"/>
    <mergeCell ref="W17:X17"/>
    <mergeCell ref="Y17:Z17"/>
    <mergeCell ref="U17:V17"/>
    <mergeCell ref="G17:H17"/>
    <mergeCell ref="I17:J17"/>
    <mergeCell ref="K17:L17"/>
    <mergeCell ref="B23:D23"/>
    <mergeCell ref="O18:P18"/>
    <mergeCell ref="Q18:R18"/>
    <mergeCell ref="S18:T18"/>
    <mergeCell ref="O17:P17"/>
    <mergeCell ref="Q17:R17"/>
    <mergeCell ref="S17:T17"/>
    <mergeCell ref="E18:F18"/>
    <mergeCell ref="G18:H18"/>
    <mergeCell ref="I18:J18"/>
    <mergeCell ref="K18:L18"/>
    <mergeCell ref="M18:N18"/>
    <mergeCell ref="C24:D24"/>
    <mergeCell ref="U18:V18"/>
    <mergeCell ref="W18:X18"/>
    <mergeCell ref="Y18:Z18"/>
    <mergeCell ref="C20:D20"/>
    <mergeCell ref="B21:D21"/>
    <mergeCell ref="B22:D22"/>
  </mergeCells>
  <pageMargins left="0.78740157480314965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3">
    <tabColor theme="0"/>
  </sheetPr>
  <dimension ref="A10:AX47"/>
  <sheetViews>
    <sheetView topLeftCell="A16" zoomScale="70" zoomScaleNormal="70" workbookViewId="0">
      <selection activeCell="W30" sqref="W30:AE33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2.5703125" style="1" customWidth="1"/>
    <col min="29" max="29" width="7" style="1" hidden="1" customWidth="1"/>
    <col min="30" max="30" width="14.85546875" style="1" customWidth="1"/>
    <col min="31" max="31" width="12.28515625" style="1" customWidth="1"/>
    <col min="32" max="32" width="22.42578125" style="1" hidden="1" customWidth="1"/>
    <col min="33" max="33" width="16.42578125" style="1" customWidth="1"/>
    <col min="34" max="34" width="17.7109375" style="1" customWidth="1"/>
    <col min="35" max="35" width="18.5703125" style="1" hidden="1" customWidth="1"/>
    <col min="36" max="37" width="18.5703125" style="1" customWidth="1"/>
    <col min="38" max="38" width="12.42578125" style="1" bestFit="1" customWidth="1"/>
    <col min="39" max="39" width="11.140625" style="1" customWidth="1"/>
    <col min="40" max="40" width="14.28515625" style="1" bestFit="1" customWidth="1"/>
    <col min="41" max="41" width="10.28515625" style="1" bestFit="1" customWidth="1"/>
    <col min="42" max="42" width="9.140625" style="1"/>
    <col min="43" max="43" width="10.7109375" style="1" bestFit="1" customWidth="1"/>
    <col min="44" max="16384" width="9.140625" style="1"/>
  </cols>
  <sheetData>
    <row r="10" spans="1:40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178"/>
    </row>
    <row r="11" spans="1:40" ht="34.5" x14ac:dyDescent="0.45">
      <c r="A11" s="315" t="s">
        <v>151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179"/>
    </row>
    <row r="12" spans="1:40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ht="22.5" thickBot="1" x14ac:dyDescent="0.35"/>
    <row r="14" spans="1:40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8"/>
    </row>
    <row r="15" spans="1:40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1"/>
    </row>
    <row r="16" spans="1:40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6" t="s">
        <v>7</v>
      </c>
      <c r="AC16" s="6" t="s">
        <v>8</v>
      </c>
      <c r="AD16" s="7" t="s">
        <v>8</v>
      </c>
      <c r="AE16" s="5" t="s">
        <v>9</v>
      </c>
      <c r="AF16" s="57" t="s">
        <v>11</v>
      </c>
      <c r="AG16" s="57" t="s">
        <v>10</v>
      </c>
      <c r="AH16" s="57" t="s">
        <v>10</v>
      </c>
      <c r="AI16" s="57" t="s">
        <v>40</v>
      </c>
      <c r="AJ16" s="57" t="s">
        <v>41</v>
      </c>
      <c r="AK16" s="57" t="s">
        <v>41</v>
      </c>
      <c r="AL16" s="57" t="s">
        <v>12</v>
      </c>
      <c r="AM16" s="180" t="s">
        <v>13</v>
      </c>
    </row>
    <row r="17" spans="2:50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9"/>
      <c r="AC17" s="9" t="s">
        <v>15</v>
      </c>
      <c r="AD17" s="10"/>
      <c r="AE17" s="8"/>
      <c r="AF17" s="11">
        <v>4.8</v>
      </c>
      <c r="AG17" s="11">
        <v>2.4</v>
      </c>
      <c r="AH17" s="11">
        <v>4.9000000000000004</v>
      </c>
      <c r="AI17" s="11">
        <v>10</v>
      </c>
      <c r="AJ17" s="11">
        <v>10</v>
      </c>
      <c r="AK17" s="11">
        <v>40</v>
      </c>
      <c r="AL17" s="12"/>
      <c r="AM17" s="12"/>
    </row>
    <row r="18" spans="2:50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10"/>
      <c r="AC18" s="10"/>
      <c r="AD18" s="10"/>
      <c r="AE18" s="8"/>
      <c r="AF18" s="10"/>
      <c r="AG18" s="181"/>
      <c r="AH18" s="181"/>
      <c r="AI18" s="10"/>
      <c r="AJ18" s="10"/>
      <c r="AK18" s="10"/>
      <c r="AL18" s="10"/>
      <c r="AM18" s="10"/>
    </row>
    <row r="19" spans="2:50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9" t="s">
        <v>21</v>
      </c>
      <c r="AC19" s="19" t="s">
        <v>22</v>
      </c>
      <c r="AD19" s="19" t="s">
        <v>22</v>
      </c>
      <c r="AE19" s="18" t="s">
        <v>20</v>
      </c>
      <c r="AF19" s="19" t="s">
        <v>20</v>
      </c>
      <c r="AG19" s="20" t="s">
        <v>20</v>
      </c>
      <c r="AH19" s="20" t="s">
        <v>20</v>
      </c>
      <c r="AI19" s="19" t="s">
        <v>22</v>
      </c>
      <c r="AJ19" s="19" t="s">
        <v>22</v>
      </c>
      <c r="AK19" s="19" t="s">
        <v>22</v>
      </c>
      <c r="AL19" s="19" t="s">
        <v>22</v>
      </c>
      <c r="AM19" s="19" t="s">
        <v>20</v>
      </c>
    </row>
    <row r="20" spans="2:50" ht="68.25" customHeight="1" x14ac:dyDescent="0.3">
      <c r="B20" s="56">
        <v>45719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'2-24-03-2, 2025'!S24</f>
        <v>16562</v>
      </c>
      <c r="T20" s="21">
        <f>'2-24-03-2, 2025'!T24</f>
        <v>4550</v>
      </c>
      <c r="U20" s="21">
        <f>'2-24-03-2, 2025'!U24</f>
        <v>0</v>
      </c>
      <c r="V20" s="21">
        <f>'2-24-03-2, 2025'!V24</f>
        <v>0</v>
      </c>
      <c r="W20" s="21">
        <f>'2-24-03-2, 2025'!W24</f>
        <v>22256</v>
      </c>
      <c r="X20" s="21">
        <f>'2-24-03-2, 2025'!X24</f>
        <v>2675</v>
      </c>
      <c r="Y20" s="21">
        <f>'2-24-03-2, 2025'!Y24</f>
        <v>0</v>
      </c>
      <c r="Z20" s="21">
        <f>'2-24-03-2, 2025'!Z24</f>
        <v>0</v>
      </c>
      <c r="AA20" s="21" t="e">
        <f>'2-24-03-2, 2025'!AA24</f>
        <v>#REF!</v>
      </c>
      <c r="AB20" s="21">
        <f>'2-24-03-2, 2025'!AB24</f>
        <v>1375</v>
      </c>
      <c r="AC20" s="21" t="e">
        <f>'2-24-03-2, 2025'!AC24</f>
        <v>#REF!</v>
      </c>
      <c r="AD20" s="21">
        <f>'2-24-03-2, 2025'!AD24</f>
        <v>2047</v>
      </c>
      <c r="AE20" s="21">
        <f>'2-24-03-2, 2025'!AE24</f>
        <v>468</v>
      </c>
      <c r="AF20" s="21">
        <f>'2-24-03-2, 2025'!AF24</f>
        <v>0</v>
      </c>
      <c r="AG20" s="21">
        <f>'2-24-03-2, 2025'!AG24</f>
        <v>3477</v>
      </c>
      <c r="AH20" s="21">
        <f>'2-24-03-2, 2025'!AH24</f>
        <v>11370</v>
      </c>
      <c r="AI20" s="21">
        <f>'2-24-03-2, 2025'!AI24</f>
        <v>0</v>
      </c>
      <c r="AJ20" s="21">
        <f>'2-24-03-2, 2025'!AJ24</f>
        <v>11865</v>
      </c>
      <c r="AK20" s="21">
        <f>'2-24-03-2, 2025'!AK24</f>
        <v>5625</v>
      </c>
      <c r="AL20" s="21">
        <f>'2-24-03-2, 2025'!AL24</f>
        <v>0</v>
      </c>
      <c r="AM20" s="21">
        <f>'2-24-03-2, 2025'!AM24</f>
        <v>96</v>
      </c>
      <c r="AN20" s="28"/>
    </row>
    <row r="21" spans="2:50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3"/>
      <c r="AD21" s="23"/>
      <c r="AE21" s="23"/>
      <c r="AF21" s="23"/>
      <c r="AG21" s="23"/>
      <c r="AH21" s="23"/>
      <c r="AI21" s="31"/>
      <c r="AJ21" s="31"/>
      <c r="AK21" s="31"/>
      <c r="AL21" s="23"/>
      <c r="AM21" s="32"/>
      <c r="AO21" s="33"/>
    </row>
    <row r="22" spans="2:50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M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16562</v>
      </c>
      <c r="T22" s="34">
        <f t="shared" ref="T22" si="1">T20+T21</f>
        <v>4550</v>
      </c>
      <c r="U22" s="34">
        <f>U20+U21</f>
        <v>0</v>
      </c>
      <c r="V22" s="34">
        <f t="shared" ref="V22" si="2">V20+V21</f>
        <v>0</v>
      </c>
      <c r="W22" s="34">
        <f t="shared" si="0"/>
        <v>22256</v>
      </c>
      <c r="X22" s="34">
        <f>X20+X21</f>
        <v>2675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1375</v>
      </c>
      <c r="AC22" s="34" t="e">
        <f t="shared" si="0"/>
        <v>#REF!</v>
      </c>
      <c r="AD22" s="34">
        <f t="shared" si="0"/>
        <v>2047</v>
      </c>
      <c r="AE22" s="34">
        <f t="shared" si="0"/>
        <v>468</v>
      </c>
      <c r="AF22" s="34">
        <f t="shared" si="0"/>
        <v>0</v>
      </c>
      <c r="AG22" s="34">
        <f t="shared" si="0"/>
        <v>3477</v>
      </c>
      <c r="AH22" s="34">
        <f t="shared" si="0"/>
        <v>11370</v>
      </c>
      <c r="AI22" s="34">
        <f t="shared" si="0"/>
        <v>0</v>
      </c>
      <c r="AJ22" s="34">
        <f t="shared" si="0"/>
        <v>11865</v>
      </c>
      <c r="AK22" s="34">
        <f t="shared" si="0"/>
        <v>5625</v>
      </c>
      <c r="AL22" s="34">
        <f t="shared" si="0"/>
        <v>0</v>
      </c>
      <c r="AM22" s="165">
        <f t="shared" si="0"/>
        <v>96</v>
      </c>
    </row>
    <row r="23" spans="2:50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>
        <v>2275</v>
      </c>
      <c r="T23" s="21">
        <f>S23/91*25</f>
        <v>625</v>
      </c>
      <c r="U23" s="30">
        <v>0</v>
      </c>
      <c r="V23" s="21">
        <f>U23/215*25</f>
        <v>0</v>
      </c>
      <c r="W23" s="30">
        <v>6864</v>
      </c>
      <c r="X23" s="22">
        <f>W23/208*25</f>
        <v>825</v>
      </c>
      <c r="Y23" s="22"/>
      <c r="Z23" s="24"/>
      <c r="AA23" s="30"/>
      <c r="AB23" s="30">
        <v>950</v>
      </c>
      <c r="AC23" s="30"/>
      <c r="AD23" s="36">
        <v>107</v>
      </c>
      <c r="AE23" s="22">
        <v>41</v>
      </c>
      <c r="AF23" s="22"/>
      <c r="AG23" s="30">
        <v>165</v>
      </c>
      <c r="AH23" s="30">
        <v>385</v>
      </c>
      <c r="AI23" s="30"/>
      <c r="AJ23" s="30">
        <v>635</v>
      </c>
      <c r="AK23" s="30">
        <v>525</v>
      </c>
      <c r="AL23" s="22">
        <v>0</v>
      </c>
      <c r="AM23" s="38">
        <v>0</v>
      </c>
    </row>
    <row r="24" spans="2:50" s="3" customFormat="1" ht="100.5" customHeight="1" thickBot="1" x14ac:dyDescent="0.25">
      <c r="B24" s="39">
        <v>45360</v>
      </c>
      <c r="C24" s="336" t="s">
        <v>28</v>
      </c>
      <c r="D24" s="337"/>
      <c r="E24" s="40">
        <f>E22-E23</f>
        <v>0</v>
      </c>
      <c r="F24" s="40">
        <f t="shared" ref="F24:AL24" si="3">F22-F23</f>
        <v>0</v>
      </c>
      <c r="G24" s="40">
        <f>G22-G23</f>
        <v>0</v>
      </c>
      <c r="H24" s="40">
        <f t="shared" si="3"/>
        <v>0</v>
      </c>
      <c r="I24" s="41" t="e">
        <f t="shared" si="3"/>
        <v>#REF!</v>
      </c>
      <c r="J24" s="41" t="e">
        <f t="shared" si="3"/>
        <v>#REF!</v>
      </c>
      <c r="K24" s="41">
        <f>K22-K23</f>
        <v>0</v>
      </c>
      <c r="L24" s="42">
        <f t="shared" ref="L24" si="4">L22-L23</f>
        <v>0</v>
      </c>
      <c r="M24" s="41">
        <f>M22-M23</f>
        <v>0</v>
      </c>
      <c r="N24" s="42">
        <f>N22-N23</f>
        <v>0</v>
      </c>
      <c r="O24" s="41" t="e">
        <f t="shared" ref="O24:V24" si="5">O22-O23</f>
        <v>#REF!</v>
      </c>
      <c r="P24" s="41" t="e">
        <f t="shared" si="5"/>
        <v>#REF!</v>
      </c>
      <c r="Q24" s="40">
        <f>Q22-Q23</f>
        <v>0</v>
      </c>
      <c r="R24" s="40">
        <f t="shared" si="5"/>
        <v>0</v>
      </c>
      <c r="S24" s="40">
        <f>S22-S23</f>
        <v>14287</v>
      </c>
      <c r="T24" s="40">
        <f t="shared" ref="T24" si="6">T22-T23</f>
        <v>3925</v>
      </c>
      <c r="U24" s="40">
        <f t="shared" si="5"/>
        <v>0</v>
      </c>
      <c r="V24" s="40">
        <f t="shared" si="5"/>
        <v>0</v>
      </c>
      <c r="W24" s="40">
        <f>W22-W23</f>
        <v>15392</v>
      </c>
      <c r="X24" s="40">
        <f>X22-X23</f>
        <v>1850</v>
      </c>
      <c r="Y24" s="40">
        <f>Y22-Y23</f>
        <v>0</v>
      </c>
      <c r="Z24" s="42">
        <f t="shared" ref="Z24" si="7">Z22-Z23</f>
        <v>0</v>
      </c>
      <c r="AA24" s="41" t="e">
        <f t="shared" si="3"/>
        <v>#REF!</v>
      </c>
      <c r="AB24" s="41">
        <f>AB22-AB23</f>
        <v>425</v>
      </c>
      <c r="AC24" s="41" t="e">
        <f t="shared" si="3"/>
        <v>#REF!</v>
      </c>
      <c r="AD24" s="93">
        <f>AD22-AD23</f>
        <v>1940</v>
      </c>
      <c r="AE24" s="40">
        <f t="shared" si="3"/>
        <v>427</v>
      </c>
      <c r="AF24" s="40">
        <f t="shared" si="3"/>
        <v>0</v>
      </c>
      <c r="AG24" s="41">
        <f t="shared" si="3"/>
        <v>3312</v>
      </c>
      <c r="AH24" s="41">
        <f t="shared" si="3"/>
        <v>10985</v>
      </c>
      <c r="AI24" s="41">
        <f t="shared" si="3"/>
        <v>0</v>
      </c>
      <c r="AJ24" s="41">
        <f>AJ22-AJ23</f>
        <v>11230</v>
      </c>
      <c r="AK24" s="41">
        <f t="shared" si="3"/>
        <v>5100</v>
      </c>
      <c r="AL24" s="40">
        <f t="shared" si="3"/>
        <v>0</v>
      </c>
      <c r="AM24" s="44">
        <f>AM22-AM23</f>
        <v>96</v>
      </c>
    </row>
    <row r="25" spans="2:50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2:50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I26" s="29"/>
      <c r="AJ26" s="29"/>
      <c r="AK26" s="29"/>
      <c r="AL26" s="29"/>
      <c r="AM26" s="29"/>
    </row>
    <row r="27" spans="2:50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H27" s="45" t="s">
        <v>57</v>
      </c>
      <c r="AI27" s="47"/>
      <c r="AJ27" s="47"/>
      <c r="AK27" s="47"/>
      <c r="AL27" s="46"/>
      <c r="AM27" s="46"/>
    </row>
    <row r="28" spans="2:50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I28" s="49"/>
      <c r="AJ28" s="49"/>
      <c r="AK28" s="49"/>
      <c r="AL28" s="49"/>
      <c r="AM28" s="49"/>
      <c r="AN28" s="46"/>
    </row>
    <row r="29" spans="2:50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I29" s="49"/>
      <c r="AJ29" s="49"/>
      <c r="AK29" s="49"/>
      <c r="AL29" s="49"/>
      <c r="AM29" s="49"/>
      <c r="AN29" s="46"/>
    </row>
    <row r="30" spans="2:50" s="45" customFormat="1" ht="24" customHeight="1" x14ac:dyDescent="0.4">
      <c r="B30" s="153" t="s">
        <v>111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B30" s="155"/>
      <c r="AC30" s="155"/>
      <c r="AD30" s="155"/>
      <c r="AF30" s="155"/>
      <c r="AH30" s="156" t="s">
        <v>117</v>
      </c>
      <c r="AI30" s="155"/>
      <c r="AJ30" s="155"/>
      <c r="AK30" s="155"/>
      <c r="AN30" s="46"/>
    </row>
    <row r="31" spans="2:50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B31" s="155"/>
      <c r="AC31" s="155"/>
      <c r="AD31" s="155"/>
      <c r="AF31" s="155"/>
      <c r="AH31" s="154" t="s">
        <v>118</v>
      </c>
      <c r="AI31" s="154"/>
      <c r="AJ31" s="154"/>
      <c r="AK31" s="154"/>
      <c r="AL31" s="46"/>
      <c r="AM31" s="46"/>
    </row>
    <row r="32" spans="2:50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B32" s="154"/>
      <c r="AC32" s="154"/>
      <c r="AD32" s="154"/>
      <c r="AF32" s="155"/>
      <c r="AH32" s="154" t="s">
        <v>46</v>
      </c>
      <c r="AI32" s="154"/>
      <c r="AJ32" s="154"/>
      <c r="AK32" s="154"/>
      <c r="AL32" s="83"/>
      <c r="AM32" s="84"/>
      <c r="AN32" s="85"/>
      <c r="AO32" s="86"/>
      <c r="AP32" s="87"/>
      <c r="AQ32" s="86"/>
      <c r="AR32" s="88"/>
      <c r="AS32" s="84"/>
      <c r="AT32" s="84"/>
      <c r="AU32" s="86"/>
      <c r="AV32" s="86"/>
      <c r="AW32" s="86"/>
      <c r="AX32" s="84"/>
    </row>
    <row r="33" spans="2:40" s="46" customFormat="1" ht="24" customHeight="1" x14ac:dyDescent="0.4">
      <c r="B33" s="157" t="s">
        <v>112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B33" s="154"/>
      <c r="AC33" s="158"/>
      <c r="AD33" s="158"/>
      <c r="AE33" s="154"/>
      <c r="AF33" s="159"/>
      <c r="AG33" s="154"/>
      <c r="AH33" s="154"/>
      <c r="AI33" s="154"/>
      <c r="AJ33" s="154"/>
      <c r="AK33" s="154"/>
    </row>
    <row r="34" spans="2:40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52"/>
    </row>
    <row r="36" spans="2:40" ht="22.5" x14ac:dyDescent="0.35">
      <c r="C36" s="55"/>
      <c r="D36" s="55"/>
      <c r="E36" s="55"/>
      <c r="F36" s="55"/>
    </row>
    <row r="37" spans="2:40" ht="15.75" customHeight="1" x14ac:dyDescent="0.3"/>
    <row r="40" spans="2:40" ht="15.75" customHeight="1" x14ac:dyDescent="0.3"/>
    <row r="42" spans="2:40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4" spans="2:40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7" spans="2:40" ht="22.5" x14ac:dyDescent="0.35">
      <c r="B47" s="55"/>
    </row>
  </sheetData>
  <mergeCells count="44">
    <mergeCell ref="M17:N17"/>
    <mergeCell ref="O16:P16"/>
    <mergeCell ref="M16:N16"/>
    <mergeCell ref="Q16:R16"/>
    <mergeCell ref="S16:T16"/>
    <mergeCell ref="U16:V16"/>
    <mergeCell ref="A10:AM10"/>
    <mergeCell ref="A11:AM11"/>
    <mergeCell ref="B14:D15"/>
    <mergeCell ref="E14:AM15"/>
    <mergeCell ref="B16:B19"/>
    <mergeCell ref="C16:D19"/>
    <mergeCell ref="E16:F16"/>
    <mergeCell ref="G16:H16"/>
    <mergeCell ref="I16:J16"/>
    <mergeCell ref="K16:L16"/>
    <mergeCell ref="Y16:Z16"/>
    <mergeCell ref="E17:F17"/>
    <mergeCell ref="W16:X16"/>
    <mergeCell ref="W17:X17"/>
    <mergeCell ref="Y17:Z17"/>
    <mergeCell ref="U17:V17"/>
    <mergeCell ref="G17:H17"/>
    <mergeCell ref="I17:J17"/>
    <mergeCell ref="K17:L17"/>
    <mergeCell ref="B23:D23"/>
    <mergeCell ref="O18:P18"/>
    <mergeCell ref="Q18:R18"/>
    <mergeCell ref="S18:T18"/>
    <mergeCell ref="O17:P17"/>
    <mergeCell ref="Q17:R17"/>
    <mergeCell ref="S17:T17"/>
    <mergeCell ref="E18:F18"/>
    <mergeCell ref="G18:H18"/>
    <mergeCell ref="I18:J18"/>
    <mergeCell ref="K18:L18"/>
    <mergeCell ref="M18:N18"/>
    <mergeCell ref="C24:D24"/>
    <mergeCell ref="U18:V18"/>
    <mergeCell ref="W18:X18"/>
    <mergeCell ref="Y18:Z18"/>
    <mergeCell ref="C20:D20"/>
    <mergeCell ref="B21:D21"/>
    <mergeCell ref="B22:D22"/>
  </mergeCells>
  <pageMargins left="0.78740157480314965" right="0.11811023622047245" top="0.39370078740157483" bottom="0.31496062992125984" header="0.31496062992125984" footer="0.31496062992125984"/>
  <pageSetup paperSize="9" scale="50" orientation="landscape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4">
    <tabColor theme="0"/>
  </sheetPr>
  <dimension ref="A10:AX47"/>
  <sheetViews>
    <sheetView topLeftCell="A13" zoomScale="70" zoomScaleNormal="70" workbookViewId="0">
      <selection activeCell="AB24" sqref="AB24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2.5703125" style="1" customWidth="1"/>
    <col min="29" max="29" width="7" style="1" hidden="1" customWidth="1"/>
    <col min="30" max="30" width="14.85546875" style="1" customWidth="1"/>
    <col min="31" max="31" width="12.28515625" style="1" customWidth="1"/>
    <col min="32" max="32" width="22.42578125" style="1" hidden="1" customWidth="1"/>
    <col min="33" max="33" width="16.42578125" style="1" customWidth="1"/>
    <col min="34" max="34" width="17.7109375" style="1" customWidth="1"/>
    <col min="35" max="35" width="18.5703125" style="1" hidden="1" customWidth="1"/>
    <col min="36" max="37" width="18.5703125" style="1" customWidth="1"/>
    <col min="38" max="38" width="12.42578125" style="1" bestFit="1" customWidth="1"/>
    <col min="39" max="39" width="11.140625" style="1" customWidth="1"/>
    <col min="40" max="40" width="14.28515625" style="1" bestFit="1" customWidth="1"/>
    <col min="41" max="41" width="10.28515625" style="1" bestFit="1" customWidth="1"/>
    <col min="42" max="42" width="9.140625" style="1"/>
    <col min="43" max="43" width="10.7109375" style="1" bestFit="1" customWidth="1"/>
    <col min="44" max="16384" width="9.140625" style="1"/>
  </cols>
  <sheetData>
    <row r="10" spans="1:40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178"/>
    </row>
    <row r="11" spans="1:40" ht="34.5" x14ac:dyDescent="0.45">
      <c r="A11" s="315" t="s">
        <v>152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179"/>
    </row>
    <row r="12" spans="1:40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ht="22.5" thickBot="1" x14ac:dyDescent="0.35"/>
    <row r="14" spans="1:40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8"/>
    </row>
    <row r="15" spans="1:40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1"/>
    </row>
    <row r="16" spans="1:40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6" t="s">
        <v>7</v>
      </c>
      <c r="AC16" s="6" t="s">
        <v>8</v>
      </c>
      <c r="AD16" s="7" t="s">
        <v>8</v>
      </c>
      <c r="AE16" s="5" t="s">
        <v>9</v>
      </c>
      <c r="AF16" s="57" t="s">
        <v>11</v>
      </c>
      <c r="AG16" s="57" t="s">
        <v>10</v>
      </c>
      <c r="AH16" s="57" t="s">
        <v>10</v>
      </c>
      <c r="AI16" s="57" t="s">
        <v>40</v>
      </c>
      <c r="AJ16" s="57" t="s">
        <v>41</v>
      </c>
      <c r="AK16" s="57" t="s">
        <v>41</v>
      </c>
      <c r="AL16" s="57" t="s">
        <v>12</v>
      </c>
      <c r="AM16" s="182" t="s">
        <v>13</v>
      </c>
    </row>
    <row r="17" spans="2:50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9"/>
      <c r="AC17" s="9" t="s">
        <v>15</v>
      </c>
      <c r="AD17" s="10"/>
      <c r="AE17" s="8"/>
      <c r="AF17" s="11">
        <v>4.8</v>
      </c>
      <c r="AG17" s="11">
        <v>2.4</v>
      </c>
      <c r="AH17" s="11">
        <v>4.9000000000000004</v>
      </c>
      <c r="AI17" s="11">
        <v>10</v>
      </c>
      <c r="AJ17" s="11">
        <v>10</v>
      </c>
      <c r="AK17" s="11">
        <v>40</v>
      </c>
      <c r="AL17" s="12"/>
      <c r="AM17" s="12"/>
    </row>
    <row r="18" spans="2:50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10"/>
      <c r="AC18" s="10"/>
      <c r="AD18" s="10"/>
      <c r="AE18" s="8"/>
      <c r="AF18" s="10"/>
      <c r="AG18" s="183"/>
      <c r="AH18" s="183"/>
      <c r="AI18" s="10"/>
      <c r="AJ18" s="10"/>
      <c r="AK18" s="10"/>
      <c r="AL18" s="10"/>
      <c r="AM18" s="10"/>
    </row>
    <row r="19" spans="2:50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9" t="s">
        <v>21</v>
      </c>
      <c r="AC19" s="19" t="s">
        <v>22</v>
      </c>
      <c r="AD19" s="19" t="s">
        <v>22</v>
      </c>
      <c r="AE19" s="18" t="s">
        <v>20</v>
      </c>
      <c r="AF19" s="19" t="s">
        <v>20</v>
      </c>
      <c r="AG19" s="20" t="s">
        <v>20</v>
      </c>
      <c r="AH19" s="20" t="s">
        <v>20</v>
      </c>
      <c r="AI19" s="19" t="s">
        <v>22</v>
      </c>
      <c r="AJ19" s="19" t="s">
        <v>22</v>
      </c>
      <c r="AK19" s="19" t="s">
        <v>22</v>
      </c>
      <c r="AL19" s="19" t="s">
        <v>22</v>
      </c>
      <c r="AM19" s="19" t="s">
        <v>20</v>
      </c>
    </row>
    <row r="20" spans="2:50" ht="68.25" customHeight="1" x14ac:dyDescent="0.3">
      <c r="B20" s="56">
        <v>45726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'3-3-9, 2025'!S24</f>
        <v>14287</v>
      </c>
      <c r="T20" s="21">
        <f>'3-3-9, 2025'!T24</f>
        <v>3925</v>
      </c>
      <c r="U20" s="21">
        <f>'3-3-9, 2025'!U24</f>
        <v>0</v>
      </c>
      <c r="V20" s="21">
        <f>'3-3-9, 2025'!V24</f>
        <v>0</v>
      </c>
      <c r="W20" s="21">
        <f>'3-3-9, 2025'!W24</f>
        <v>15392</v>
      </c>
      <c r="X20" s="21">
        <f>'3-3-9, 2025'!X24</f>
        <v>1850</v>
      </c>
      <c r="Y20" s="21">
        <f>'3-3-9, 2025'!Y24</f>
        <v>0</v>
      </c>
      <c r="Z20" s="21">
        <f>'3-3-9, 2025'!Z24</f>
        <v>0</v>
      </c>
      <c r="AA20" s="21" t="e">
        <f>'3-3-9, 2025'!AA24</f>
        <v>#REF!</v>
      </c>
      <c r="AB20" s="21">
        <f>'3-3-9, 2025'!AB24</f>
        <v>425</v>
      </c>
      <c r="AC20" s="21" t="e">
        <f>'3-3-9, 2025'!AC24</f>
        <v>#REF!</v>
      </c>
      <c r="AD20" s="21">
        <f>'3-3-9, 2025'!AD24</f>
        <v>1940</v>
      </c>
      <c r="AE20" s="21">
        <f>'3-3-9, 2025'!AE24</f>
        <v>427</v>
      </c>
      <c r="AF20" s="21">
        <f>'3-3-9, 2025'!AF24</f>
        <v>0</v>
      </c>
      <c r="AG20" s="21">
        <f>'3-3-9, 2025'!AG24</f>
        <v>3312</v>
      </c>
      <c r="AH20" s="21">
        <f>'3-3-9, 2025'!AH24</f>
        <v>10985</v>
      </c>
      <c r="AI20" s="21">
        <f>'3-3-9, 2025'!AI24</f>
        <v>0</v>
      </c>
      <c r="AJ20" s="21">
        <f>'3-3-9, 2025'!AJ24</f>
        <v>11230</v>
      </c>
      <c r="AK20" s="21">
        <f>'3-3-9, 2025'!AK24</f>
        <v>5100</v>
      </c>
      <c r="AL20" s="21">
        <f>'3-3-9, 2025'!AL24</f>
        <v>0</v>
      </c>
      <c r="AM20" s="21">
        <f>'3-3-9, 2025'!AM24</f>
        <v>96</v>
      </c>
      <c r="AN20" s="28"/>
    </row>
    <row r="21" spans="2:50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3"/>
      <c r="AD21" s="23"/>
      <c r="AE21" s="23"/>
      <c r="AF21" s="23"/>
      <c r="AG21" s="23"/>
      <c r="AH21" s="23"/>
      <c r="AI21" s="31"/>
      <c r="AJ21" s="31"/>
      <c r="AK21" s="31"/>
      <c r="AL21" s="23"/>
      <c r="AM21" s="32"/>
      <c r="AO21" s="33"/>
    </row>
    <row r="22" spans="2:50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M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14287</v>
      </c>
      <c r="T22" s="34">
        <f t="shared" ref="T22" si="1">T20+T21</f>
        <v>3925</v>
      </c>
      <c r="U22" s="34">
        <f>U20+U21</f>
        <v>0</v>
      </c>
      <c r="V22" s="34">
        <f t="shared" ref="V22" si="2">V20+V21</f>
        <v>0</v>
      </c>
      <c r="W22" s="34">
        <f t="shared" si="0"/>
        <v>15392</v>
      </c>
      <c r="X22" s="34">
        <f>X20+X21</f>
        <v>1850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425</v>
      </c>
      <c r="AC22" s="34" t="e">
        <f t="shared" si="0"/>
        <v>#REF!</v>
      </c>
      <c r="AD22" s="34">
        <f t="shared" si="0"/>
        <v>1940</v>
      </c>
      <c r="AE22" s="34">
        <f t="shared" si="0"/>
        <v>427</v>
      </c>
      <c r="AF22" s="34">
        <f t="shared" si="0"/>
        <v>0</v>
      </c>
      <c r="AG22" s="34">
        <f t="shared" si="0"/>
        <v>3312</v>
      </c>
      <c r="AH22" s="34">
        <f t="shared" si="0"/>
        <v>10985</v>
      </c>
      <c r="AI22" s="34">
        <f t="shared" si="0"/>
        <v>0</v>
      </c>
      <c r="AJ22" s="34">
        <f t="shared" si="0"/>
        <v>11230</v>
      </c>
      <c r="AK22" s="34">
        <f t="shared" si="0"/>
        <v>5100</v>
      </c>
      <c r="AL22" s="34">
        <f t="shared" si="0"/>
        <v>0</v>
      </c>
      <c r="AM22" s="165">
        <f t="shared" si="0"/>
        <v>96</v>
      </c>
    </row>
    <row r="23" spans="2:50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>
        <v>2093</v>
      </c>
      <c r="T23" s="21">
        <f>S23/91*25</f>
        <v>575</v>
      </c>
      <c r="U23" s="30">
        <v>0</v>
      </c>
      <c r="V23" s="21">
        <f>U23/215*25</f>
        <v>0</v>
      </c>
      <c r="W23" s="30">
        <v>6448</v>
      </c>
      <c r="X23" s="22">
        <f>W23/208*25</f>
        <v>775</v>
      </c>
      <c r="Y23" s="22"/>
      <c r="Z23" s="24"/>
      <c r="AA23" s="30"/>
      <c r="AB23" s="30">
        <v>400</v>
      </c>
      <c r="AC23" s="30"/>
      <c r="AD23" s="36">
        <v>94</v>
      </c>
      <c r="AE23" s="22">
        <v>42</v>
      </c>
      <c r="AF23" s="22"/>
      <c r="AG23" s="30">
        <v>108</v>
      </c>
      <c r="AH23" s="30">
        <v>378</v>
      </c>
      <c r="AI23" s="30"/>
      <c r="AJ23" s="30">
        <v>575</v>
      </c>
      <c r="AK23" s="30">
        <v>375</v>
      </c>
      <c r="AL23" s="22">
        <v>0</v>
      </c>
      <c r="AM23" s="38">
        <v>0</v>
      </c>
    </row>
    <row r="24" spans="2:50" s="3" customFormat="1" ht="100.5" customHeight="1" thickBot="1" x14ac:dyDescent="0.25">
      <c r="B24" s="39">
        <v>45367</v>
      </c>
      <c r="C24" s="336" t="s">
        <v>28</v>
      </c>
      <c r="D24" s="337"/>
      <c r="E24" s="40">
        <f>E22-E23</f>
        <v>0</v>
      </c>
      <c r="F24" s="40">
        <f t="shared" ref="F24:AL24" si="3">F22-F23</f>
        <v>0</v>
      </c>
      <c r="G24" s="40">
        <f>G22-G23</f>
        <v>0</v>
      </c>
      <c r="H24" s="40">
        <f t="shared" si="3"/>
        <v>0</v>
      </c>
      <c r="I24" s="41" t="e">
        <f t="shared" si="3"/>
        <v>#REF!</v>
      </c>
      <c r="J24" s="41" t="e">
        <f t="shared" si="3"/>
        <v>#REF!</v>
      </c>
      <c r="K24" s="41">
        <f>K22-K23</f>
        <v>0</v>
      </c>
      <c r="L24" s="42">
        <f t="shared" ref="L24" si="4">L22-L23</f>
        <v>0</v>
      </c>
      <c r="M24" s="41">
        <f>M22-M23</f>
        <v>0</v>
      </c>
      <c r="N24" s="42">
        <f>N22-N23</f>
        <v>0</v>
      </c>
      <c r="O24" s="41" t="e">
        <f t="shared" ref="O24:V24" si="5">O22-O23</f>
        <v>#REF!</v>
      </c>
      <c r="P24" s="41" t="e">
        <f t="shared" si="5"/>
        <v>#REF!</v>
      </c>
      <c r="Q24" s="40">
        <f>Q22-Q23</f>
        <v>0</v>
      </c>
      <c r="R24" s="40">
        <f t="shared" si="5"/>
        <v>0</v>
      </c>
      <c r="S24" s="40">
        <f>S22-S23</f>
        <v>12194</v>
      </c>
      <c r="T24" s="40">
        <f t="shared" ref="T24" si="6">T22-T23</f>
        <v>3350</v>
      </c>
      <c r="U24" s="40">
        <f t="shared" si="5"/>
        <v>0</v>
      </c>
      <c r="V24" s="40">
        <f t="shared" si="5"/>
        <v>0</v>
      </c>
      <c r="W24" s="40">
        <f>W22-W23</f>
        <v>8944</v>
      </c>
      <c r="X24" s="40">
        <f>X22-X23</f>
        <v>1075</v>
      </c>
      <c r="Y24" s="40">
        <f>Y22-Y23</f>
        <v>0</v>
      </c>
      <c r="Z24" s="42">
        <f t="shared" ref="Z24" si="7">Z22-Z23</f>
        <v>0</v>
      </c>
      <c r="AA24" s="41" t="e">
        <f t="shared" si="3"/>
        <v>#REF!</v>
      </c>
      <c r="AB24" s="41">
        <f>AB22-AB23</f>
        <v>25</v>
      </c>
      <c r="AC24" s="41" t="e">
        <f t="shared" si="3"/>
        <v>#REF!</v>
      </c>
      <c r="AD24" s="93">
        <f>AD22-AD23</f>
        <v>1846</v>
      </c>
      <c r="AE24" s="40">
        <f t="shared" si="3"/>
        <v>385</v>
      </c>
      <c r="AF24" s="40">
        <f t="shared" si="3"/>
        <v>0</v>
      </c>
      <c r="AG24" s="41">
        <f t="shared" si="3"/>
        <v>3204</v>
      </c>
      <c r="AH24" s="41">
        <f t="shared" si="3"/>
        <v>10607</v>
      </c>
      <c r="AI24" s="41">
        <f t="shared" si="3"/>
        <v>0</v>
      </c>
      <c r="AJ24" s="41">
        <f>AJ22-AJ23</f>
        <v>10655</v>
      </c>
      <c r="AK24" s="41">
        <f t="shared" si="3"/>
        <v>4725</v>
      </c>
      <c r="AL24" s="40">
        <f t="shared" si="3"/>
        <v>0</v>
      </c>
      <c r="AM24" s="44">
        <f>AM22-AM23</f>
        <v>96</v>
      </c>
    </row>
    <row r="25" spans="2:50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2:50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I26" s="29"/>
      <c r="AJ26" s="29"/>
      <c r="AK26" s="29"/>
      <c r="AL26" s="29"/>
      <c r="AM26" s="29"/>
    </row>
    <row r="27" spans="2:50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H27" s="45" t="s">
        <v>57</v>
      </c>
      <c r="AI27" s="47"/>
      <c r="AJ27" s="47"/>
      <c r="AK27" s="47"/>
      <c r="AL27" s="46"/>
      <c r="AM27" s="46"/>
    </row>
    <row r="28" spans="2:50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I28" s="49"/>
      <c r="AJ28" s="49"/>
      <c r="AK28" s="49"/>
      <c r="AL28" s="49"/>
      <c r="AM28" s="49"/>
      <c r="AN28" s="46"/>
    </row>
    <row r="29" spans="2:50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I29" s="49"/>
      <c r="AJ29" s="49"/>
      <c r="AK29" s="49"/>
      <c r="AL29" s="49"/>
      <c r="AM29" s="49"/>
      <c r="AN29" s="46"/>
    </row>
    <row r="30" spans="2:50" s="45" customFormat="1" ht="24" customHeight="1" x14ac:dyDescent="0.4">
      <c r="B30" s="153" t="s">
        <v>111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B30" s="155"/>
      <c r="AC30" s="155"/>
      <c r="AD30" s="155"/>
      <c r="AF30" s="155"/>
      <c r="AH30" s="156" t="s">
        <v>117</v>
      </c>
      <c r="AI30" s="155"/>
      <c r="AJ30" s="155"/>
      <c r="AK30" s="155"/>
      <c r="AN30" s="46"/>
    </row>
    <row r="31" spans="2:50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B31" s="155"/>
      <c r="AC31" s="155"/>
      <c r="AD31" s="155"/>
      <c r="AF31" s="155"/>
      <c r="AH31" s="154" t="s">
        <v>118</v>
      </c>
      <c r="AI31" s="154"/>
      <c r="AJ31" s="154"/>
      <c r="AK31" s="154"/>
      <c r="AL31" s="46"/>
      <c r="AM31" s="46"/>
    </row>
    <row r="32" spans="2:50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B32" s="154"/>
      <c r="AC32" s="154"/>
      <c r="AD32" s="154"/>
      <c r="AF32" s="155"/>
      <c r="AH32" s="154" t="s">
        <v>46</v>
      </c>
      <c r="AI32" s="154"/>
      <c r="AJ32" s="154"/>
      <c r="AK32" s="154"/>
      <c r="AL32" s="83"/>
      <c r="AM32" s="84"/>
      <c r="AN32" s="85"/>
      <c r="AO32" s="86"/>
      <c r="AP32" s="87"/>
      <c r="AQ32" s="86"/>
      <c r="AR32" s="88"/>
      <c r="AS32" s="84"/>
      <c r="AT32" s="84"/>
      <c r="AU32" s="86"/>
      <c r="AV32" s="86"/>
      <c r="AW32" s="86"/>
      <c r="AX32" s="84"/>
    </row>
    <row r="33" spans="2:40" s="46" customFormat="1" ht="24" customHeight="1" x14ac:dyDescent="0.4">
      <c r="B33" s="157" t="s">
        <v>112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B33" s="154"/>
      <c r="AC33" s="158"/>
      <c r="AD33" s="158"/>
      <c r="AE33" s="154"/>
      <c r="AF33" s="159"/>
      <c r="AG33" s="154"/>
      <c r="AH33" s="154"/>
      <c r="AI33" s="154"/>
      <c r="AJ33" s="154"/>
      <c r="AK33" s="154"/>
    </row>
    <row r="34" spans="2:40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52"/>
    </row>
    <row r="36" spans="2:40" ht="22.5" x14ac:dyDescent="0.35">
      <c r="C36" s="55"/>
      <c r="D36" s="55"/>
      <c r="E36" s="55"/>
      <c r="F36" s="55"/>
    </row>
    <row r="37" spans="2:40" ht="15.75" customHeight="1" x14ac:dyDescent="0.3"/>
    <row r="40" spans="2:40" ht="15.75" customHeight="1" x14ac:dyDescent="0.3"/>
    <row r="42" spans="2:40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4" spans="2:40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7" spans="2:40" ht="22.5" x14ac:dyDescent="0.35">
      <c r="B47" s="55"/>
    </row>
  </sheetData>
  <mergeCells count="44">
    <mergeCell ref="C24:D24"/>
    <mergeCell ref="U18:V18"/>
    <mergeCell ref="W18:X18"/>
    <mergeCell ref="Y18:Z18"/>
    <mergeCell ref="C20:D20"/>
    <mergeCell ref="B21:D21"/>
    <mergeCell ref="B22:D22"/>
    <mergeCell ref="U17:V17"/>
    <mergeCell ref="G17:H17"/>
    <mergeCell ref="I17:J17"/>
    <mergeCell ref="K17:L17"/>
    <mergeCell ref="B23:D23"/>
    <mergeCell ref="O18:P18"/>
    <mergeCell ref="Q18:R18"/>
    <mergeCell ref="S18:T18"/>
    <mergeCell ref="O17:P17"/>
    <mergeCell ref="Q17:R17"/>
    <mergeCell ref="S17:T17"/>
    <mergeCell ref="E18:F18"/>
    <mergeCell ref="G18:H18"/>
    <mergeCell ref="I18:J18"/>
    <mergeCell ref="K18:L18"/>
    <mergeCell ref="M18:N18"/>
    <mergeCell ref="U16:V16"/>
    <mergeCell ref="A10:AM10"/>
    <mergeCell ref="A11:AM11"/>
    <mergeCell ref="B14:D15"/>
    <mergeCell ref="E14:AM15"/>
    <mergeCell ref="B16:B19"/>
    <mergeCell ref="C16:D19"/>
    <mergeCell ref="E16:F16"/>
    <mergeCell ref="G16:H16"/>
    <mergeCell ref="I16:J16"/>
    <mergeCell ref="K16:L16"/>
    <mergeCell ref="Y16:Z16"/>
    <mergeCell ref="E17:F17"/>
    <mergeCell ref="W16:X16"/>
    <mergeCell ref="W17:X17"/>
    <mergeCell ref="Y17:Z17"/>
    <mergeCell ref="M17:N17"/>
    <mergeCell ref="O16:P16"/>
    <mergeCell ref="M16:N16"/>
    <mergeCell ref="Q16:R16"/>
    <mergeCell ref="S16:T16"/>
  </mergeCells>
  <pageMargins left="0.78740157480314965" right="0.11811023622047245" top="0.39370078740157483" bottom="0.31496062992125984" header="0.31496062992125984" footer="0.31496062992125984"/>
  <pageSetup paperSize="9" scale="51" orientation="landscape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tabColor theme="0"/>
  </sheetPr>
  <dimension ref="A10:AX47"/>
  <sheetViews>
    <sheetView zoomScale="70" zoomScaleNormal="70" workbookViewId="0">
      <selection activeCell="AB21" sqref="AB21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2.5703125" style="1" customWidth="1"/>
    <col min="29" max="29" width="7" style="1" hidden="1" customWidth="1"/>
    <col min="30" max="30" width="14.85546875" style="1" customWidth="1"/>
    <col min="31" max="31" width="12.28515625" style="1" customWidth="1"/>
    <col min="32" max="32" width="22.42578125" style="1" hidden="1" customWidth="1"/>
    <col min="33" max="33" width="16.42578125" style="1" customWidth="1"/>
    <col min="34" max="34" width="17.7109375" style="1" customWidth="1"/>
    <col min="35" max="35" width="18.5703125" style="1" hidden="1" customWidth="1"/>
    <col min="36" max="37" width="18.5703125" style="1" customWidth="1"/>
    <col min="38" max="38" width="12.42578125" style="1" bestFit="1" customWidth="1"/>
    <col min="39" max="39" width="11.140625" style="1" customWidth="1"/>
    <col min="40" max="40" width="14.28515625" style="1" bestFit="1" customWidth="1"/>
    <col min="41" max="41" width="10.28515625" style="1" bestFit="1" customWidth="1"/>
    <col min="42" max="42" width="9.140625" style="1"/>
    <col min="43" max="43" width="10.7109375" style="1" bestFit="1" customWidth="1"/>
    <col min="44" max="16384" width="9.140625" style="1"/>
  </cols>
  <sheetData>
    <row r="10" spans="1:40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178"/>
    </row>
    <row r="11" spans="1:40" ht="34.5" x14ac:dyDescent="0.45">
      <c r="A11" s="315" t="s">
        <v>153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179"/>
    </row>
    <row r="12" spans="1:40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ht="22.5" thickBot="1" x14ac:dyDescent="0.35"/>
    <row r="14" spans="1:40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8"/>
    </row>
    <row r="15" spans="1:40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1"/>
    </row>
    <row r="16" spans="1:40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6" t="s">
        <v>7</v>
      </c>
      <c r="AC16" s="6" t="s">
        <v>8</v>
      </c>
      <c r="AD16" s="7" t="s">
        <v>8</v>
      </c>
      <c r="AE16" s="5" t="s">
        <v>9</v>
      </c>
      <c r="AF16" s="57" t="s">
        <v>11</v>
      </c>
      <c r="AG16" s="57" t="s">
        <v>10</v>
      </c>
      <c r="AH16" s="57" t="s">
        <v>10</v>
      </c>
      <c r="AI16" s="57" t="s">
        <v>40</v>
      </c>
      <c r="AJ16" s="57" t="s">
        <v>41</v>
      </c>
      <c r="AK16" s="57" t="s">
        <v>41</v>
      </c>
      <c r="AL16" s="57" t="s">
        <v>12</v>
      </c>
      <c r="AM16" s="184" t="s">
        <v>13</v>
      </c>
    </row>
    <row r="17" spans="2:50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9"/>
      <c r="AC17" s="9" t="s">
        <v>15</v>
      </c>
      <c r="AD17" s="10"/>
      <c r="AE17" s="8"/>
      <c r="AF17" s="11">
        <v>4.8</v>
      </c>
      <c r="AG17" s="11">
        <v>2.4</v>
      </c>
      <c r="AH17" s="11">
        <v>4.9000000000000004</v>
      </c>
      <c r="AI17" s="11">
        <v>10</v>
      </c>
      <c r="AJ17" s="11">
        <v>10</v>
      </c>
      <c r="AK17" s="11">
        <v>40</v>
      </c>
      <c r="AL17" s="12"/>
      <c r="AM17" s="12"/>
    </row>
    <row r="18" spans="2:50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10"/>
      <c r="AC18" s="10"/>
      <c r="AD18" s="10"/>
      <c r="AE18" s="8"/>
      <c r="AF18" s="10"/>
      <c r="AG18" s="185"/>
      <c r="AH18" s="185"/>
      <c r="AI18" s="10"/>
      <c r="AJ18" s="10"/>
      <c r="AK18" s="10"/>
      <c r="AL18" s="10"/>
      <c r="AM18" s="10"/>
    </row>
    <row r="19" spans="2:50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9" t="s">
        <v>21</v>
      </c>
      <c r="AC19" s="19" t="s">
        <v>22</v>
      </c>
      <c r="AD19" s="19" t="s">
        <v>22</v>
      </c>
      <c r="AE19" s="18" t="s">
        <v>20</v>
      </c>
      <c r="AF19" s="19" t="s">
        <v>20</v>
      </c>
      <c r="AG19" s="20" t="s">
        <v>20</v>
      </c>
      <c r="AH19" s="20" t="s">
        <v>20</v>
      </c>
      <c r="AI19" s="19" t="s">
        <v>22</v>
      </c>
      <c r="AJ19" s="19" t="s">
        <v>22</v>
      </c>
      <c r="AK19" s="19" t="s">
        <v>22</v>
      </c>
      <c r="AL19" s="19" t="s">
        <v>22</v>
      </c>
      <c r="AM19" s="19" t="s">
        <v>20</v>
      </c>
    </row>
    <row r="20" spans="2:50" ht="68.25" customHeight="1" x14ac:dyDescent="0.3">
      <c r="B20" s="56">
        <v>45733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'3-10-16, 2025'!S24</f>
        <v>12194</v>
      </c>
      <c r="T20" s="21">
        <f>'3-10-16, 2025'!T24</f>
        <v>3350</v>
      </c>
      <c r="U20" s="21">
        <f>'3-10-16, 2025'!U24</f>
        <v>0</v>
      </c>
      <c r="V20" s="21">
        <f>'3-10-16, 2025'!V24</f>
        <v>0</v>
      </c>
      <c r="W20" s="21">
        <f>'3-10-16, 2025'!W24</f>
        <v>8944</v>
      </c>
      <c r="X20" s="21">
        <f>'3-10-16, 2025'!X24</f>
        <v>1075</v>
      </c>
      <c r="Y20" s="21">
        <f>'3-10-16, 2025'!Y24</f>
        <v>0</v>
      </c>
      <c r="Z20" s="21">
        <f>'3-10-16, 2025'!Z24</f>
        <v>0</v>
      </c>
      <c r="AA20" s="21" t="e">
        <f>'3-10-16, 2025'!AA24</f>
        <v>#REF!</v>
      </c>
      <c r="AB20" s="21">
        <f>'3-10-16, 2025'!AB24</f>
        <v>25</v>
      </c>
      <c r="AC20" s="21" t="e">
        <f>'3-10-16, 2025'!AC24</f>
        <v>#REF!</v>
      </c>
      <c r="AD20" s="21">
        <f>'3-10-16, 2025'!AD24</f>
        <v>1846</v>
      </c>
      <c r="AE20" s="21">
        <f>'3-10-16, 2025'!AE24</f>
        <v>385</v>
      </c>
      <c r="AF20" s="21">
        <f>'3-10-16, 2025'!AF24</f>
        <v>0</v>
      </c>
      <c r="AG20" s="21">
        <f>'3-10-16, 2025'!AG24</f>
        <v>3204</v>
      </c>
      <c r="AH20" s="21">
        <f>'3-10-16, 2025'!AH24</f>
        <v>10607</v>
      </c>
      <c r="AI20" s="21">
        <f>'3-10-16, 2025'!AI24</f>
        <v>0</v>
      </c>
      <c r="AJ20" s="21">
        <f>'3-10-16, 2025'!AJ24</f>
        <v>10655</v>
      </c>
      <c r="AK20" s="21">
        <f>'3-10-16, 2025'!AK24</f>
        <v>4725</v>
      </c>
      <c r="AL20" s="21">
        <f>'3-10-16, 2025'!AL24</f>
        <v>0</v>
      </c>
      <c r="AM20" s="21">
        <f>'3-10-16, 2025'!AM24</f>
        <v>96</v>
      </c>
      <c r="AN20" s="28"/>
    </row>
    <row r="21" spans="2:50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>
        <f>100*25</f>
        <v>2500</v>
      </c>
      <c r="AC21" s="23"/>
      <c r="AD21" s="23"/>
      <c r="AE21" s="23"/>
      <c r="AF21" s="23"/>
      <c r="AG21" s="23"/>
      <c r="AH21" s="23"/>
      <c r="AI21" s="31"/>
      <c r="AJ21" s="31"/>
      <c r="AK21" s="31"/>
      <c r="AL21" s="23"/>
      <c r="AM21" s="32"/>
      <c r="AO21" s="33"/>
    </row>
    <row r="22" spans="2:50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M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12194</v>
      </c>
      <c r="T22" s="34">
        <f t="shared" ref="T22" si="1">T20+T21</f>
        <v>3350</v>
      </c>
      <c r="U22" s="34">
        <f>U20+U21</f>
        <v>0</v>
      </c>
      <c r="V22" s="34">
        <f t="shared" ref="V22" si="2">V20+V21</f>
        <v>0</v>
      </c>
      <c r="W22" s="34">
        <f t="shared" si="0"/>
        <v>8944</v>
      </c>
      <c r="X22" s="34">
        <f>X20+X21</f>
        <v>1075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2525</v>
      </c>
      <c r="AC22" s="34" t="e">
        <f t="shared" si="0"/>
        <v>#REF!</v>
      </c>
      <c r="AD22" s="34">
        <f t="shared" si="0"/>
        <v>1846</v>
      </c>
      <c r="AE22" s="34">
        <f t="shared" si="0"/>
        <v>385</v>
      </c>
      <c r="AF22" s="34">
        <f t="shared" si="0"/>
        <v>0</v>
      </c>
      <c r="AG22" s="34">
        <f t="shared" si="0"/>
        <v>3204</v>
      </c>
      <c r="AH22" s="34">
        <f t="shared" si="0"/>
        <v>10607</v>
      </c>
      <c r="AI22" s="34">
        <f t="shared" si="0"/>
        <v>0</v>
      </c>
      <c r="AJ22" s="34">
        <f t="shared" si="0"/>
        <v>10655</v>
      </c>
      <c r="AK22" s="34">
        <f t="shared" si="0"/>
        <v>4725</v>
      </c>
      <c r="AL22" s="34">
        <f t="shared" si="0"/>
        <v>0</v>
      </c>
      <c r="AM22" s="165">
        <f t="shared" si="0"/>
        <v>96</v>
      </c>
    </row>
    <row r="23" spans="2:50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>
        <v>1911</v>
      </c>
      <c r="T23" s="21">
        <f>S23/91*25</f>
        <v>525</v>
      </c>
      <c r="U23" s="30">
        <v>0</v>
      </c>
      <c r="V23" s="21">
        <f>U23/215*25</f>
        <v>0</v>
      </c>
      <c r="W23" s="30">
        <v>3536</v>
      </c>
      <c r="X23" s="22">
        <f>W23/208*25</f>
        <v>425</v>
      </c>
      <c r="Y23" s="22"/>
      <c r="Z23" s="24"/>
      <c r="AA23" s="30"/>
      <c r="AB23" s="30">
        <v>650</v>
      </c>
      <c r="AC23" s="30"/>
      <c r="AD23" s="36">
        <v>80</v>
      </c>
      <c r="AE23" s="22">
        <v>41</v>
      </c>
      <c r="AF23" s="22"/>
      <c r="AG23" s="30">
        <v>152</v>
      </c>
      <c r="AH23" s="30">
        <v>381</v>
      </c>
      <c r="AI23" s="30"/>
      <c r="AJ23" s="30">
        <v>730</v>
      </c>
      <c r="AK23" s="30">
        <v>300</v>
      </c>
      <c r="AL23" s="22">
        <v>0</v>
      </c>
      <c r="AM23" s="38">
        <v>0</v>
      </c>
    </row>
    <row r="24" spans="2:50" s="3" customFormat="1" ht="100.5" customHeight="1" thickBot="1" x14ac:dyDescent="0.25">
      <c r="B24" s="39">
        <v>45374</v>
      </c>
      <c r="C24" s="336" t="s">
        <v>28</v>
      </c>
      <c r="D24" s="337"/>
      <c r="E24" s="40">
        <f>E22-E23</f>
        <v>0</v>
      </c>
      <c r="F24" s="40">
        <f t="shared" ref="F24:AL24" si="3">F22-F23</f>
        <v>0</v>
      </c>
      <c r="G24" s="40">
        <f>G22-G23</f>
        <v>0</v>
      </c>
      <c r="H24" s="40">
        <f t="shared" si="3"/>
        <v>0</v>
      </c>
      <c r="I24" s="41" t="e">
        <f t="shared" si="3"/>
        <v>#REF!</v>
      </c>
      <c r="J24" s="41" t="e">
        <f t="shared" si="3"/>
        <v>#REF!</v>
      </c>
      <c r="K24" s="41">
        <f>K22-K23</f>
        <v>0</v>
      </c>
      <c r="L24" s="42">
        <f t="shared" ref="L24" si="4">L22-L23</f>
        <v>0</v>
      </c>
      <c r="M24" s="41">
        <f>M22-M23</f>
        <v>0</v>
      </c>
      <c r="N24" s="42">
        <f>N22-N23</f>
        <v>0</v>
      </c>
      <c r="O24" s="41" t="e">
        <f t="shared" ref="O24:V24" si="5">O22-O23</f>
        <v>#REF!</v>
      </c>
      <c r="P24" s="41" t="e">
        <f t="shared" si="5"/>
        <v>#REF!</v>
      </c>
      <c r="Q24" s="40">
        <f>Q22-Q23</f>
        <v>0</v>
      </c>
      <c r="R24" s="40">
        <f t="shared" si="5"/>
        <v>0</v>
      </c>
      <c r="S24" s="40">
        <f>S22-S23</f>
        <v>10283</v>
      </c>
      <c r="T24" s="40">
        <f t="shared" ref="T24" si="6">T22-T23</f>
        <v>2825</v>
      </c>
      <c r="U24" s="40">
        <f t="shared" si="5"/>
        <v>0</v>
      </c>
      <c r="V24" s="40">
        <f t="shared" si="5"/>
        <v>0</v>
      </c>
      <c r="W24" s="40">
        <f>W22-W23</f>
        <v>5408</v>
      </c>
      <c r="X24" s="40">
        <f>X22-X23</f>
        <v>650</v>
      </c>
      <c r="Y24" s="40">
        <f>Y22-Y23</f>
        <v>0</v>
      </c>
      <c r="Z24" s="42">
        <f t="shared" ref="Z24" si="7">Z22-Z23</f>
        <v>0</v>
      </c>
      <c r="AA24" s="41" t="e">
        <f t="shared" si="3"/>
        <v>#REF!</v>
      </c>
      <c r="AB24" s="41">
        <f>AB22-AB23</f>
        <v>1875</v>
      </c>
      <c r="AC24" s="41" t="e">
        <f t="shared" si="3"/>
        <v>#REF!</v>
      </c>
      <c r="AD24" s="93">
        <f>AD22-AD23</f>
        <v>1766</v>
      </c>
      <c r="AE24" s="40">
        <f t="shared" si="3"/>
        <v>344</v>
      </c>
      <c r="AF24" s="40">
        <f t="shared" si="3"/>
        <v>0</v>
      </c>
      <c r="AG24" s="41">
        <f t="shared" si="3"/>
        <v>3052</v>
      </c>
      <c r="AH24" s="41">
        <f t="shared" si="3"/>
        <v>10226</v>
      </c>
      <c r="AI24" s="41">
        <f t="shared" si="3"/>
        <v>0</v>
      </c>
      <c r="AJ24" s="41">
        <f>AJ22-AJ23</f>
        <v>9925</v>
      </c>
      <c r="AK24" s="41">
        <f t="shared" si="3"/>
        <v>4425</v>
      </c>
      <c r="AL24" s="40">
        <f t="shared" si="3"/>
        <v>0</v>
      </c>
      <c r="AM24" s="44">
        <f>AM22-AM23</f>
        <v>96</v>
      </c>
    </row>
    <row r="25" spans="2:50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2:50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I26" s="29"/>
      <c r="AJ26" s="29"/>
      <c r="AK26" s="29"/>
      <c r="AL26" s="29"/>
      <c r="AM26" s="29"/>
    </row>
    <row r="27" spans="2:50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H27" s="45" t="s">
        <v>57</v>
      </c>
      <c r="AI27" s="47"/>
      <c r="AJ27" s="47"/>
      <c r="AK27" s="47"/>
      <c r="AL27" s="46"/>
      <c r="AM27" s="46"/>
    </row>
    <row r="28" spans="2:50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I28" s="49"/>
      <c r="AJ28" s="49"/>
      <c r="AK28" s="49"/>
      <c r="AL28" s="49"/>
      <c r="AM28" s="49"/>
      <c r="AN28" s="46"/>
    </row>
    <row r="29" spans="2:50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I29" s="49"/>
      <c r="AJ29" s="49"/>
      <c r="AK29" s="49"/>
      <c r="AL29" s="49"/>
      <c r="AM29" s="49"/>
      <c r="AN29" s="46"/>
    </row>
    <row r="30" spans="2:50" s="45" customFormat="1" ht="24" customHeight="1" x14ac:dyDescent="0.4">
      <c r="B30" s="153" t="s">
        <v>111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B30" s="155"/>
      <c r="AC30" s="155"/>
      <c r="AD30" s="155"/>
      <c r="AF30" s="155"/>
      <c r="AH30" s="156" t="s">
        <v>117</v>
      </c>
      <c r="AI30" s="155"/>
      <c r="AJ30" s="155"/>
      <c r="AK30" s="155"/>
      <c r="AN30" s="46"/>
    </row>
    <row r="31" spans="2:50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B31" s="155"/>
      <c r="AC31" s="155"/>
      <c r="AD31" s="155"/>
      <c r="AF31" s="155"/>
      <c r="AH31" s="154" t="s">
        <v>118</v>
      </c>
      <c r="AI31" s="154"/>
      <c r="AJ31" s="154"/>
      <c r="AK31" s="154"/>
      <c r="AL31" s="46"/>
      <c r="AM31" s="46"/>
    </row>
    <row r="32" spans="2:50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B32" s="154"/>
      <c r="AC32" s="154"/>
      <c r="AD32" s="154"/>
      <c r="AF32" s="155"/>
      <c r="AH32" s="154" t="s">
        <v>46</v>
      </c>
      <c r="AI32" s="154"/>
      <c r="AJ32" s="154"/>
      <c r="AK32" s="154"/>
      <c r="AL32" s="83"/>
      <c r="AM32" s="84"/>
      <c r="AN32" s="85"/>
      <c r="AO32" s="86"/>
      <c r="AP32" s="87"/>
      <c r="AQ32" s="86"/>
      <c r="AR32" s="88"/>
      <c r="AS32" s="84"/>
      <c r="AT32" s="84"/>
      <c r="AU32" s="86"/>
      <c r="AV32" s="86"/>
      <c r="AW32" s="86"/>
      <c r="AX32" s="84"/>
    </row>
    <row r="33" spans="2:40" s="46" customFormat="1" ht="24" customHeight="1" x14ac:dyDescent="0.4">
      <c r="B33" s="157" t="s">
        <v>112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B33" s="154"/>
      <c r="AC33" s="158"/>
      <c r="AD33" s="158"/>
      <c r="AE33" s="154"/>
      <c r="AF33" s="159"/>
      <c r="AG33" s="154"/>
      <c r="AH33" s="154"/>
      <c r="AI33" s="154"/>
      <c r="AJ33" s="154"/>
      <c r="AK33" s="154"/>
    </row>
    <row r="34" spans="2:40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52"/>
    </row>
    <row r="36" spans="2:40" ht="22.5" x14ac:dyDescent="0.35">
      <c r="C36" s="55"/>
      <c r="D36" s="55"/>
      <c r="E36" s="55"/>
      <c r="F36" s="55"/>
    </row>
    <row r="37" spans="2:40" ht="15.75" customHeight="1" x14ac:dyDescent="0.3"/>
    <row r="40" spans="2:40" ht="15.75" customHeight="1" x14ac:dyDescent="0.3"/>
    <row r="42" spans="2:40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4" spans="2:40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7" spans="2:40" ht="22.5" x14ac:dyDescent="0.35">
      <c r="B47" s="55"/>
    </row>
  </sheetData>
  <mergeCells count="44">
    <mergeCell ref="M17:N17"/>
    <mergeCell ref="O16:P16"/>
    <mergeCell ref="M16:N16"/>
    <mergeCell ref="Q16:R16"/>
    <mergeCell ref="S16:T16"/>
    <mergeCell ref="U16:V16"/>
    <mergeCell ref="A10:AM10"/>
    <mergeCell ref="A11:AM11"/>
    <mergeCell ref="B14:D15"/>
    <mergeCell ref="E14:AM15"/>
    <mergeCell ref="B16:B19"/>
    <mergeCell ref="C16:D19"/>
    <mergeCell ref="E16:F16"/>
    <mergeCell ref="G16:H16"/>
    <mergeCell ref="I16:J16"/>
    <mergeCell ref="K16:L16"/>
    <mergeCell ref="Y16:Z16"/>
    <mergeCell ref="E17:F17"/>
    <mergeCell ref="W16:X16"/>
    <mergeCell ref="W17:X17"/>
    <mergeCell ref="Y17:Z17"/>
    <mergeCell ref="U17:V17"/>
    <mergeCell ref="G17:H17"/>
    <mergeCell ref="I17:J17"/>
    <mergeCell ref="K17:L17"/>
    <mergeCell ref="B23:D23"/>
    <mergeCell ref="O18:P18"/>
    <mergeCell ref="Q18:R18"/>
    <mergeCell ref="S18:T18"/>
    <mergeCell ref="O17:P17"/>
    <mergeCell ref="Q17:R17"/>
    <mergeCell ref="S17:T17"/>
    <mergeCell ref="E18:F18"/>
    <mergeCell ref="G18:H18"/>
    <mergeCell ref="I18:J18"/>
    <mergeCell ref="K18:L18"/>
    <mergeCell ref="M18:N18"/>
    <mergeCell ref="C24:D24"/>
    <mergeCell ref="U18:V18"/>
    <mergeCell ref="W18:X18"/>
    <mergeCell ref="Y18:Z18"/>
    <mergeCell ref="C20:D20"/>
    <mergeCell ref="B21:D21"/>
    <mergeCell ref="B22:D22"/>
  </mergeCells>
  <pageMargins left="0.78740157480314965" right="0.11811023622047245" top="0.39370078740157483" bottom="0.31496062992125984" header="0.31496062992125984" footer="0.31496062992125984"/>
  <pageSetup paperSize="9" scale="51" orientation="landscape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tabColor theme="0"/>
  </sheetPr>
  <dimension ref="A10:AX47"/>
  <sheetViews>
    <sheetView topLeftCell="A16" zoomScale="70" zoomScaleNormal="70" workbookViewId="0">
      <selection activeCell="AG24" sqref="AG24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2.5703125" style="1" customWidth="1"/>
    <col min="29" max="29" width="7" style="1" hidden="1" customWidth="1"/>
    <col min="30" max="30" width="14.85546875" style="1" customWidth="1"/>
    <col min="31" max="31" width="12.28515625" style="1" customWidth="1"/>
    <col min="32" max="32" width="22.42578125" style="1" hidden="1" customWidth="1"/>
    <col min="33" max="33" width="16.42578125" style="1" customWidth="1"/>
    <col min="34" max="34" width="17.7109375" style="1" customWidth="1"/>
    <col min="35" max="35" width="18.5703125" style="1" hidden="1" customWidth="1"/>
    <col min="36" max="37" width="18.5703125" style="1" customWidth="1"/>
    <col min="38" max="38" width="12.42578125" style="1" bestFit="1" customWidth="1"/>
    <col min="39" max="39" width="11.140625" style="1" customWidth="1"/>
    <col min="40" max="40" width="14.28515625" style="1" bestFit="1" customWidth="1"/>
    <col min="41" max="41" width="10.28515625" style="1" bestFit="1" customWidth="1"/>
    <col min="42" max="42" width="9.140625" style="1"/>
    <col min="43" max="43" width="10.7109375" style="1" bestFit="1" customWidth="1"/>
    <col min="44" max="16384" width="9.140625" style="1"/>
  </cols>
  <sheetData>
    <row r="10" spans="1:40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178"/>
    </row>
    <row r="11" spans="1:40" ht="34.5" x14ac:dyDescent="0.45">
      <c r="A11" s="315" t="s">
        <v>154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179"/>
    </row>
    <row r="12" spans="1:40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ht="22.5" thickBot="1" x14ac:dyDescent="0.35"/>
    <row r="14" spans="1:40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8"/>
    </row>
    <row r="15" spans="1:40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1"/>
    </row>
    <row r="16" spans="1:40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6" t="s">
        <v>7</v>
      </c>
      <c r="AC16" s="6" t="s">
        <v>8</v>
      </c>
      <c r="AD16" s="7" t="s">
        <v>8</v>
      </c>
      <c r="AE16" s="5" t="s">
        <v>9</v>
      </c>
      <c r="AF16" s="57" t="s">
        <v>11</v>
      </c>
      <c r="AG16" s="57" t="s">
        <v>10</v>
      </c>
      <c r="AH16" s="57" t="s">
        <v>10</v>
      </c>
      <c r="AI16" s="57" t="s">
        <v>40</v>
      </c>
      <c r="AJ16" s="57" t="s">
        <v>41</v>
      </c>
      <c r="AK16" s="57" t="s">
        <v>41</v>
      </c>
      <c r="AL16" s="57" t="s">
        <v>12</v>
      </c>
      <c r="AM16" s="186" t="s">
        <v>13</v>
      </c>
    </row>
    <row r="17" spans="2:50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9"/>
      <c r="AC17" s="9" t="s">
        <v>15</v>
      </c>
      <c r="AD17" s="10"/>
      <c r="AE17" s="8"/>
      <c r="AF17" s="11">
        <v>4.8</v>
      </c>
      <c r="AG17" s="11">
        <v>2.4</v>
      </c>
      <c r="AH17" s="11">
        <v>4.9000000000000004</v>
      </c>
      <c r="AI17" s="11">
        <v>10</v>
      </c>
      <c r="AJ17" s="11">
        <v>10</v>
      </c>
      <c r="AK17" s="11">
        <v>40</v>
      </c>
      <c r="AL17" s="12"/>
      <c r="AM17" s="12"/>
    </row>
    <row r="18" spans="2:50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10"/>
      <c r="AC18" s="10"/>
      <c r="AD18" s="10"/>
      <c r="AE18" s="8"/>
      <c r="AF18" s="10"/>
      <c r="AG18" s="187"/>
      <c r="AH18" s="187"/>
      <c r="AI18" s="10"/>
      <c r="AJ18" s="10"/>
      <c r="AK18" s="10"/>
      <c r="AL18" s="10"/>
      <c r="AM18" s="10"/>
    </row>
    <row r="19" spans="2:50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9" t="s">
        <v>21</v>
      </c>
      <c r="AC19" s="19" t="s">
        <v>22</v>
      </c>
      <c r="AD19" s="19" t="s">
        <v>22</v>
      </c>
      <c r="AE19" s="18" t="s">
        <v>20</v>
      </c>
      <c r="AF19" s="19" t="s">
        <v>20</v>
      </c>
      <c r="AG19" s="20" t="s">
        <v>20</v>
      </c>
      <c r="AH19" s="20" t="s">
        <v>20</v>
      </c>
      <c r="AI19" s="19" t="s">
        <v>22</v>
      </c>
      <c r="AJ19" s="19" t="s">
        <v>22</v>
      </c>
      <c r="AK19" s="19" t="s">
        <v>22</v>
      </c>
      <c r="AL19" s="19" t="s">
        <v>22</v>
      </c>
      <c r="AM19" s="19" t="s">
        <v>20</v>
      </c>
    </row>
    <row r="20" spans="2:50" ht="68.25" customHeight="1" x14ac:dyDescent="0.3">
      <c r="B20" s="56">
        <v>45740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'3-17-23, 2025'!S24</f>
        <v>10283</v>
      </c>
      <c r="T20" s="21">
        <f>'3-17-23, 2025'!T24</f>
        <v>2825</v>
      </c>
      <c r="U20" s="21">
        <f>'3-17-23, 2025'!U24</f>
        <v>0</v>
      </c>
      <c r="V20" s="21">
        <f>'3-17-23, 2025'!V24</f>
        <v>0</v>
      </c>
      <c r="W20" s="21">
        <f>'3-17-23, 2025'!W24</f>
        <v>5408</v>
      </c>
      <c r="X20" s="21">
        <f>'3-17-23, 2025'!X24</f>
        <v>650</v>
      </c>
      <c r="Y20" s="21">
        <f>'3-17-23, 2025'!Y24</f>
        <v>0</v>
      </c>
      <c r="Z20" s="21">
        <f>'3-17-23, 2025'!Z24</f>
        <v>0</v>
      </c>
      <c r="AA20" s="21" t="e">
        <f>'3-17-23, 2025'!AA24</f>
        <v>#REF!</v>
      </c>
      <c r="AB20" s="21">
        <f>'3-17-23, 2025'!AB24</f>
        <v>1875</v>
      </c>
      <c r="AC20" s="21" t="e">
        <f>'3-17-23, 2025'!AC24</f>
        <v>#REF!</v>
      </c>
      <c r="AD20" s="21">
        <f>'3-17-23, 2025'!AD24</f>
        <v>1766</v>
      </c>
      <c r="AE20" s="21">
        <f>'3-17-23, 2025'!AE24</f>
        <v>344</v>
      </c>
      <c r="AF20" s="21">
        <f>'3-17-23, 2025'!AF24</f>
        <v>0</v>
      </c>
      <c r="AG20" s="21">
        <f>'3-17-23, 2025'!AG24</f>
        <v>3052</v>
      </c>
      <c r="AH20" s="21">
        <f>'3-17-23, 2025'!AH24</f>
        <v>10226</v>
      </c>
      <c r="AI20" s="21">
        <f>'3-17-23, 2025'!AI24</f>
        <v>0</v>
      </c>
      <c r="AJ20" s="21">
        <f>'3-17-23, 2025'!AJ24</f>
        <v>9925</v>
      </c>
      <c r="AK20" s="21">
        <f>'3-17-23, 2025'!AK24</f>
        <v>4425</v>
      </c>
      <c r="AL20" s="21">
        <f>'3-17-23, 2025'!AL24</f>
        <v>0</v>
      </c>
      <c r="AM20" s="21">
        <f>'3-17-23, 2025'!AM24</f>
        <v>96</v>
      </c>
      <c r="AN20" s="28"/>
    </row>
    <row r="21" spans="2:50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3"/>
      <c r="AD21" s="23"/>
      <c r="AE21" s="23"/>
      <c r="AF21" s="23"/>
      <c r="AG21" s="23"/>
      <c r="AH21" s="23"/>
      <c r="AI21" s="31"/>
      <c r="AJ21" s="31"/>
      <c r="AK21" s="31"/>
      <c r="AL21" s="23"/>
      <c r="AM21" s="32"/>
      <c r="AO21" s="33"/>
    </row>
    <row r="22" spans="2:50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M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10283</v>
      </c>
      <c r="T22" s="34">
        <f t="shared" ref="T22" si="1">T20+T21</f>
        <v>2825</v>
      </c>
      <c r="U22" s="34">
        <f>U20+U21</f>
        <v>0</v>
      </c>
      <c r="V22" s="34">
        <f t="shared" ref="V22" si="2">V20+V21</f>
        <v>0</v>
      </c>
      <c r="W22" s="34">
        <f t="shared" si="0"/>
        <v>5408</v>
      </c>
      <c r="X22" s="34">
        <f>X20+X21</f>
        <v>650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1875</v>
      </c>
      <c r="AC22" s="34" t="e">
        <f t="shared" si="0"/>
        <v>#REF!</v>
      </c>
      <c r="AD22" s="34">
        <f t="shared" si="0"/>
        <v>1766</v>
      </c>
      <c r="AE22" s="34">
        <f t="shared" si="0"/>
        <v>344</v>
      </c>
      <c r="AF22" s="34">
        <f t="shared" si="0"/>
        <v>0</v>
      </c>
      <c r="AG22" s="34">
        <f t="shared" si="0"/>
        <v>3052</v>
      </c>
      <c r="AH22" s="34">
        <f t="shared" si="0"/>
        <v>10226</v>
      </c>
      <c r="AI22" s="34">
        <f t="shared" si="0"/>
        <v>0</v>
      </c>
      <c r="AJ22" s="34">
        <f t="shared" si="0"/>
        <v>9925</v>
      </c>
      <c r="AK22" s="34">
        <f t="shared" si="0"/>
        <v>4425</v>
      </c>
      <c r="AL22" s="34">
        <f t="shared" si="0"/>
        <v>0</v>
      </c>
      <c r="AM22" s="165">
        <f t="shared" si="0"/>
        <v>96</v>
      </c>
    </row>
    <row r="23" spans="2:50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>
        <v>3640</v>
      </c>
      <c r="T23" s="21">
        <f>S23/91*25</f>
        <v>1000</v>
      </c>
      <c r="U23" s="30">
        <v>0</v>
      </c>
      <c r="V23" s="21">
        <f>U23/215*25</f>
        <v>0</v>
      </c>
      <c r="W23" s="30">
        <v>416</v>
      </c>
      <c r="X23" s="22">
        <f>W23/208*25</f>
        <v>50</v>
      </c>
      <c r="Y23" s="22"/>
      <c r="Z23" s="24"/>
      <c r="AA23" s="30"/>
      <c r="AB23" s="30">
        <v>1525</v>
      </c>
      <c r="AC23" s="30"/>
      <c r="AD23" s="36">
        <v>87</v>
      </c>
      <c r="AE23" s="22">
        <v>43</v>
      </c>
      <c r="AF23" s="22"/>
      <c r="AG23" s="30">
        <v>32</v>
      </c>
      <c r="AH23" s="30">
        <v>550</v>
      </c>
      <c r="AI23" s="30"/>
      <c r="AJ23" s="30">
        <v>885</v>
      </c>
      <c r="AK23" s="30">
        <v>525</v>
      </c>
      <c r="AL23" s="22">
        <v>0</v>
      </c>
      <c r="AM23" s="38">
        <v>0</v>
      </c>
    </row>
    <row r="24" spans="2:50" s="3" customFormat="1" ht="100.5" customHeight="1" thickBot="1" x14ac:dyDescent="0.25">
      <c r="B24" s="39">
        <v>45381</v>
      </c>
      <c r="C24" s="336" t="s">
        <v>28</v>
      </c>
      <c r="D24" s="337"/>
      <c r="E24" s="40">
        <f>E22-E23</f>
        <v>0</v>
      </c>
      <c r="F24" s="40">
        <f t="shared" ref="F24:AL24" si="3">F22-F23</f>
        <v>0</v>
      </c>
      <c r="G24" s="40">
        <f>G22-G23</f>
        <v>0</v>
      </c>
      <c r="H24" s="40">
        <f t="shared" si="3"/>
        <v>0</v>
      </c>
      <c r="I24" s="41" t="e">
        <f t="shared" si="3"/>
        <v>#REF!</v>
      </c>
      <c r="J24" s="41" t="e">
        <f t="shared" si="3"/>
        <v>#REF!</v>
      </c>
      <c r="K24" s="41">
        <f>K22-K23</f>
        <v>0</v>
      </c>
      <c r="L24" s="42">
        <f t="shared" ref="L24" si="4">L22-L23</f>
        <v>0</v>
      </c>
      <c r="M24" s="41">
        <f>M22-M23</f>
        <v>0</v>
      </c>
      <c r="N24" s="42">
        <f>N22-N23</f>
        <v>0</v>
      </c>
      <c r="O24" s="41" t="e">
        <f t="shared" ref="O24:V24" si="5">O22-O23</f>
        <v>#REF!</v>
      </c>
      <c r="P24" s="41" t="e">
        <f t="shared" si="5"/>
        <v>#REF!</v>
      </c>
      <c r="Q24" s="40">
        <f>Q22-Q23</f>
        <v>0</v>
      </c>
      <c r="R24" s="40">
        <f t="shared" si="5"/>
        <v>0</v>
      </c>
      <c r="S24" s="40">
        <f>S22-S23</f>
        <v>6643</v>
      </c>
      <c r="T24" s="40">
        <f t="shared" ref="T24" si="6">T22-T23</f>
        <v>1825</v>
      </c>
      <c r="U24" s="40">
        <f t="shared" si="5"/>
        <v>0</v>
      </c>
      <c r="V24" s="40">
        <f t="shared" si="5"/>
        <v>0</v>
      </c>
      <c r="W24" s="40">
        <f>W22-W23</f>
        <v>4992</v>
      </c>
      <c r="X24" s="40">
        <f>X22-X23</f>
        <v>600</v>
      </c>
      <c r="Y24" s="40">
        <f>Y22-Y23</f>
        <v>0</v>
      </c>
      <c r="Z24" s="42">
        <f t="shared" ref="Z24" si="7">Z22-Z23</f>
        <v>0</v>
      </c>
      <c r="AA24" s="41" t="e">
        <f t="shared" si="3"/>
        <v>#REF!</v>
      </c>
      <c r="AB24" s="41">
        <f>AB22-AB23</f>
        <v>350</v>
      </c>
      <c r="AC24" s="41" t="e">
        <f t="shared" si="3"/>
        <v>#REF!</v>
      </c>
      <c r="AD24" s="93">
        <f>AD22-AD23</f>
        <v>1679</v>
      </c>
      <c r="AE24" s="40">
        <f t="shared" si="3"/>
        <v>301</v>
      </c>
      <c r="AF24" s="40">
        <f t="shared" si="3"/>
        <v>0</v>
      </c>
      <c r="AG24" s="41">
        <f t="shared" si="3"/>
        <v>3020</v>
      </c>
      <c r="AH24" s="41">
        <f t="shared" si="3"/>
        <v>9676</v>
      </c>
      <c r="AI24" s="41">
        <f t="shared" si="3"/>
        <v>0</v>
      </c>
      <c r="AJ24" s="41">
        <f>AJ22-AJ23</f>
        <v>9040</v>
      </c>
      <c r="AK24" s="41">
        <f t="shared" si="3"/>
        <v>3900</v>
      </c>
      <c r="AL24" s="40">
        <f t="shared" si="3"/>
        <v>0</v>
      </c>
      <c r="AM24" s="44">
        <f>AM22-AM23</f>
        <v>96</v>
      </c>
    </row>
    <row r="25" spans="2:50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2:50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I26" s="29"/>
      <c r="AJ26" s="29"/>
      <c r="AK26" s="29"/>
      <c r="AL26" s="29"/>
      <c r="AM26" s="29"/>
    </row>
    <row r="27" spans="2:50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H27" s="45" t="s">
        <v>57</v>
      </c>
      <c r="AI27" s="47"/>
      <c r="AJ27" s="47"/>
      <c r="AK27" s="47"/>
      <c r="AL27" s="46"/>
      <c r="AM27" s="46"/>
    </row>
    <row r="28" spans="2:50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I28" s="49"/>
      <c r="AJ28" s="49"/>
      <c r="AK28" s="49"/>
      <c r="AL28" s="49"/>
      <c r="AM28" s="49"/>
      <c r="AN28" s="46"/>
    </row>
    <row r="29" spans="2:50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I29" s="49"/>
      <c r="AJ29" s="49"/>
      <c r="AK29" s="49"/>
      <c r="AL29" s="49"/>
      <c r="AM29" s="49"/>
      <c r="AN29" s="46"/>
    </row>
    <row r="30" spans="2:50" s="45" customFormat="1" ht="24" customHeight="1" x14ac:dyDescent="0.4">
      <c r="B30" s="153" t="s">
        <v>111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B30" s="155"/>
      <c r="AC30" s="155"/>
      <c r="AD30" s="155"/>
      <c r="AF30" s="155"/>
      <c r="AH30" s="156" t="s">
        <v>117</v>
      </c>
      <c r="AI30" s="155"/>
      <c r="AJ30" s="155"/>
      <c r="AK30" s="155"/>
      <c r="AN30" s="46"/>
    </row>
    <row r="31" spans="2:50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B31" s="155"/>
      <c r="AC31" s="155"/>
      <c r="AD31" s="155"/>
      <c r="AF31" s="155"/>
      <c r="AH31" s="154" t="s">
        <v>118</v>
      </c>
      <c r="AI31" s="154"/>
      <c r="AJ31" s="154"/>
      <c r="AK31" s="154"/>
      <c r="AL31" s="46"/>
      <c r="AM31" s="46"/>
    </row>
    <row r="32" spans="2:50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B32" s="154"/>
      <c r="AC32" s="154"/>
      <c r="AD32" s="154"/>
      <c r="AF32" s="155"/>
      <c r="AH32" s="154" t="s">
        <v>46</v>
      </c>
      <c r="AI32" s="154"/>
      <c r="AJ32" s="154"/>
      <c r="AK32" s="154"/>
      <c r="AL32" s="83"/>
      <c r="AM32" s="84"/>
      <c r="AN32" s="85"/>
      <c r="AO32" s="86"/>
      <c r="AP32" s="87"/>
      <c r="AQ32" s="86"/>
      <c r="AR32" s="88"/>
      <c r="AS32" s="84"/>
      <c r="AT32" s="84"/>
      <c r="AU32" s="86"/>
      <c r="AV32" s="86"/>
      <c r="AW32" s="86"/>
      <c r="AX32" s="84"/>
    </row>
    <row r="33" spans="2:40" s="46" customFormat="1" ht="24" customHeight="1" x14ac:dyDescent="0.4">
      <c r="B33" s="157" t="s">
        <v>112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B33" s="154"/>
      <c r="AC33" s="158"/>
      <c r="AD33" s="158"/>
      <c r="AE33" s="154"/>
      <c r="AF33" s="159"/>
      <c r="AG33" s="154"/>
      <c r="AH33" s="154"/>
      <c r="AI33" s="154"/>
      <c r="AJ33" s="154"/>
      <c r="AK33" s="154"/>
    </row>
    <row r="34" spans="2:40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52"/>
    </row>
    <row r="36" spans="2:40" ht="22.5" x14ac:dyDescent="0.35">
      <c r="C36" s="55"/>
      <c r="D36" s="55"/>
      <c r="E36" s="55"/>
      <c r="F36" s="55"/>
    </row>
    <row r="37" spans="2:40" ht="15.75" customHeight="1" x14ac:dyDescent="0.3"/>
    <row r="40" spans="2:40" ht="15.75" customHeight="1" x14ac:dyDescent="0.3"/>
    <row r="42" spans="2:40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4" spans="2:40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7" spans="2:40" ht="22.5" x14ac:dyDescent="0.35">
      <c r="B47" s="55"/>
    </row>
  </sheetData>
  <mergeCells count="44">
    <mergeCell ref="C24:D24"/>
    <mergeCell ref="U18:V18"/>
    <mergeCell ref="W18:X18"/>
    <mergeCell ref="Y18:Z18"/>
    <mergeCell ref="C20:D20"/>
    <mergeCell ref="B21:D21"/>
    <mergeCell ref="B22:D22"/>
    <mergeCell ref="U17:V17"/>
    <mergeCell ref="G17:H17"/>
    <mergeCell ref="I17:J17"/>
    <mergeCell ref="K17:L17"/>
    <mergeCell ref="B23:D23"/>
    <mergeCell ref="O18:P18"/>
    <mergeCell ref="Q18:R18"/>
    <mergeCell ref="S18:T18"/>
    <mergeCell ref="O17:P17"/>
    <mergeCell ref="Q17:R17"/>
    <mergeCell ref="S17:T17"/>
    <mergeCell ref="E18:F18"/>
    <mergeCell ref="G18:H18"/>
    <mergeCell ref="I18:J18"/>
    <mergeCell ref="K18:L18"/>
    <mergeCell ref="M18:N18"/>
    <mergeCell ref="U16:V16"/>
    <mergeCell ref="A10:AM10"/>
    <mergeCell ref="A11:AM11"/>
    <mergeCell ref="B14:D15"/>
    <mergeCell ref="E14:AM15"/>
    <mergeCell ref="B16:B19"/>
    <mergeCell ref="C16:D19"/>
    <mergeCell ref="E16:F16"/>
    <mergeCell ref="G16:H16"/>
    <mergeCell ref="I16:J16"/>
    <mergeCell ref="K16:L16"/>
    <mergeCell ref="Y16:Z16"/>
    <mergeCell ref="E17:F17"/>
    <mergeCell ref="W16:X16"/>
    <mergeCell ref="W17:X17"/>
    <mergeCell ref="Y17:Z17"/>
    <mergeCell ref="M17:N17"/>
    <mergeCell ref="O16:P16"/>
    <mergeCell ref="M16:N16"/>
    <mergeCell ref="Q16:R16"/>
    <mergeCell ref="S16:T16"/>
  </mergeCells>
  <pageMargins left="0.78740157480314965" right="0.11811023622047245" top="0.39370078740157483" bottom="0.31496062992125984" header="0.31496062992125984" footer="0.31496062992125984"/>
  <pageSetup paperSize="9" scale="51" orientation="landscape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tabColor theme="0"/>
  </sheetPr>
  <dimension ref="A10:AX47"/>
  <sheetViews>
    <sheetView topLeftCell="A16" zoomScale="70" zoomScaleNormal="70" workbookViewId="0">
      <selection activeCell="S28" sqref="S28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2.5703125" style="1" customWidth="1"/>
    <col min="29" max="29" width="7" style="1" hidden="1" customWidth="1"/>
    <col min="30" max="30" width="14.85546875" style="1" customWidth="1"/>
    <col min="31" max="31" width="12.28515625" style="1" customWidth="1"/>
    <col min="32" max="32" width="22.42578125" style="1" hidden="1" customWidth="1"/>
    <col min="33" max="33" width="16.42578125" style="1" customWidth="1"/>
    <col min="34" max="34" width="17.7109375" style="1" customWidth="1"/>
    <col min="35" max="35" width="18.5703125" style="1" hidden="1" customWidth="1"/>
    <col min="36" max="37" width="18.5703125" style="1" customWidth="1"/>
    <col min="38" max="38" width="12.42578125" style="1" bestFit="1" customWidth="1"/>
    <col min="39" max="39" width="11.140625" style="1" customWidth="1"/>
    <col min="40" max="40" width="14.28515625" style="1" bestFit="1" customWidth="1"/>
    <col min="41" max="41" width="10.28515625" style="1" bestFit="1" customWidth="1"/>
    <col min="42" max="42" width="9.140625" style="1"/>
    <col min="43" max="43" width="10.7109375" style="1" bestFit="1" customWidth="1"/>
    <col min="44" max="16384" width="9.140625" style="1"/>
  </cols>
  <sheetData>
    <row r="10" spans="1:40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178"/>
    </row>
    <row r="11" spans="1:40" ht="34.5" x14ac:dyDescent="0.45">
      <c r="A11" s="315" t="s">
        <v>155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179"/>
    </row>
    <row r="12" spans="1:40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ht="22.5" thickBot="1" x14ac:dyDescent="0.35"/>
    <row r="14" spans="1:40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8"/>
    </row>
    <row r="15" spans="1:40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1"/>
    </row>
    <row r="16" spans="1:40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6" t="s">
        <v>7</v>
      </c>
      <c r="AC16" s="6" t="s">
        <v>8</v>
      </c>
      <c r="AD16" s="7" t="s">
        <v>8</v>
      </c>
      <c r="AE16" s="5" t="s">
        <v>9</v>
      </c>
      <c r="AF16" s="57" t="s">
        <v>11</v>
      </c>
      <c r="AG16" s="57" t="s">
        <v>10</v>
      </c>
      <c r="AH16" s="57" t="s">
        <v>10</v>
      </c>
      <c r="AI16" s="57" t="s">
        <v>40</v>
      </c>
      <c r="AJ16" s="57" t="s">
        <v>41</v>
      </c>
      <c r="AK16" s="57" t="s">
        <v>41</v>
      </c>
      <c r="AL16" s="57" t="s">
        <v>12</v>
      </c>
      <c r="AM16" s="188" t="s">
        <v>13</v>
      </c>
    </row>
    <row r="17" spans="2:50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9"/>
      <c r="AC17" s="9" t="s">
        <v>15</v>
      </c>
      <c r="AD17" s="10"/>
      <c r="AE17" s="8"/>
      <c r="AF17" s="11">
        <v>4.8</v>
      </c>
      <c r="AG17" s="11">
        <v>2.4</v>
      </c>
      <c r="AH17" s="11">
        <v>4.9000000000000004</v>
      </c>
      <c r="AI17" s="11">
        <v>10</v>
      </c>
      <c r="AJ17" s="11">
        <v>10</v>
      </c>
      <c r="AK17" s="11">
        <v>40</v>
      </c>
      <c r="AL17" s="12"/>
      <c r="AM17" s="12"/>
    </row>
    <row r="18" spans="2:50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10"/>
      <c r="AC18" s="10"/>
      <c r="AD18" s="10"/>
      <c r="AE18" s="8"/>
      <c r="AF18" s="10"/>
      <c r="AG18" s="189"/>
      <c r="AH18" s="189"/>
      <c r="AI18" s="10"/>
      <c r="AJ18" s="10"/>
      <c r="AK18" s="10"/>
      <c r="AL18" s="10"/>
      <c r="AM18" s="10"/>
    </row>
    <row r="19" spans="2:50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9" t="s">
        <v>21</v>
      </c>
      <c r="AC19" s="19" t="s">
        <v>22</v>
      </c>
      <c r="AD19" s="19" t="s">
        <v>22</v>
      </c>
      <c r="AE19" s="18" t="s">
        <v>20</v>
      </c>
      <c r="AF19" s="19" t="s">
        <v>20</v>
      </c>
      <c r="AG19" s="20" t="s">
        <v>20</v>
      </c>
      <c r="AH19" s="20" t="s">
        <v>20</v>
      </c>
      <c r="AI19" s="19" t="s">
        <v>22</v>
      </c>
      <c r="AJ19" s="19" t="s">
        <v>22</v>
      </c>
      <c r="AK19" s="19" t="s">
        <v>22</v>
      </c>
      <c r="AL19" s="19" t="s">
        <v>22</v>
      </c>
      <c r="AM19" s="19" t="s">
        <v>20</v>
      </c>
    </row>
    <row r="20" spans="2:50" ht="68.25" customHeight="1" x14ac:dyDescent="0.3">
      <c r="B20" s="56">
        <v>45747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'3-24-30, 2025'!S24</f>
        <v>6643</v>
      </c>
      <c r="T20" s="21">
        <f>'3-24-30, 2025'!T24</f>
        <v>1825</v>
      </c>
      <c r="U20" s="21">
        <f>'3-24-30, 2025'!U24</f>
        <v>0</v>
      </c>
      <c r="V20" s="21">
        <f>'3-24-30, 2025'!V24</f>
        <v>0</v>
      </c>
      <c r="W20" s="21">
        <f>'3-24-30, 2025'!W24</f>
        <v>4992</v>
      </c>
      <c r="X20" s="21">
        <f>'3-24-30, 2025'!X24</f>
        <v>600</v>
      </c>
      <c r="Y20" s="21">
        <f>'3-24-30, 2025'!Y24</f>
        <v>0</v>
      </c>
      <c r="Z20" s="21">
        <f>'3-24-30, 2025'!Z24</f>
        <v>0</v>
      </c>
      <c r="AA20" s="21" t="e">
        <f>'3-24-30, 2025'!AA24</f>
        <v>#REF!</v>
      </c>
      <c r="AB20" s="21">
        <f>'3-24-30, 2025'!AB24</f>
        <v>350</v>
      </c>
      <c r="AC20" s="21" t="e">
        <f>'3-24-30, 2025'!AC24</f>
        <v>#REF!</v>
      </c>
      <c r="AD20" s="21">
        <f>'3-24-30, 2025'!AD24</f>
        <v>1679</v>
      </c>
      <c r="AE20" s="21">
        <f>'3-24-30, 2025'!AE24</f>
        <v>301</v>
      </c>
      <c r="AF20" s="21">
        <f>'3-24-30, 2025'!AF24</f>
        <v>0</v>
      </c>
      <c r="AG20" s="21">
        <f>'3-24-30, 2025'!AG24</f>
        <v>3020</v>
      </c>
      <c r="AH20" s="21">
        <f>'3-24-30, 2025'!AH24</f>
        <v>9676</v>
      </c>
      <c r="AI20" s="21">
        <f>'3-24-30, 2025'!AI24</f>
        <v>0</v>
      </c>
      <c r="AJ20" s="21">
        <f>'3-24-30, 2025'!AJ24</f>
        <v>9040</v>
      </c>
      <c r="AK20" s="21">
        <f>'3-24-30, 2025'!AK24</f>
        <v>3900</v>
      </c>
      <c r="AL20" s="21">
        <f>'3-24-30, 2025'!AL24</f>
        <v>0</v>
      </c>
      <c r="AM20" s="21">
        <f>'3-24-30, 2025'!AM24</f>
        <v>96</v>
      </c>
      <c r="AN20" s="28"/>
    </row>
    <row r="21" spans="2:50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3"/>
      <c r="AD21" s="23"/>
      <c r="AE21" s="23"/>
      <c r="AF21" s="23"/>
      <c r="AG21" s="23"/>
      <c r="AH21" s="23"/>
      <c r="AI21" s="31"/>
      <c r="AJ21" s="31"/>
      <c r="AK21" s="31"/>
      <c r="AL21" s="23"/>
      <c r="AM21" s="32"/>
      <c r="AO21" s="33"/>
    </row>
    <row r="22" spans="2:50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M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6643</v>
      </c>
      <c r="T22" s="34">
        <f t="shared" ref="T22" si="1">T20+T21</f>
        <v>1825</v>
      </c>
      <c r="U22" s="34">
        <f>U20+U21</f>
        <v>0</v>
      </c>
      <c r="V22" s="34">
        <f t="shared" ref="V22" si="2">V20+V21</f>
        <v>0</v>
      </c>
      <c r="W22" s="34">
        <f t="shared" si="0"/>
        <v>4992</v>
      </c>
      <c r="X22" s="34">
        <f>X20+X21</f>
        <v>600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350</v>
      </c>
      <c r="AC22" s="34" t="e">
        <f t="shared" si="0"/>
        <v>#REF!</v>
      </c>
      <c r="AD22" s="34">
        <f t="shared" si="0"/>
        <v>1679</v>
      </c>
      <c r="AE22" s="34">
        <f t="shared" si="0"/>
        <v>301</v>
      </c>
      <c r="AF22" s="34">
        <f t="shared" si="0"/>
        <v>0</v>
      </c>
      <c r="AG22" s="34">
        <f t="shared" si="0"/>
        <v>3020</v>
      </c>
      <c r="AH22" s="34">
        <f t="shared" si="0"/>
        <v>9676</v>
      </c>
      <c r="AI22" s="34">
        <f t="shared" si="0"/>
        <v>0</v>
      </c>
      <c r="AJ22" s="34">
        <f t="shared" si="0"/>
        <v>9040</v>
      </c>
      <c r="AK22" s="34">
        <f t="shared" si="0"/>
        <v>3900</v>
      </c>
      <c r="AL22" s="34">
        <f t="shared" si="0"/>
        <v>0</v>
      </c>
      <c r="AM22" s="165">
        <f t="shared" si="0"/>
        <v>96</v>
      </c>
    </row>
    <row r="23" spans="2:50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>
        <f>38*91</f>
        <v>3458</v>
      </c>
      <c r="T23" s="21">
        <f>S23/91*25</f>
        <v>950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f>11*25</f>
        <v>275</v>
      </c>
      <c r="AC23" s="30"/>
      <c r="AD23" s="36">
        <v>60</v>
      </c>
      <c r="AE23" s="22">
        <v>29</v>
      </c>
      <c r="AF23" s="22"/>
      <c r="AG23" s="30">
        <v>0</v>
      </c>
      <c r="AH23" s="30">
        <v>360</v>
      </c>
      <c r="AI23" s="30"/>
      <c r="AJ23" s="30">
        <v>355</v>
      </c>
      <c r="AK23" s="30">
        <v>450</v>
      </c>
      <c r="AL23" s="22">
        <v>0</v>
      </c>
      <c r="AM23" s="38">
        <v>0</v>
      </c>
    </row>
    <row r="24" spans="2:50" s="3" customFormat="1" ht="100.5" customHeight="1" thickBot="1" x14ac:dyDescent="0.25">
      <c r="B24" s="39">
        <v>45753</v>
      </c>
      <c r="C24" s="336" t="s">
        <v>28</v>
      </c>
      <c r="D24" s="337"/>
      <c r="E24" s="40">
        <f>E22-E23</f>
        <v>0</v>
      </c>
      <c r="F24" s="40">
        <f t="shared" ref="F24:AL24" si="3">F22-F23</f>
        <v>0</v>
      </c>
      <c r="G24" s="40">
        <f>G22-G23</f>
        <v>0</v>
      </c>
      <c r="H24" s="40">
        <f t="shared" si="3"/>
        <v>0</v>
      </c>
      <c r="I24" s="41" t="e">
        <f t="shared" si="3"/>
        <v>#REF!</v>
      </c>
      <c r="J24" s="41" t="e">
        <f t="shared" si="3"/>
        <v>#REF!</v>
      </c>
      <c r="K24" s="41">
        <f>K22-K23</f>
        <v>0</v>
      </c>
      <c r="L24" s="42">
        <f t="shared" ref="L24" si="4">L22-L23</f>
        <v>0</v>
      </c>
      <c r="M24" s="41">
        <f>M22-M23</f>
        <v>0</v>
      </c>
      <c r="N24" s="42">
        <f>N22-N23</f>
        <v>0</v>
      </c>
      <c r="O24" s="41" t="e">
        <f t="shared" ref="O24:V24" si="5">O22-O23</f>
        <v>#REF!</v>
      </c>
      <c r="P24" s="41" t="e">
        <f t="shared" si="5"/>
        <v>#REF!</v>
      </c>
      <c r="Q24" s="40">
        <f>Q22-Q23</f>
        <v>0</v>
      </c>
      <c r="R24" s="40">
        <f t="shared" si="5"/>
        <v>0</v>
      </c>
      <c r="S24" s="40">
        <f>S22-S23</f>
        <v>3185</v>
      </c>
      <c r="T24" s="40">
        <f t="shared" ref="T24" si="6">T22-T23</f>
        <v>875</v>
      </c>
      <c r="U24" s="40">
        <f t="shared" si="5"/>
        <v>0</v>
      </c>
      <c r="V24" s="40">
        <f t="shared" si="5"/>
        <v>0</v>
      </c>
      <c r="W24" s="40">
        <f>W22-W23</f>
        <v>4992</v>
      </c>
      <c r="X24" s="40">
        <f>X22-X23</f>
        <v>600</v>
      </c>
      <c r="Y24" s="40">
        <f>Y22-Y23</f>
        <v>0</v>
      </c>
      <c r="Z24" s="42">
        <f t="shared" ref="Z24" si="7">Z22-Z23</f>
        <v>0</v>
      </c>
      <c r="AA24" s="41" t="e">
        <f t="shared" si="3"/>
        <v>#REF!</v>
      </c>
      <c r="AB24" s="41">
        <f>AB22-AB23</f>
        <v>75</v>
      </c>
      <c r="AC24" s="41" t="e">
        <f t="shared" si="3"/>
        <v>#REF!</v>
      </c>
      <c r="AD24" s="93">
        <f>AD22-AD23</f>
        <v>1619</v>
      </c>
      <c r="AE24" s="40">
        <f t="shared" si="3"/>
        <v>272</v>
      </c>
      <c r="AF24" s="40">
        <f t="shared" si="3"/>
        <v>0</v>
      </c>
      <c r="AG24" s="41">
        <f t="shared" si="3"/>
        <v>3020</v>
      </c>
      <c r="AH24" s="41">
        <f t="shared" si="3"/>
        <v>9316</v>
      </c>
      <c r="AI24" s="41">
        <f t="shared" si="3"/>
        <v>0</v>
      </c>
      <c r="AJ24" s="41">
        <f>AJ22-AJ23</f>
        <v>8685</v>
      </c>
      <c r="AK24" s="41">
        <f t="shared" si="3"/>
        <v>3450</v>
      </c>
      <c r="AL24" s="40">
        <f t="shared" si="3"/>
        <v>0</v>
      </c>
      <c r="AM24" s="44">
        <f>AM22-AM23</f>
        <v>96</v>
      </c>
    </row>
    <row r="25" spans="2:50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2:50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I26" s="29"/>
      <c r="AJ26" s="29"/>
      <c r="AK26" s="29"/>
      <c r="AL26" s="29"/>
      <c r="AM26" s="29"/>
    </row>
    <row r="27" spans="2:50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H27" s="45" t="s">
        <v>57</v>
      </c>
      <c r="AI27" s="47"/>
      <c r="AJ27" s="47"/>
      <c r="AK27" s="47"/>
      <c r="AL27" s="46"/>
      <c r="AM27" s="46"/>
    </row>
    <row r="28" spans="2:50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I28" s="49"/>
      <c r="AJ28" s="49"/>
      <c r="AK28" s="49"/>
      <c r="AL28" s="49"/>
      <c r="AM28" s="49"/>
      <c r="AN28" s="46"/>
    </row>
    <row r="29" spans="2:50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I29" s="49"/>
      <c r="AJ29" s="49"/>
      <c r="AK29" s="49"/>
      <c r="AL29" s="49"/>
      <c r="AM29" s="49"/>
      <c r="AN29" s="46"/>
    </row>
    <row r="30" spans="2:50" s="45" customFormat="1" ht="24" customHeight="1" x14ac:dyDescent="0.4">
      <c r="B30" s="153" t="s">
        <v>111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B30" s="155"/>
      <c r="AC30" s="155"/>
      <c r="AD30" s="155"/>
      <c r="AF30" s="155"/>
      <c r="AH30" s="156" t="s">
        <v>117</v>
      </c>
      <c r="AI30" s="155"/>
      <c r="AJ30" s="155"/>
      <c r="AK30" s="155"/>
      <c r="AN30" s="46"/>
    </row>
    <row r="31" spans="2:50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B31" s="155"/>
      <c r="AC31" s="155"/>
      <c r="AD31" s="155"/>
      <c r="AF31" s="155"/>
      <c r="AH31" s="154" t="s">
        <v>118</v>
      </c>
      <c r="AI31" s="154"/>
      <c r="AJ31" s="154"/>
      <c r="AK31" s="154"/>
      <c r="AL31" s="46"/>
      <c r="AM31" s="46"/>
    </row>
    <row r="32" spans="2:50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B32" s="154"/>
      <c r="AC32" s="154"/>
      <c r="AD32" s="154"/>
      <c r="AF32" s="155"/>
      <c r="AH32" s="154" t="s">
        <v>46</v>
      </c>
      <c r="AI32" s="154"/>
      <c r="AJ32" s="154"/>
      <c r="AK32" s="154"/>
      <c r="AL32" s="83"/>
      <c r="AM32" s="84"/>
      <c r="AN32" s="85"/>
      <c r="AO32" s="86"/>
      <c r="AP32" s="87"/>
      <c r="AQ32" s="86"/>
      <c r="AR32" s="88"/>
      <c r="AS32" s="84"/>
      <c r="AT32" s="84"/>
      <c r="AU32" s="86"/>
      <c r="AV32" s="86"/>
      <c r="AW32" s="86"/>
      <c r="AX32" s="84"/>
    </row>
    <row r="33" spans="2:40" s="46" customFormat="1" ht="24" customHeight="1" x14ac:dyDescent="0.4">
      <c r="B33" s="157" t="s">
        <v>112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B33" s="154"/>
      <c r="AC33" s="158"/>
      <c r="AD33" s="158"/>
      <c r="AE33" s="154"/>
      <c r="AF33" s="159"/>
      <c r="AG33" s="154"/>
      <c r="AH33" s="154"/>
      <c r="AI33" s="154"/>
      <c r="AJ33" s="154"/>
      <c r="AK33" s="154"/>
    </row>
    <row r="34" spans="2:40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52"/>
    </row>
    <row r="36" spans="2:40" ht="22.5" x14ac:dyDescent="0.35">
      <c r="C36" s="55"/>
      <c r="D36" s="55"/>
      <c r="E36" s="55"/>
      <c r="F36" s="55"/>
    </row>
    <row r="37" spans="2:40" ht="15.75" customHeight="1" x14ac:dyDescent="0.3"/>
    <row r="40" spans="2:40" ht="15.75" customHeight="1" x14ac:dyDescent="0.3"/>
    <row r="42" spans="2:40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4" spans="2:40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7" spans="2:40" ht="22.5" x14ac:dyDescent="0.35">
      <c r="B47" s="55"/>
    </row>
  </sheetData>
  <mergeCells count="44">
    <mergeCell ref="C24:D24"/>
    <mergeCell ref="U18:V18"/>
    <mergeCell ref="W18:X18"/>
    <mergeCell ref="Y18:Z18"/>
    <mergeCell ref="C20:D20"/>
    <mergeCell ref="B21:D21"/>
    <mergeCell ref="B22:D22"/>
    <mergeCell ref="U17:V17"/>
    <mergeCell ref="G17:H17"/>
    <mergeCell ref="I17:J17"/>
    <mergeCell ref="K17:L17"/>
    <mergeCell ref="B23:D23"/>
    <mergeCell ref="O18:P18"/>
    <mergeCell ref="Q18:R18"/>
    <mergeCell ref="S18:T18"/>
    <mergeCell ref="O17:P17"/>
    <mergeCell ref="Q17:R17"/>
    <mergeCell ref="S17:T17"/>
    <mergeCell ref="E18:F18"/>
    <mergeCell ref="G18:H18"/>
    <mergeCell ref="I18:J18"/>
    <mergeCell ref="K18:L18"/>
    <mergeCell ref="M18:N18"/>
    <mergeCell ref="U16:V16"/>
    <mergeCell ref="A10:AM10"/>
    <mergeCell ref="A11:AM11"/>
    <mergeCell ref="B14:D15"/>
    <mergeCell ref="E14:AM15"/>
    <mergeCell ref="B16:B19"/>
    <mergeCell ref="C16:D19"/>
    <mergeCell ref="E16:F16"/>
    <mergeCell ref="G16:H16"/>
    <mergeCell ref="I16:J16"/>
    <mergeCell ref="K16:L16"/>
    <mergeCell ref="Y16:Z16"/>
    <mergeCell ref="E17:F17"/>
    <mergeCell ref="W16:X16"/>
    <mergeCell ref="W17:X17"/>
    <mergeCell ref="Y17:Z17"/>
    <mergeCell ref="M17:N17"/>
    <mergeCell ref="O16:P16"/>
    <mergeCell ref="M16:N16"/>
    <mergeCell ref="Q16:R16"/>
    <mergeCell ref="S16:T16"/>
  </mergeCells>
  <pageMargins left="0.78740157480314965" right="0.11811023622047245" top="0.39370078740157483" bottom="0.31496062992125984" header="0.31496062992125984" footer="0.31496062992125984"/>
  <pageSetup paperSize="9" scale="51" orientation="landscape" r:id="rId1"/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8">
    <tabColor theme="0"/>
  </sheetPr>
  <dimension ref="A10:AX47"/>
  <sheetViews>
    <sheetView topLeftCell="A16" zoomScale="70" zoomScaleNormal="70" workbookViewId="0">
      <selection activeCell="S28" sqref="S28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2.5703125" style="1" customWidth="1"/>
    <col min="29" max="29" width="7" style="1" hidden="1" customWidth="1"/>
    <col min="30" max="30" width="14.85546875" style="1" customWidth="1"/>
    <col min="31" max="31" width="12.28515625" style="1" customWidth="1"/>
    <col min="32" max="32" width="22.42578125" style="1" hidden="1" customWidth="1"/>
    <col min="33" max="33" width="16.42578125" style="1" customWidth="1"/>
    <col min="34" max="34" width="17.7109375" style="1" customWidth="1"/>
    <col min="35" max="35" width="18.5703125" style="1" hidden="1" customWidth="1"/>
    <col min="36" max="37" width="18.5703125" style="1" customWidth="1"/>
    <col min="38" max="38" width="12.42578125" style="1" bestFit="1" customWidth="1"/>
    <col min="39" max="39" width="11.140625" style="1" customWidth="1"/>
    <col min="40" max="40" width="14.28515625" style="1" bestFit="1" customWidth="1"/>
    <col min="41" max="41" width="10.28515625" style="1" bestFit="1" customWidth="1"/>
    <col min="42" max="42" width="9.140625" style="1"/>
    <col min="43" max="43" width="10.7109375" style="1" bestFit="1" customWidth="1"/>
    <col min="44" max="16384" width="9.140625" style="1"/>
  </cols>
  <sheetData>
    <row r="10" spans="1:40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178"/>
    </row>
    <row r="11" spans="1:40" ht="34.5" x14ac:dyDescent="0.45">
      <c r="A11" s="315" t="s">
        <v>156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179"/>
    </row>
    <row r="12" spans="1:40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ht="22.5" thickBot="1" x14ac:dyDescent="0.35"/>
    <row r="14" spans="1:40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8"/>
    </row>
    <row r="15" spans="1:40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1"/>
    </row>
    <row r="16" spans="1:40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6" t="s">
        <v>7</v>
      </c>
      <c r="AC16" s="6" t="s">
        <v>8</v>
      </c>
      <c r="AD16" s="7" t="s">
        <v>8</v>
      </c>
      <c r="AE16" s="5" t="s">
        <v>9</v>
      </c>
      <c r="AF16" s="57" t="s">
        <v>11</v>
      </c>
      <c r="AG16" s="57" t="s">
        <v>10</v>
      </c>
      <c r="AH16" s="57" t="s">
        <v>10</v>
      </c>
      <c r="AI16" s="57" t="s">
        <v>40</v>
      </c>
      <c r="AJ16" s="57" t="s">
        <v>41</v>
      </c>
      <c r="AK16" s="57" t="s">
        <v>41</v>
      </c>
      <c r="AL16" s="57" t="s">
        <v>12</v>
      </c>
      <c r="AM16" s="190" t="s">
        <v>13</v>
      </c>
    </row>
    <row r="17" spans="2:50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9"/>
      <c r="AC17" s="9" t="s">
        <v>15</v>
      </c>
      <c r="AD17" s="10"/>
      <c r="AE17" s="8"/>
      <c r="AF17" s="11">
        <v>4.8</v>
      </c>
      <c r="AG17" s="11">
        <v>2.4</v>
      </c>
      <c r="AH17" s="11">
        <v>4.9000000000000004</v>
      </c>
      <c r="AI17" s="11">
        <v>10</v>
      </c>
      <c r="AJ17" s="11">
        <v>10</v>
      </c>
      <c r="AK17" s="11">
        <v>40</v>
      </c>
      <c r="AL17" s="12"/>
      <c r="AM17" s="12"/>
    </row>
    <row r="18" spans="2:50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10"/>
      <c r="AC18" s="10"/>
      <c r="AD18" s="10"/>
      <c r="AE18" s="8"/>
      <c r="AF18" s="10"/>
      <c r="AG18" s="191"/>
      <c r="AH18" s="191"/>
      <c r="AI18" s="10"/>
      <c r="AJ18" s="10"/>
      <c r="AK18" s="10"/>
      <c r="AL18" s="10"/>
      <c r="AM18" s="10"/>
    </row>
    <row r="19" spans="2:50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9" t="s">
        <v>21</v>
      </c>
      <c r="AC19" s="19" t="s">
        <v>22</v>
      </c>
      <c r="AD19" s="19" t="s">
        <v>22</v>
      </c>
      <c r="AE19" s="18" t="s">
        <v>20</v>
      </c>
      <c r="AF19" s="19" t="s">
        <v>20</v>
      </c>
      <c r="AG19" s="20" t="s">
        <v>20</v>
      </c>
      <c r="AH19" s="20" t="s">
        <v>20</v>
      </c>
      <c r="AI19" s="19" t="s">
        <v>22</v>
      </c>
      <c r="AJ19" s="19" t="s">
        <v>22</v>
      </c>
      <c r="AK19" s="19" t="s">
        <v>22</v>
      </c>
      <c r="AL19" s="19" t="s">
        <v>22</v>
      </c>
      <c r="AM19" s="19" t="s">
        <v>20</v>
      </c>
    </row>
    <row r="20" spans="2:50" ht="68.25" customHeight="1" x14ac:dyDescent="0.3">
      <c r="B20" s="56">
        <v>45754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'3-30-4-6, 2025'!S24</f>
        <v>3185</v>
      </c>
      <c r="T20" s="21">
        <f>'3-30-4-6, 2025'!T24</f>
        <v>875</v>
      </c>
      <c r="U20" s="21">
        <f>'3-30-4-6, 2025'!U24</f>
        <v>0</v>
      </c>
      <c r="V20" s="21">
        <f>'3-30-4-6, 2025'!V24</f>
        <v>0</v>
      </c>
      <c r="W20" s="21">
        <f>'3-30-4-6, 2025'!W24</f>
        <v>4992</v>
      </c>
      <c r="X20" s="21">
        <f>'3-30-4-6, 2025'!X24</f>
        <v>600</v>
      </c>
      <c r="Y20" s="21">
        <f>'3-30-4-6, 2025'!Y24</f>
        <v>0</v>
      </c>
      <c r="Z20" s="21">
        <f>'3-30-4-6, 2025'!Z24</f>
        <v>0</v>
      </c>
      <c r="AA20" s="21" t="e">
        <f>'3-30-4-6, 2025'!AA24</f>
        <v>#REF!</v>
      </c>
      <c r="AB20" s="21">
        <f>'3-30-4-6, 2025'!AB24</f>
        <v>75</v>
      </c>
      <c r="AC20" s="21" t="e">
        <f>'3-30-4-6, 2025'!AC24</f>
        <v>#REF!</v>
      </c>
      <c r="AD20" s="21">
        <f>'3-30-4-6, 2025'!AD24</f>
        <v>1619</v>
      </c>
      <c r="AE20" s="21">
        <f>'3-30-4-6, 2025'!AE24</f>
        <v>272</v>
      </c>
      <c r="AF20" s="21">
        <f>'3-30-4-6, 2025'!AF24</f>
        <v>0</v>
      </c>
      <c r="AG20" s="21">
        <f>'3-30-4-6, 2025'!AG24</f>
        <v>3020</v>
      </c>
      <c r="AH20" s="21">
        <f>'3-30-4-6, 2025'!AH24</f>
        <v>9316</v>
      </c>
      <c r="AI20" s="21">
        <f>'3-30-4-6, 2025'!AI24</f>
        <v>0</v>
      </c>
      <c r="AJ20" s="21">
        <f>'3-30-4-6, 2025'!AJ24</f>
        <v>8685</v>
      </c>
      <c r="AK20" s="21">
        <f>'3-30-4-6, 2025'!AK24</f>
        <v>3450</v>
      </c>
      <c r="AL20" s="21">
        <f>'3-30-4-6, 2025'!AL24</f>
        <v>0</v>
      </c>
      <c r="AM20" s="21">
        <f>'3-30-4-6, 2025'!AM24</f>
        <v>96</v>
      </c>
      <c r="AN20" s="28"/>
    </row>
    <row r="21" spans="2:50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1">
        <f>S21/91*25</f>
        <v>0</v>
      </c>
      <c r="U21" s="25"/>
      <c r="V21" s="26"/>
      <c r="W21" s="23"/>
      <c r="X21" s="22">
        <f>W21/208*25</f>
        <v>0</v>
      </c>
      <c r="Y21" s="23"/>
      <c r="Z21" s="26"/>
      <c r="AA21" s="23"/>
      <c r="AB21" s="23">
        <f>218*25</f>
        <v>5450</v>
      </c>
      <c r="AC21" s="23"/>
      <c r="AD21" s="23"/>
      <c r="AE21" s="23">
        <v>900</v>
      </c>
      <c r="AF21" s="23"/>
      <c r="AG21" s="23"/>
      <c r="AH21" s="23">
        <v>3300</v>
      </c>
      <c r="AI21" s="31"/>
      <c r="AJ21" s="31">
        <v>5500</v>
      </c>
      <c r="AK21" s="31">
        <v>1500</v>
      </c>
      <c r="AL21" s="23"/>
      <c r="AM21" s="32"/>
      <c r="AO21" s="33"/>
    </row>
    <row r="22" spans="2:50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M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3185</v>
      </c>
      <c r="T22" s="34">
        <f t="shared" ref="T22" si="1">T20+T21</f>
        <v>875</v>
      </c>
      <c r="U22" s="34">
        <f>U20+U21</f>
        <v>0</v>
      </c>
      <c r="V22" s="34">
        <f t="shared" ref="V22" si="2">V20+V21</f>
        <v>0</v>
      </c>
      <c r="W22" s="34">
        <f t="shared" si="0"/>
        <v>4992</v>
      </c>
      <c r="X22" s="34">
        <f>X20+X21</f>
        <v>600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5525</v>
      </c>
      <c r="AC22" s="34" t="e">
        <f t="shared" si="0"/>
        <v>#REF!</v>
      </c>
      <c r="AD22" s="34">
        <f t="shared" si="0"/>
        <v>1619</v>
      </c>
      <c r="AE22" s="34">
        <f t="shared" si="0"/>
        <v>1172</v>
      </c>
      <c r="AF22" s="34">
        <f t="shared" si="0"/>
        <v>0</v>
      </c>
      <c r="AG22" s="34">
        <f t="shared" si="0"/>
        <v>3020</v>
      </c>
      <c r="AH22" s="34">
        <f t="shared" si="0"/>
        <v>12616</v>
      </c>
      <c r="AI22" s="34">
        <f t="shared" si="0"/>
        <v>0</v>
      </c>
      <c r="AJ22" s="34">
        <f t="shared" si="0"/>
        <v>14185</v>
      </c>
      <c r="AK22" s="34">
        <f t="shared" si="0"/>
        <v>4950</v>
      </c>
      <c r="AL22" s="34">
        <f t="shared" si="0"/>
        <v>0</v>
      </c>
      <c r="AM22" s="165">
        <f t="shared" si="0"/>
        <v>96</v>
      </c>
    </row>
    <row r="23" spans="2:50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>
        <v>2912</v>
      </c>
      <c r="T23" s="21">
        <f>S23/91*25</f>
        <v>800</v>
      </c>
      <c r="U23" s="30">
        <v>0</v>
      </c>
      <c r="V23" s="21">
        <f>U23/215*25</f>
        <v>0</v>
      </c>
      <c r="W23" s="30">
        <v>208</v>
      </c>
      <c r="X23" s="22">
        <f>W23/208*25</f>
        <v>25</v>
      </c>
      <c r="Y23" s="22"/>
      <c r="Z23" s="24"/>
      <c r="AA23" s="30"/>
      <c r="AB23" s="30">
        <v>1225</v>
      </c>
      <c r="AC23" s="30"/>
      <c r="AD23" s="36">
        <v>93</v>
      </c>
      <c r="AE23" s="22">
        <v>46</v>
      </c>
      <c r="AF23" s="22"/>
      <c r="AG23" s="30">
        <v>21</v>
      </c>
      <c r="AH23" s="30">
        <v>543</v>
      </c>
      <c r="AI23" s="30"/>
      <c r="AJ23" s="30">
        <v>590</v>
      </c>
      <c r="AK23" s="30">
        <v>525</v>
      </c>
      <c r="AL23" s="22">
        <v>0</v>
      </c>
      <c r="AM23" s="38">
        <v>0</v>
      </c>
    </row>
    <row r="24" spans="2:50" s="3" customFormat="1" ht="100.5" customHeight="1" thickBot="1" x14ac:dyDescent="0.25">
      <c r="B24" s="39">
        <v>45760</v>
      </c>
      <c r="C24" s="336" t="s">
        <v>28</v>
      </c>
      <c r="D24" s="337"/>
      <c r="E24" s="40">
        <f>E22-E23</f>
        <v>0</v>
      </c>
      <c r="F24" s="40">
        <f t="shared" ref="F24:AL24" si="3">F22-F23</f>
        <v>0</v>
      </c>
      <c r="G24" s="40">
        <f>G22-G23</f>
        <v>0</v>
      </c>
      <c r="H24" s="40">
        <f t="shared" si="3"/>
        <v>0</v>
      </c>
      <c r="I24" s="41" t="e">
        <f t="shared" si="3"/>
        <v>#REF!</v>
      </c>
      <c r="J24" s="41" t="e">
        <f t="shared" si="3"/>
        <v>#REF!</v>
      </c>
      <c r="K24" s="41">
        <f>K22-K23</f>
        <v>0</v>
      </c>
      <c r="L24" s="42">
        <f t="shared" ref="L24" si="4">L22-L23</f>
        <v>0</v>
      </c>
      <c r="M24" s="41">
        <f>M22-M23</f>
        <v>0</v>
      </c>
      <c r="N24" s="42">
        <f>N22-N23</f>
        <v>0</v>
      </c>
      <c r="O24" s="41" t="e">
        <f t="shared" ref="O24:V24" si="5">O22-O23</f>
        <v>#REF!</v>
      </c>
      <c r="P24" s="41" t="e">
        <f t="shared" si="5"/>
        <v>#REF!</v>
      </c>
      <c r="Q24" s="40">
        <f>Q22-Q23</f>
        <v>0</v>
      </c>
      <c r="R24" s="40">
        <f t="shared" si="5"/>
        <v>0</v>
      </c>
      <c r="S24" s="40">
        <f>S22-S23</f>
        <v>273</v>
      </c>
      <c r="T24" s="40">
        <f t="shared" ref="T24" si="6">T22-T23</f>
        <v>75</v>
      </c>
      <c r="U24" s="40">
        <f t="shared" si="5"/>
        <v>0</v>
      </c>
      <c r="V24" s="40">
        <f t="shared" si="5"/>
        <v>0</v>
      </c>
      <c r="W24" s="40">
        <f>W22-W23</f>
        <v>4784</v>
      </c>
      <c r="X24" s="40">
        <f>X22-X23</f>
        <v>575</v>
      </c>
      <c r="Y24" s="40">
        <f>Y22-Y23</f>
        <v>0</v>
      </c>
      <c r="Z24" s="42">
        <f t="shared" ref="Z24" si="7">Z22-Z23</f>
        <v>0</v>
      </c>
      <c r="AA24" s="41" t="e">
        <f t="shared" si="3"/>
        <v>#REF!</v>
      </c>
      <c r="AB24" s="41">
        <f>AB22-AB23</f>
        <v>4300</v>
      </c>
      <c r="AC24" s="41" t="e">
        <f t="shared" si="3"/>
        <v>#REF!</v>
      </c>
      <c r="AD24" s="93">
        <f>AD22-AD23</f>
        <v>1526</v>
      </c>
      <c r="AE24" s="40">
        <f t="shared" si="3"/>
        <v>1126</v>
      </c>
      <c r="AF24" s="40">
        <f t="shared" si="3"/>
        <v>0</v>
      </c>
      <c r="AG24" s="41">
        <f t="shared" si="3"/>
        <v>2999</v>
      </c>
      <c r="AH24" s="41">
        <f t="shared" si="3"/>
        <v>12073</v>
      </c>
      <c r="AI24" s="41">
        <f t="shared" si="3"/>
        <v>0</v>
      </c>
      <c r="AJ24" s="41">
        <f>AJ22-AJ23</f>
        <v>13595</v>
      </c>
      <c r="AK24" s="41">
        <f t="shared" si="3"/>
        <v>4425</v>
      </c>
      <c r="AL24" s="40">
        <f t="shared" si="3"/>
        <v>0</v>
      </c>
      <c r="AM24" s="44">
        <f>AM22-AM23</f>
        <v>96</v>
      </c>
    </row>
    <row r="25" spans="2:50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2:50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I26" s="29"/>
      <c r="AJ26" s="29"/>
      <c r="AK26" s="29"/>
      <c r="AL26" s="29"/>
      <c r="AM26" s="29"/>
    </row>
    <row r="27" spans="2:50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AH27" s="45" t="s">
        <v>57</v>
      </c>
      <c r="AI27" s="47"/>
      <c r="AJ27" s="47"/>
      <c r="AK27" s="47"/>
      <c r="AL27" s="46"/>
      <c r="AM27" s="46"/>
    </row>
    <row r="28" spans="2:50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AI28" s="49"/>
      <c r="AJ28" s="49"/>
      <c r="AK28" s="49"/>
      <c r="AL28" s="49"/>
      <c r="AM28" s="49"/>
      <c r="AN28" s="46"/>
    </row>
    <row r="29" spans="2:50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AI29" s="49"/>
      <c r="AJ29" s="49"/>
      <c r="AK29" s="49"/>
      <c r="AL29" s="49"/>
      <c r="AM29" s="49"/>
      <c r="AN29" s="46"/>
    </row>
    <row r="30" spans="2:50" s="45" customFormat="1" ht="24" customHeight="1" x14ac:dyDescent="0.4">
      <c r="B30" s="153" t="s">
        <v>111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3"/>
      <c r="Z30" s="155"/>
      <c r="AA30" s="155"/>
      <c r="AB30" s="155"/>
      <c r="AC30" s="155"/>
      <c r="AD30" s="155"/>
      <c r="AF30" s="155"/>
      <c r="AH30" s="156" t="s">
        <v>117</v>
      </c>
      <c r="AI30" s="155"/>
      <c r="AJ30" s="155"/>
      <c r="AK30" s="155"/>
      <c r="AN30" s="46"/>
    </row>
    <row r="31" spans="2:50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7"/>
      <c r="Z31" s="155"/>
      <c r="AA31" s="155"/>
      <c r="AB31" s="155"/>
      <c r="AC31" s="155"/>
      <c r="AD31" s="155"/>
      <c r="AF31" s="155"/>
      <c r="AH31" s="154" t="s">
        <v>118</v>
      </c>
      <c r="AI31" s="154"/>
      <c r="AJ31" s="154"/>
      <c r="AK31" s="154"/>
      <c r="AL31" s="46"/>
      <c r="AM31" s="46"/>
    </row>
    <row r="32" spans="2:50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7"/>
      <c r="Z32" s="155"/>
      <c r="AA32" s="154"/>
      <c r="AB32" s="154"/>
      <c r="AC32" s="154"/>
      <c r="AD32" s="154"/>
      <c r="AF32" s="155"/>
      <c r="AH32" s="154" t="s">
        <v>46</v>
      </c>
      <c r="AI32" s="154"/>
      <c r="AJ32" s="154"/>
      <c r="AK32" s="154"/>
      <c r="AL32" s="83"/>
      <c r="AM32" s="84"/>
      <c r="AN32" s="85"/>
      <c r="AO32" s="86"/>
      <c r="AP32" s="87"/>
      <c r="AQ32" s="86"/>
      <c r="AR32" s="88"/>
      <c r="AS32" s="84"/>
      <c r="AT32" s="84"/>
      <c r="AU32" s="86"/>
      <c r="AV32" s="86"/>
      <c r="AW32" s="86"/>
      <c r="AX32" s="84"/>
    </row>
    <row r="33" spans="2:40" s="46" customFormat="1" ht="24" customHeight="1" x14ac:dyDescent="0.4">
      <c r="B33" s="157" t="s">
        <v>112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/>
      <c r="AB33" s="154"/>
      <c r="AC33" s="158"/>
      <c r="AD33" s="158"/>
      <c r="AE33" s="154"/>
      <c r="AF33" s="159"/>
      <c r="AG33" s="154"/>
      <c r="AH33" s="154"/>
      <c r="AI33" s="154"/>
      <c r="AJ33" s="154"/>
      <c r="AK33" s="154"/>
    </row>
    <row r="34" spans="2:40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52"/>
    </row>
    <row r="36" spans="2:40" ht="22.5" x14ac:dyDescent="0.35">
      <c r="C36" s="55"/>
      <c r="D36" s="55"/>
      <c r="E36" s="55"/>
      <c r="F36" s="55"/>
    </row>
    <row r="37" spans="2:40" ht="15.75" customHeight="1" x14ac:dyDescent="0.3"/>
    <row r="40" spans="2:40" ht="15.75" customHeight="1" x14ac:dyDescent="0.3"/>
    <row r="42" spans="2:40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</row>
    <row r="44" spans="2:40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7" spans="2:40" ht="22.5" x14ac:dyDescent="0.35">
      <c r="B47" s="55"/>
    </row>
  </sheetData>
  <mergeCells count="44">
    <mergeCell ref="C24:D24"/>
    <mergeCell ref="U18:V18"/>
    <mergeCell ref="W18:X18"/>
    <mergeCell ref="Y18:Z18"/>
    <mergeCell ref="C20:D20"/>
    <mergeCell ref="B21:D21"/>
    <mergeCell ref="B22:D22"/>
    <mergeCell ref="U17:V17"/>
    <mergeCell ref="G17:H17"/>
    <mergeCell ref="I17:J17"/>
    <mergeCell ref="K17:L17"/>
    <mergeCell ref="B23:D23"/>
    <mergeCell ref="O18:P18"/>
    <mergeCell ref="Q18:R18"/>
    <mergeCell ref="S18:T18"/>
    <mergeCell ref="O17:P17"/>
    <mergeCell ref="Q17:R17"/>
    <mergeCell ref="S17:T17"/>
    <mergeCell ref="E18:F18"/>
    <mergeCell ref="G18:H18"/>
    <mergeCell ref="I18:J18"/>
    <mergeCell ref="K18:L18"/>
    <mergeCell ref="M18:N18"/>
    <mergeCell ref="U16:V16"/>
    <mergeCell ref="A10:AM10"/>
    <mergeCell ref="A11:AM11"/>
    <mergeCell ref="B14:D15"/>
    <mergeCell ref="E14:AM15"/>
    <mergeCell ref="B16:B19"/>
    <mergeCell ref="C16:D19"/>
    <mergeCell ref="E16:F16"/>
    <mergeCell ref="G16:H16"/>
    <mergeCell ref="I16:J16"/>
    <mergeCell ref="K16:L16"/>
    <mergeCell ref="Y16:Z16"/>
    <mergeCell ref="E17:F17"/>
    <mergeCell ref="W16:X16"/>
    <mergeCell ref="W17:X17"/>
    <mergeCell ref="Y17:Z17"/>
    <mergeCell ref="M17:N17"/>
    <mergeCell ref="O16:P16"/>
    <mergeCell ref="M16:N16"/>
    <mergeCell ref="Q16:R16"/>
    <mergeCell ref="S16:T16"/>
  </mergeCells>
  <pageMargins left="0.78740157480314965" right="0.11811023622047245" top="0.39370078740157483" bottom="0.31496062992125984" header="0.31496062992125984" footer="0.31496062992125984"/>
  <pageSetup paperSize="9" scale="51" orientation="landscape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9">
    <tabColor theme="0"/>
  </sheetPr>
  <dimension ref="A10:BB47"/>
  <sheetViews>
    <sheetView topLeftCell="A19" zoomScale="70" zoomScaleNormal="70" workbookViewId="0">
      <selection activeCell="W31" sqref="W31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157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192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91</v>
      </c>
      <c r="AC17" s="333"/>
      <c r="AD17" s="332">
        <v>200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/>
      <c r="AC18" s="333"/>
      <c r="AD18" s="332"/>
      <c r="AE18" s="333"/>
      <c r="AF18" s="10"/>
      <c r="AG18" s="10"/>
      <c r="AH18" s="10"/>
      <c r="AI18" s="8"/>
      <c r="AJ18" s="10"/>
      <c r="AK18" s="193"/>
      <c r="AL18" s="193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45761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'4-7-13, 2025'!S24</f>
        <v>273</v>
      </c>
      <c r="T20" s="21">
        <f>'4-7-13, 2025'!T24</f>
        <v>75</v>
      </c>
      <c r="U20" s="21">
        <f>'4-7-13, 2025'!U24</f>
        <v>0</v>
      </c>
      <c r="V20" s="21">
        <f>'4-7-13, 2025'!V24</f>
        <v>0</v>
      </c>
      <c r="W20" s="21">
        <f>'4-7-13, 2025'!W24</f>
        <v>4784</v>
      </c>
      <c r="X20" s="21">
        <f>'4-7-13, 2025'!X24</f>
        <v>575</v>
      </c>
      <c r="Y20" s="21">
        <f>'4-7-13, 2025'!Y24</f>
        <v>0</v>
      </c>
      <c r="Z20" s="21">
        <f>'4-7-13, 2025'!Z24</f>
        <v>0</v>
      </c>
      <c r="AA20" s="21" t="e">
        <f>'4-7-13, 2025'!AA24</f>
        <v>#REF!</v>
      </c>
      <c r="AB20" s="21"/>
      <c r="AC20" s="22">
        <f>AB20/91*25</f>
        <v>0</v>
      </c>
      <c r="AD20" s="21"/>
      <c r="AE20" s="22">
        <f>AD20/200*25</f>
        <v>0</v>
      </c>
      <c r="AF20" s="21">
        <f>'4-7-13, 2025'!AB24</f>
        <v>4300</v>
      </c>
      <c r="AG20" s="21" t="e">
        <f>'4-7-13, 2025'!AC24</f>
        <v>#REF!</v>
      </c>
      <c r="AH20" s="21">
        <f>'4-7-13, 2025'!AD24</f>
        <v>1526</v>
      </c>
      <c r="AI20" s="21">
        <f>'4-7-13, 2025'!AE24</f>
        <v>1126</v>
      </c>
      <c r="AJ20" s="21">
        <f>'4-7-13, 2025'!AF24</f>
        <v>0</v>
      </c>
      <c r="AK20" s="21">
        <f>'4-7-13, 2025'!AG24</f>
        <v>2999</v>
      </c>
      <c r="AL20" s="21">
        <f>'4-7-13, 2025'!AH24</f>
        <v>12073</v>
      </c>
      <c r="AM20" s="21">
        <f>'4-7-13, 2025'!AI24</f>
        <v>0</v>
      </c>
      <c r="AN20" s="21">
        <f>'4-7-13, 2025'!AJ24</f>
        <v>13595</v>
      </c>
      <c r="AO20" s="21">
        <f>'4-7-13, 2025'!AK24</f>
        <v>4425</v>
      </c>
      <c r="AP20" s="21">
        <f>'4-7-13, 2025'!AL24</f>
        <v>0</v>
      </c>
      <c r="AQ20" s="21">
        <f>'4-7-13, 2025'!AM24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>
        <v>45500</v>
      </c>
      <c r="AC21" s="22">
        <f>AB21/91*25</f>
        <v>12500</v>
      </c>
      <c r="AD21" s="23">
        <v>10000</v>
      </c>
      <c r="AE21" s="22">
        <f>AD21/200*25</f>
        <v>1250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273</v>
      </c>
      <c r="T22" s="34">
        <f t="shared" ref="T22" si="1">T20+T21</f>
        <v>75</v>
      </c>
      <c r="U22" s="34">
        <f>U20+U21</f>
        <v>0</v>
      </c>
      <c r="V22" s="34">
        <f t="shared" ref="V22" si="2">V20+V21</f>
        <v>0</v>
      </c>
      <c r="W22" s="34">
        <f t="shared" si="0"/>
        <v>4784</v>
      </c>
      <c r="X22" s="34">
        <f>X20+X21</f>
        <v>575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ref="AB22" si="3">AB20+AB21</f>
        <v>45500</v>
      </c>
      <c r="AC22" s="34">
        <f>AC20+AC21</f>
        <v>12500</v>
      </c>
      <c r="AD22" s="34">
        <f t="shared" ref="AD22" si="4">AD20+AD21</f>
        <v>10000</v>
      </c>
      <c r="AE22" s="34">
        <f>AE20+AE21</f>
        <v>1250</v>
      </c>
      <c r="AF22" s="34">
        <f t="shared" si="0"/>
        <v>4300</v>
      </c>
      <c r="AG22" s="34" t="e">
        <f t="shared" si="0"/>
        <v>#REF!</v>
      </c>
      <c r="AH22" s="34">
        <f t="shared" si="0"/>
        <v>1526</v>
      </c>
      <c r="AI22" s="34">
        <f t="shared" si="0"/>
        <v>1126</v>
      </c>
      <c r="AJ22" s="34">
        <f t="shared" si="0"/>
        <v>0</v>
      </c>
      <c r="AK22" s="34">
        <f t="shared" si="0"/>
        <v>2999</v>
      </c>
      <c r="AL22" s="34">
        <f t="shared" si="0"/>
        <v>12073</v>
      </c>
      <c r="AM22" s="34">
        <f t="shared" si="0"/>
        <v>0</v>
      </c>
      <c r="AN22" s="34">
        <f t="shared" si="0"/>
        <v>13595</v>
      </c>
      <c r="AO22" s="34">
        <f t="shared" si="0"/>
        <v>4425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>
        <v>273</v>
      </c>
      <c r="T23" s="21">
        <f>S23/91*25</f>
        <v>75</v>
      </c>
      <c r="U23" s="30">
        <v>0</v>
      </c>
      <c r="V23" s="21">
        <f>U23/215*25</f>
        <v>0</v>
      </c>
      <c r="W23" s="30">
        <v>0</v>
      </c>
      <c r="X23" s="22">
        <f>W23/208*25</f>
        <v>0</v>
      </c>
      <c r="Y23" s="22"/>
      <c r="Z23" s="24"/>
      <c r="AA23" s="30"/>
      <c r="AB23" s="30">
        <v>1456</v>
      </c>
      <c r="AC23" s="22">
        <f>AB23/91*25</f>
        <v>400</v>
      </c>
      <c r="AD23" s="30">
        <v>400</v>
      </c>
      <c r="AE23" s="22">
        <f>AD23/200*25</f>
        <v>50</v>
      </c>
      <c r="AF23" s="30">
        <v>1175</v>
      </c>
      <c r="AG23" s="30"/>
      <c r="AH23" s="36">
        <v>88</v>
      </c>
      <c r="AI23" s="22">
        <v>41</v>
      </c>
      <c r="AJ23" s="22"/>
      <c r="AK23" s="30">
        <v>40</v>
      </c>
      <c r="AL23" s="30">
        <v>499</v>
      </c>
      <c r="AM23" s="30"/>
      <c r="AN23" s="30">
        <v>555</v>
      </c>
      <c r="AO23" s="30">
        <v>600</v>
      </c>
      <c r="AP23" s="22"/>
      <c r="AQ23" s="38"/>
    </row>
    <row r="24" spans="2:54" s="3" customFormat="1" ht="100.5" customHeight="1" thickBot="1" x14ac:dyDescent="0.25">
      <c r="B24" s="39">
        <v>45767</v>
      </c>
      <c r="C24" s="336" t="s">
        <v>28</v>
      </c>
      <c r="D24" s="337"/>
      <c r="E24" s="40">
        <f>E22-E23</f>
        <v>0</v>
      </c>
      <c r="F24" s="40">
        <f t="shared" ref="F24:AP24" si="5">F22-F23</f>
        <v>0</v>
      </c>
      <c r="G24" s="40">
        <f>G22-G23</f>
        <v>0</v>
      </c>
      <c r="H24" s="40">
        <f t="shared" si="5"/>
        <v>0</v>
      </c>
      <c r="I24" s="41" t="e">
        <f t="shared" si="5"/>
        <v>#REF!</v>
      </c>
      <c r="J24" s="41" t="e">
        <f t="shared" si="5"/>
        <v>#REF!</v>
      </c>
      <c r="K24" s="41">
        <f>K22-K23</f>
        <v>0</v>
      </c>
      <c r="L24" s="42">
        <f t="shared" ref="L24" si="6">L22-L23</f>
        <v>0</v>
      </c>
      <c r="M24" s="41">
        <f>M22-M23</f>
        <v>0</v>
      </c>
      <c r="N24" s="42">
        <f>N22-N23</f>
        <v>0</v>
      </c>
      <c r="O24" s="41" t="e">
        <f t="shared" ref="O24:V24" si="7">O22-O23</f>
        <v>#REF!</v>
      </c>
      <c r="P24" s="41" t="e">
        <f t="shared" si="7"/>
        <v>#REF!</v>
      </c>
      <c r="Q24" s="40">
        <f>Q22-Q23</f>
        <v>0</v>
      </c>
      <c r="R24" s="40">
        <f t="shared" si="7"/>
        <v>0</v>
      </c>
      <c r="S24" s="40">
        <f>S22-S23</f>
        <v>0</v>
      </c>
      <c r="T24" s="40">
        <f t="shared" ref="T24" si="8">T22-T23</f>
        <v>0</v>
      </c>
      <c r="U24" s="40">
        <f t="shared" si="7"/>
        <v>0</v>
      </c>
      <c r="V24" s="40">
        <f t="shared" si="7"/>
        <v>0</v>
      </c>
      <c r="W24" s="40">
        <f>W22-W23</f>
        <v>4784</v>
      </c>
      <c r="X24" s="40">
        <f>X22-X23</f>
        <v>575</v>
      </c>
      <c r="Y24" s="40">
        <f>Y22-Y23</f>
        <v>0</v>
      </c>
      <c r="Z24" s="42">
        <f t="shared" ref="Z24" si="9">Z22-Z23</f>
        <v>0</v>
      </c>
      <c r="AA24" s="41" t="e">
        <f t="shared" si="5"/>
        <v>#REF!</v>
      </c>
      <c r="AB24" s="40">
        <f>AB22-AB23</f>
        <v>44044</v>
      </c>
      <c r="AC24" s="40">
        <f>AC22-AC23</f>
        <v>12100</v>
      </c>
      <c r="AD24" s="40">
        <f>AD22-AD23</f>
        <v>9600</v>
      </c>
      <c r="AE24" s="40">
        <f>AE22-AE23</f>
        <v>1200</v>
      </c>
      <c r="AF24" s="41">
        <f>AF22-AF23</f>
        <v>3125</v>
      </c>
      <c r="AG24" s="41" t="e">
        <f t="shared" si="5"/>
        <v>#REF!</v>
      </c>
      <c r="AH24" s="93">
        <f>AH22-AH23</f>
        <v>1438</v>
      </c>
      <c r="AI24" s="40">
        <f t="shared" si="5"/>
        <v>1085</v>
      </c>
      <c r="AJ24" s="40">
        <f t="shared" si="5"/>
        <v>0</v>
      </c>
      <c r="AK24" s="41">
        <f t="shared" si="5"/>
        <v>2959</v>
      </c>
      <c r="AL24" s="41">
        <f t="shared" si="5"/>
        <v>11574</v>
      </c>
      <c r="AM24" s="41">
        <f t="shared" si="5"/>
        <v>0</v>
      </c>
      <c r="AN24" s="41">
        <f>AN22-AN23</f>
        <v>13040</v>
      </c>
      <c r="AO24" s="41">
        <f t="shared" si="5"/>
        <v>3825</v>
      </c>
      <c r="AP24" s="40">
        <f t="shared" si="5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Y27" s="45" t="s">
        <v>30</v>
      </c>
      <c r="AB27" s="45" t="s">
        <v>56</v>
      </c>
      <c r="AL27" s="45" t="s">
        <v>57</v>
      </c>
      <c r="AM27" s="47"/>
      <c r="AN27" s="47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B28" s="49"/>
      <c r="AD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B29" s="49"/>
      <c r="AD29" s="49"/>
      <c r="AM29" s="49"/>
      <c r="AN29" s="49"/>
      <c r="AO29" s="49"/>
      <c r="AP29" s="49"/>
      <c r="AQ29" s="49"/>
      <c r="AR29" s="46"/>
    </row>
    <row r="30" spans="2:54" s="45" customFormat="1" ht="24" customHeight="1" x14ac:dyDescent="0.4">
      <c r="B30" s="153" t="s">
        <v>111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/>
      <c r="X30" s="155"/>
      <c r="Y30" s="155"/>
      <c r="Z30" s="153"/>
      <c r="AA30" s="155"/>
      <c r="AB30" s="153" t="s">
        <v>107</v>
      </c>
      <c r="AC30" s="155"/>
      <c r="AD30" s="153"/>
      <c r="AE30" s="155"/>
      <c r="AF30" s="155"/>
      <c r="AG30" s="155"/>
      <c r="AH30" s="155"/>
      <c r="AJ30" s="155"/>
      <c r="AL30" s="156" t="s">
        <v>117</v>
      </c>
      <c r="AM30" s="155"/>
      <c r="AN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/>
      <c r="X31" s="155"/>
      <c r="Y31" s="155"/>
      <c r="Z31" s="154"/>
      <c r="AA31" s="154"/>
      <c r="AB31" s="157" t="s">
        <v>34</v>
      </c>
      <c r="AC31" s="155"/>
      <c r="AD31" s="157"/>
      <c r="AE31" s="155"/>
      <c r="AF31" s="155"/>
      <c r="AG31" s="155"/>
      <c r="AH31" s="155"/>
      <c r="AJ31" s="155"/>
      <c r="AL31" s="154" t="s">
        <v>118</v>
      </c>
      <c r="AM31" s="154"/>
      <c r="AN31" s="154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/>
      <c r="X32" s="155"/>
      <c r="Y32" s="155"/>
      <c r="Z32" s="154"/>
      <c r="AA32" s="154"/>
      <c r="AB32" s="157" t="s">
        <v>46</v>
      </c>
      <c r="AC32" s="155"/>
      <c r="AD32" s="157"/>
      <c r="AE32" s="155"/>
      <c r="AF32" s="154"/>
      <c r="AG32" s="154"/>
      <c r="AH32" s="154"/>
      <c r="AJ32" s="155"/>
      <c r="AL32" s="154" t="s">
        <v>46</v>
      </c>
      <c r="AM32" s="154"/>
      <c r="AN32" s="15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112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/>
      <c r="X33" s="154"/>
      <c r="Y33" s="154"/>
      <c r="Z33" s="154"/>
      <c r="AA33" s="154" t="s">
        <v>51</v>
      </c>
      <c r="AB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B16:AC16"/>
    <mergeCell ref="AB17:AC17"/>
    <mergeCell ref="AB18:AC18"/>
    <mergeCell ref="AD16:AE16"/>
    <mergeCell ref="AD17:AE17"/>
    <mergeCell ref="AD18:AE18"/>
    <mergeCell ref="Y16:Z16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M16:N16"/>
    <mergeCell ref="O16:P16"/>
    <mergeCell ref="Q16:R16"/>
    <mergeCell ref="S16:T16"/>
    <mergeCell ref="U16:V16"/>
    <mergeCell ref="W16:X16"/>
    <mergeCell ref="W17:X17"/>
    <mergeCell ref="Y17:Z17"/>
    <mergeCell ref="E18:F18"/>
    <mergeCell ref="G18:H18"/>
    <mergeCell ref="I18:J18"/>
    <mergeCell ref="K18:L18"/>
    <mergeCell ref="M18:N18"/>
    <mergeCell ref="O18:P18"/>
    <mergeCell ref="Q18:R18"/>
    <mergeCell ref="S18:T18"/>
    <mergeCell ref="B23:D23"/>
    <mergeCell ref="C24:D24"/>
    <mergeCell ref="U18:V18"/>
    <mergeCell ref="W18:X18"/>
    <mergeCell ref="Y18:Z18"/>
    <mergeCell ref="C20:D20"/>
    <mergeCell ref="B21:D21"/>
    <mergeCell ref="B22:D22"/>
  </mergeCells>
  <pageMargins left="0.78740157480314965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0">
    <tabColor theme="0"/>
  </sheetPr>
  <dimension ref="A10:BB49"/>
  <sheetViews>
    <sheetView topLeftCell="A19" zoomScale="70" zoomScaleNormal="70" workbookViewId="0">
      <selection activeCell="D30" sqref="D30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159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194" t="s">
        <v>13</v>
      </c>
    </row>
    <row r="17" spans="2:4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91</v>
      </c>
      <c r="AC17" s="333"/>
      <c r="AD17" s="332">
        <v>200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4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/>
      <c r="AC18" s="333"/>
      <c r="AD18" s="332"/>
      <c r="AE18" s="333"/>
      <c r="AF18" s="10"/>
      <c r="AG18" s="10"/>
      <c r="AH18" s="10"/>
      <c r="AI18" s="8"/>
      <c r="AJ18" s="10"/>
      <c r="AK18" s="195"/>
      <c r="AL18" s="195"/>
      <c r="AM18" s="10"/>
      <c r="AN18" s="10"/>
      <c r="AO18" s="10"/>
      <c r="AP18" s="10"/>
      <c r="AQ18" s="10"/>
    </row>
    <row r="19" spans="2:4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45" ht="68.25" customHeight="1" x14ac:dyDescent="0.3">
      <c r="B20" s="56">
        <v>45768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'4-14-20, 2025'!S24</f>
        <v>0</v>
      </c>
      <c r="T20" s="21">
        <f>'4-14-20, 2025'!T24</f>
        <v>0</v>
      </c>
      <c r="U20" s="21">
        <f>'4-14-20, 2025'!U24</f>
        <v>0</v>
      </c>
      <c r="V20" s="21">
        <f>'4-14-20, 2025'!V24</f>
        <v>0</v>
      </c>
      <c r="W20" s="21">
        <f>'4-14-20, 2025'!W24</f>
        <v>4784</v>
      </c>
      <c r="X20" s="21">
        <f>'4-14-20, 2025'!X24</f>
        <v>575</v>
      </c>
      <c r="Y20" s="21">
        <f>'4-14-20, 2025'!Y24</f>
        <v>0</v>
      </c>
      <c r="Z20" s="21">
        <f>'4-14-20, 2025'!Z24</f>
        <v>0</v>
      </c>
      <c r="AA20" s="21" t="e">
        <f>'4-14-20, 2025'!AA24</f>
        <v>#REF!</v>
      </c>
      <c r="AB20" s="21">
        <f>'4-14-20, 2025'!AB24</f>
        <v>44044</v>
      </c>
      <c r="AC20" s="21">
        <f>'4-14-20, 2025'!AC24</f>
        <v>12100</v>
      </c>
      <c r="AD20" s="21">
        <f>'4-14-20, 2025'!AD24</f>
        <v>9600</v>
      </c>
      <c r="AE20" s="21">
        <f>'4-14-20, 2025'!AE24</f>
        <v>1200</v>
      </c>
      <c r="AF20" s="21">
        <f>'4-14-20, 2025'!AF24</f>
        <v>3125</v>
      </c>
      <c r="AG20" s="21" t="e">
        <f>'4-14-20, 2025'!AG24</f>
        <v>#REF!</v>
      </c>
      <c r="AH20" s="21">
        <f>'4-14-20, 2025'!AH24</f>
        <v>1438</v>
      </c>
      <c r="AI20" s="21">
        <f>'4-14-20, 2025'!AI24</f>
        <v>1085</v>
      </c>
      <c r="AJ20" s="21">
        <f>'4-14-20, 2025'!AJ24</f>
        <v>0</v>
      </c>
      <c r="AK20" s="21">
        <f>'4-14-20, 2025'!AK24</f>
        <v>2959</v>
      </c>
      <c r="AL20" s="21">
        <f>'4-14-20, 2025'!AL24</f>
        <v>11574</v>
      </c>
      <c r="AM20" s="21">
        <f>'4-14-20, 2025'!AM24</f>
        <v>0</v>
      </c>
      <c r="AN20" s="21">
        <f>'4-14-20, 2025'!AN24</f>
        <v>13040</v>
      </c>
      <c r="AO20" s="21">
        <f>'4-14-20, 2025'!AO24</f>
        <v>3825</v>
      </c>
      <c r="AP20" s="21">
        <f>'4-14-20, 2025'!AP24</f>
        <v>0</v>
      </c>
      <c r="AQ20" s="21">
        <f>'4-14-20, 2025'!AQ24</f>
        <v>96</v>
      </c>
      <c r="AR20" s="28"/>
    </row>
    <row r="21" spans="2:4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4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4784</v>
      </c>
      <c r="X22" s="34">
        <f>X20+X21</f>
        <v>575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44044</v>
      </c>
      <c r="AC22" s="34">
        <f>AC20+AC21</f>
        <v>12100</v>
      </c>
      <c r="AD22" s="34">
        <f t="shared" ref="AD22" si="3">AD20+AD21</f>
        <v>9600</v>
      </c>
      <c r="AE22" s="34">
        <f>AE20+AE21</f>
        <v>1200</v>
      </c>
      <c r="AF22" s="34">
        <f t="shared" si="0"/>
        <v>3125</v>
      </c>
      <c r="AG22" s="34" t="e">
        <f t="shared" si="0"/>
        <v>#REF!</v>
      </c>
      <c r="AH22" s="34">
        <f t="shared" si="0"/>
        <v>1438</v>
      </c>
      <c r="AI22" s="34">
        <f t="shared" si="0"/>
        <v>1085</v>
      </c>
      <c r="AJ22" s="34">
        <f t="shared" si="0"/>
        <v>0</v>
      </c>
      <c r="AK22" s="34">
        <f t="shared" si="0"/>
        <v>2959</v>
      </c>
      <c r="AL22" s="34">
        <f t="shared" si="0"/>
        <v>11574</v>
      </c>
      <c r="AM22" s="34">
        <f t="shared" si="0"/>
        <v>0</v>
      </c>
      <c r="AN22" s="34">
        <f t="shared" si="0"/>
        <v>13040</v>
      </c>
      <c r="AO22" s="34">
        <f t="shared" si="0"/>
        <v>3825</v>
      </c>
      <c r="AP22" s="34">
        <f t="shared" si="0"/>
        <v>0</v>
      </c>
      <c r="AQ22" s="165">
        <f t="shared" si="0"/>
        <v>96</v>
      </c>
    </row>
    <row r="23" spans="2:4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4784</v>
      </c>
      <c r="X23" s="22">
        <f>W23/208*25</f>
        <v>575</v>
      </c>
      <c r="Y23" s="22"/>
      <c r="Z23" s="24"/>
      <c r="AA23" s="30"/>
      <c r="AB23" s="30">
        <v>1274</v>
      </c>
      <c r="AC23" s="22">
        <f>AB23/91*25</f>
        <v>350</v>
      </c>
      <c r="AD23" s="30">
        <v>600</v>
      </c>
      <c r="AE23" s="22">
        <f>AD23/200*25</f>
        <v>75</v>
      </c>
      <c r="AF23" s="30">
        <v>600</v>
      </c>
      <c r="AG23" s="30"/>
      <c r="AH23" s="36">
        <v>111</v>
      </c>
      <c r="AI23" s="22">
        <v>54</v>
      </c>
      <c r="AJ23" s="22"/>
      <c r="AK23" s="30">
        <v>457</v>
      </c>
      <c r="AL23" s="30">
        <v>234</v>
      </c>
      <c r="AM23" s="30"/>
      <c r="AN23" s="30">
        <v>720</v>
      </c>
      <c r="AO23" s="30">
        <v>375</v>
      </c>
      <c r="AP23" s="22"/>
      <c r="AQ23" s="38"/>
    </row>
    <row r="24" spans="2:45" s="3" customFormat="1" ht="100.5" customHeight="1" thickBot="1" x14ac:dyDescent="0.25">
      <c r="B24" s="39">
        <v>45774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42770</v>
      </c>
      <c r="AC24" s="40">
        <f>AC22-AC23</f>
        <v>11750</v>
      </c>
      <c r="AD24" s="40">
        <f>AD22-AD23</f>
        <v>9000</v>
      </c>
      <c r="AE24" s="40">
        <f>AE22-AE23</f>
        <v>1125</v>
      </c>
      <c r="AF24" s="41">
        <f>AF22-AF23</f>
        <v>2525</v>
      </c>
      <c r="AG24" s="41" t="e">
        <f t="shared" si="4"/>
        <v>#REF!</v>
      </c>
      <c r="AH24" s="93">
        <f>AH22-AH23</f>
        <v>1327</v>
      </c>
      <c r="AI24" s="40">
        <f t="shared" si="4"/>
        <v>1031</v>
      </c>
      <c r="AJ24" s="40">
        <f t="shared" si="4"/>
        <v>0</v>
      </c>
      <c r="AK24" s="41">
        <f t="shared" si="4"/>
        <v>2502</v>
      </c>
      <c r="AL24" s="41">
        <f t="shared" si="4"/>
        <v>11340</v>
      </c>
      <c r="AM24" s="41">
        <f t="shared" si="4"/>
        <v>0</v>
      </c>
      <c r="AN24" s="41">
        <f>AN22-AN23</f>
        <v>12320</v>
      </c>
      <c r="AO24" s="41">
        <f t="shared" si="4"/>
        <v>3450</v>
      </c>
      <c r="AP24" s="40">
        <f t="shared" si="4"/>
        <v>0</v>
      </c>
      <c r="AQ24" s="44">
        <f>AQ22-AQ23</f>
        <v>96</v>
      </c>
    </row>
    <row r="25" spans="2:4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45" ht="24.75" customHeight="1" x14ac:dyDescent="0.3">
      <c r="E26" s="77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2:45" ht="24.75" customHeight="1" x14ac:dyDescent="0.3">
      <c r="E27" s="77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2:45" ht="24.75" customHeight="1" x14ac:dyDescent="0.3"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M28" s="29"/>
      <c r="AN28" s="29"/>
      <c r="AO28" s="29"/>
      <c r="AP28" s="29"/>
      <c r="AQ28" s="29"/>
    </row>
    <row r="29" spans="2:45" s="45" customFormat="1" ht="24" customHeight="1" x14ac:dyDescent="0.35">
      <c r="B29" s="45" t="s">
        <v>29</v>
      </c>
      <c r="P29" s="46"/>
      <c r="Q29" s="135"/>
      <c r="S29" s="135"/>
      <c r="Y29" s="45" t="s">
        <v>30</v>
      </c>
      <c r="AB29" s="45" t="s">
        <v>56</v>
      </c>
      <c r="AI29" s="45" t="s">
        <v>57</v>
      </c>
      <c r="AJ29" s="47"/>
      <c r="AK29" s="47"/>
      <c r="AL29" s="47"/>
      <c r="AM29" s="46"/>
      <c r="AN29" s="46"/>
      <c r="AO29" s="47"/>
      <c r="AP29" s="46"/>
      <c r="AQ29" s="46"/>
    </row>
    <row r="30" spans="2:45" s="45" customFormat="1" ht="37.5" customHeight="1" x14ac:dyDescent="0.35">
      <c r="B30" s="48"/>
      <c r="C30" s="46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V30" s="49"/>
      <c r="W30" s="49"/>
      <c r="Y30" s="49"/>
      <c r="Z30" s="49"/>
      <c r="AB30" s="49"/>
      <c r="AD30" s="49"/>
      <c r="AJ30" s="49"/>
      <c r="AK30" s="49"/>
      <c r="AL30" s="49"/>
      <c r="AM30" s="49"/>
      <c r="AN30" s="49"/>
      <c r="AO30" s="49"/>
      <c r="AP30" s="49"/>
      <c r="AQ30" s="49"/>
      <c r="AR30" s="46"/>
    </row>
    <row r="31" spans="2:45" s="45" customFormat="1" ht="14.25" customHeight="1" x14ac:dyDescent="0.35">
      <c r="B31" s="48"/>
      <c r="C31" s="46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V31" s="49"/>
      <c r="W31" s="49"/>
      <c r="Y31" s="49"/>
      <c r="Z31" s="49"/>
      <c r="AB31" s="49"/>
      <c r="AD31" s="49"/>
      <c r="AJ31" s="49"/>
      <c r="AK31" s="49"/>
      <c r="AL31" s="49"/>
      <c r="AM31" s="49"/>
      <c r="AN31" s="49"/>
      <c r="AO31" s="49"/>
      <c r="AP31" s="49"/>
      <c r="AQ31" s="49"/>
      <c r="AR31" s="46"/>
    </row>
    <row r="32" spans="2:45" s="45" customFormat="1" ht="24" customHeight="1" x14ac:dyDescent="0.4">
      <c r="B32" s="153" t="s">
        <v>111</v>
      </c>
      <c r="C32" s="154"/>
      <c r="D32" s="155"/>
      <c r="E32" s="155"/>
      <c r="F32" s="155"/>
      <c r="G32" s="155"/>
      <c r="H32" s="155"/>
      <c r="I32" s="156"/>
      <c r="J32" s="156"/>
      <c r="K32" s="156"/>
      <c r="L32" s="155"/>
      <c r="M32" s="155"/>
      <c r="N32" s="155"/>
      <c r="O32" s="154"/>
      <c r="P32" s="154"/>
      <c r="Q32" s="154"/>
      <c r="R32" s="153"/>
      <c r="S32" s="154"/>
      <c r="T32" s="153"/>
      <c r="V32" s="155"/>
      <c r="W32" s="153"/>
      <c r="X32" s="155"/>
      <c r="Y32" s="155"/>
      <c r="Z32" s="153"/>
      <c r="AA32" s="155"/>
      <c r="AB32" s="153" t="s">
        <v>31</v>
      </c>
      <c r="AC32" s="155"/>
      <c r="AD32" s="153"/>
      <c r="AE32" s="155"/>
      <c r="AF32" s="155"/>
      <c r="AG32" s="155"/>
      <c r="AH32" s="155"/>
      <c r="AI32" s="156" t="s">
        <v>117</v>
      </c>
      <c r="AJ32" s="155"/>
      <c r="AK32" s="155"/>
      <c r="AL32" s="155"/>
      <c r="AO32" s="155"/>
      <c r="AR32" s="46"/>
    </row>
    <row r="33" spans="2:54" s="45" customFormat="1" ht="21.75" customHeight="1" x14ac:dyDescent="0.4">
      <c r="B33" s="157" t="s">
        <v>44</v>
      </c>
      <c r="C33" s="154"/>
      <c r="D33" s="154"/>
      <c r="E33" s="155"/>
      <c r="F33" s="155"/>
      <c r="G33" s="155"/>
      <c r="H33" s="155"/>
      <c r="I33" s="154"/>
      <c r="J33" s="154"/>
      <c r="K33" s="154"/>
      <c r="L33" s="154"/>
      <c r="M33" s="154"/>
      <c r="N33" s="154"/>
      <c r="O33" s="154"/>
      <c r="P33" s="154"/>
      <c r="Q33" s="154"/>
      <c r="R33" s="157"/>
      <c r="S33" s="154"/>
      <c r="T33" s="157"/>
      <c r="V33" s="155"/>
      <c r="W33" s="157"/>
      <c r="X33" s="155"/>
      <c r="Y33" s="155"/>
      <c r="Z33" s="154"/>
      <c r="AA33" s="154"/>
      <c r="AB33" s="157" t="s">
        <v>64</v>
      </c>
      <c r="AC33" s="155"/>
      <c r="AD33" s="157"/>
      <c r="AE33" s="155"/>
      <c r="AF33" s="155"/>
      <c r="AG33" s="155"/>
      <c r="AH33" s="155"/>
      <c r="AI33" s="154" t="s">
        <v>118</v>
      </c>
      <c r="AJ33" s="154"/>
      <c r="AK33" s="154"/>
      <c r="AL33" s="154"/>
      <c r="AM33" s="46"/>
      <c r="AN33" s="46"/>
      <c r="AO33" s="154"/>
      <c r="AP33" s="46"/>
      <c r="AQ33" s="46"/>
    </row>
    <row r="34" spans="2:54" s="45" customFormat="1" ht="26.25" customHeight="1" x14ac:dyDescent="0.4">
      <c r="B34" s="157" t="s">
        <v>33</v>
      </c>
      <c r="C34" s="154"/>
      <c r="D34" s="154"/>
      <c r="E34" s="155"/>
      <c r="F34" s="155"/>
      <c r="G34" s="155"/>
      <c r="H34" s="155"/>
      <c r="I34" s="154"/>
      <c r="J34" s="154"/>
      <c r="K34" s="154"/>
      <c r="L34" s="154"/>
      <c r="M34" s="154"/>
      <c r="N34" s="154"/>
      <c r="O34" s="154"/>
      <c r="P34" s="154"/>
      <c r="Q34" s="154"/>
      <c r="R34" s="157"/>
      <c r="S34" s="154"/>
      <c r="T34" s="157"/>
      <c r="V34" s="155"/>
      <c r="W34" s="157"/>
      <c r="X34" s="155"/>
      <c r="Y34" s="155"/>
      <c r="Z34" s="154"/>
      <c r="AA34" s="154"/>
      <c r="AB34" s="157" t="s">
        <v>46</v>
      </c>
      <c r="AC34" s="155"/>
      <c r="AD34" s="157"/>
      <c r="AE34" s="155"/>
      <c r="AF34" s="154"/>
      <c r="AG34" s="154"/>
      <c r="AH34" s="154"/>
      <c r="AI34" s="154" t="s">
        <v>46</v>
      </c>
      <c r="AJ34" s="154"/>
      <c r="AK34" s="154"/>
      <c r="AL34" s="154"/>
      <c r="AM34" s="83"/>
      <c r="AN34" s="84"/>
      <c r="AO34" s="154"/>
      <c r="AP34" s="83"/>
      <c r="AQ34" s="84"/>
      <c r="AR34" s="85"/>
      <c r="AS34" s="86"/>
      <c r="AT34" s="87"/>
      <c r="AU34" s="86"/>
      <c r="AV34" s="88"/>
      <c r="AW34" s="84"/>
      <c r="AX34" s="84"/>
      <c r="AY34" s="86"/>
      <c r="AZ34" s="86"/>
      <c r="BA34" s="86"/>
      <c r="BB34" s="84"/>
    </row>
    <row r="35" spans="2:54" s="46" customFormat="1" ht="24" customHeight="1" x14ac:dyDescent="0.4">
      <c r="B35" s="157" t="s">
        <v>112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V35" s="154"/>
      <c r="W35" s="154"/>
      <c r="X35" s="154"/>
      <c r="Y35" s="154"/>
      <c r="Z35" s="154"/>
      <c r="AA35" s="154" t="s">
        <v>51</v>
      </c>
      <c r="AB35" s="154" t="s">
        <v>65</v>
      </c>
      <c r="AC35" s="154"/>
      <c r="AD35" s="154"/>
      <c r="AE35" s="154"/>
      <c r="AF35" s="154"/>
      <c r="AG35" s="158"/>
      <c r="AH35" s="158"/>
      <c r="AI35" s="154"/>
      <c r="AJ35" s="159"/>
      <c r="AK35" s="154"/>
      <c r="AL35" s="154"/>
      <c r="AM35" s="154"/>
      <c r="AN35" s="154"/>
      <c r="AO35" s="154"/>
    </row>
    <row r="36" spans="2:54" s="46" customFormat="1" ht="24" customHeight="1" x14ac:dyDescent="0.35">
      <c r="B36" s="45"/>
      <c r="C36" s="45"/>
      <c r="D36" s="45"/>
      <c r="E36" s="45"/>
      <c r="F36" s="45"/>
      <c r="G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X36" s="45"/>
      <c r="Y36" s="45"/>
      <c r="Z36" s="45"/>
      <c r="AA36" s="45"/>
      <c r="AC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52"/>
    </row>
    <row r="38" spans="2:54" ht="22.5" x14ac:dyDescent="0.35">
      <c r="C38" s="55"/>
      <c r="D38" s="55"/>
      <c r="E38" s="55"/>
      <c r="F38" s="55"/>
    </row>
    <row r="39" spans="2:54" ht="15.75" customHeight="1" x14ac:dyDescent="0.3"/>
    <row r="42" spans="2:54" ht="15.75" customHeight="1" x14ac:dyDescent="0.3"/>
    <row r="44" spans="2:54" ht="22.5" x14ac:dyDescent="0.35"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</row>
    <row r="46" spans="2:54" s="55" customFormat="1" ht="22.5" x14ac:dyDescent="0.3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9" spans="2:2" ht="22.5" x14ac:dyDescent="0.35">
      <c r="B49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78740157480314965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1">
    <tabColor theme="0"/>
  </sheetPr>
  <dimension ref="A10:BB49"/>
  <sheetViews>
    <sheetView topLeftCell="A19" zoomScale="70" zoomScaleNormal="70" workbookViewId="0">
      <selection activeCell="S28" sqref="S28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160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196" t="s">
        <v>13</v>
      </c>
    </row>
    <row r="17" spans="2:4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4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197"/>
      <c r="AL18" s="197"/>
      <c r="AM18" s="10"/>
      <c r="AN18" s="10"/>
      <c r="AO18" s="10"/>
      <c r="AP18" s="10"/>
      <c r="AQ18" s="10"/>
    </row>
    <row r="19" spans="2:4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45" ht="68.25" customHeight="1" x14ac:dyDescent="0.3">
      <c r="B20" s="56">
        <v>45775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'4-21-27, 2025'!S24</f>
        <v>0</v>
      </c>
      <c r="T20" s="21">
        <f>'4-21-27, 2025'!T24</f>
        <v>0</v>
      </c>
      <c r="U20" s="21">
        <f>'4-21-27, 2025'!U24</f>
        <v>0</v>
      </c>
      <c r="V20" s="21">
        <f>'4-21-27, 2025'!V24</f>
        <v>0</v>
      </c>
      <c r="W20" s="21">
        <f>'4-21-27, 2025'!W24</f>
        <v>0</v>
      </c>
      <c r="X20" s="21">
        <f>'4-21-27, 2025'!X24</f>
        <v>0</v>
      </c>
      <c r="Y20" s="21">
        <f>'4-21-27, 2025'!Y24</f>
        <v>0</v>
      </c>
      <c r="Z20" s="21">
        <f>'4-21-27, 2025'!Z24</f>
        <v>0</v>
      </c>
      <c r="AA20" s="21" t="e">
        <f>'4-21-27, 2025'!AA24</f>
        <v>#REF!</v>
      </c>
      <c r="AB20" s="21">
        <f>'4-21-27, 2025'!AB24</f>
        <v>42770</v>
      </c>
      <c r="AC20" s="21">
        <f>'4-21-27, 2025'!AC24</f>
        <v>11750</v>
      </c>
      <c r="AD20" s="21">
        <f>'4-21-27, 2025'!AD24</f>
        <v>9000</v>
      </c>
      <c r="AE20" s="21">
        <f>'4-21-27, 2025'!AE24</f>
        <v>1125</v>
      </c>
      <c r="AF20" s="21">
        <f>'4-21-27, 2025'!AF24</f>
        <v>2525</v>
      </c>
      <c r="AG20" s="21" t="e">
        <f>'4-21-27, 2025'!AG24</f>
        <v>#REF!</v>
      </c>
      <c r="AH20" s="21">
        <f>'4-21-27, 2025'!AH24</f>
        <v>1327</v>
      </c>
      <c r="AI20" s="21">
        <f>'4-21-27, 2025'!AI24</f>
        <v>1031</v>
      </c>
      <c r="AJ20" s="21">
        <f>'4-21-27, 2025'!AJ24</f>
        <v>0</v>
      </c>
      <c r="AK20" s="21">
        <f>'4-21-27, 2025'!AK24</f>
        <v>2502</v>
      </c>
      <c r="AL20" s="21">
        <f>'4-21-27, 2025'!AL24</f>
        <v>11340</v>
      </c>
      <c r="AM20" s="21">
        <f>'4-21-27, 2025'!AM24</f>
        <v>0</v>
      </c>
      <c r="AN20" s="21">
        <f>'4-21-27, 2025'!AN24</f>
        <v>12320</v>
      </c>
      <c r="AO20" s="21">
        <f>'4-21-27, 2025'!AO24</f>
        <v>3450</v>
      </c>
      <c r="AP20" s="21">
        <f>'4-21-27, 2025'!AP24</f>
        <v>0</v>
      </c>
      <c r="AQ20" s="21">
        <f>'4-21-27, 2025'!AQ24</f>
        <v>96</v>
      </c>
      <c r="AR20" s="28"/>
    </row>
    <row r="21" spans="2:4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>
        <v>20000</v>
      </c>
      <c r="AE21" s="22">
        <f>AD21/200*25</f>
        <v>2500</v>
      </c>
      <c r="AF21" s="23">
        <f>200*25</f>
        <v>5000</v>
      </c>
      <c r="AG21" s="23"/>
      <c r="AH21" s="23"/>
      <c r="AI21" s="23">
        <v>200</v>
      </c>
      <c r="AJ21" s="23"/>
      <c r="AK21" s="23">
        <v>1080</v>
      </c>
      <c r="AL21" s="23"/>
      <c r="AM21" s="31"/>
      <c r="AN21" s="31"/>
      <c r="AO21" s="31"/>
      <c r="AP21" s="23"/>
      <c r="AQ21" s="32"/>
      <c r="AS21" s="33"/>
    </row>
    <row r="22" spans="2:4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42770</v>
      </c>
      <c r="AC22" s="34">
        <f>AC20+AC21</f>
        <v>11750</v>
      </c>
      <c r="AD22" s="34">
        <f t="shared" ref="AD22" si="3">AD20+AD21</f>
        <v>29000</v>
      </c>
      <c r="AE22" s="34">
        <f>AE20+AE21</f>
        <v>3625</v>
      </c>
      <c r="AF22" s="34">
        <f t="shared" si="0"/>
        <v>7525</v>
      </c>
      <c r="AG22" s="34" t="e">
        <f t="shared" si="0"/>
        <v>#REF!</v>
      </c>
      <c r="AH22" s="34">
        <f t="shared" si="0"/>
        <v>1327</v>
      </c>
      <c r="AI22" s="34">
        <f t="shared" si="0"/>
        <v>1231</v>
      </c>
      <c r="AJ22" s="34">
        <f t="shared" si="0"/>
        <v>0</v>
      </c>
      <c r="AK22" s="34">
        <f t="shared" si="0"/>
        <v>3582</v>
      </c>
      <c r="AL22" s="34">
        <f t="shared" si="0"/>
        <v>11340</v>
      </c>
      <c r="AM22" s="34">
        <f t="shared" si="0"/>
        <v>0</v>
      </c>
      <c r="AN22" s="34">
        <f t="shared" si="0"/>
        <v>12320</v>
      </c>
      <c r="AO22" s="34">
        <f t="shared" si="0"/>
        <v>3450</v>
      </c>
      <c r="AP22" s="34">
        <f t="shared" si="0"/>
        <v>0</v>
      </c>
      <c r="AQ22" s="165">
        <f t="shared" si="0"/>
        <v>96</v>
      </c>
    </row>
    <row r="23" spans="2:4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3003</v>
      </c>
      <c r="AC23" s="22">
        <f>AB23/91*25</f>
        <v>825</v>
      </c>
      <c r="AD23" s="30">
        <v>400</v>
      </c>
      <c r="AE23" s="22">
        <f>AD23/200*25</f>
        <v>50</v>
      </c>
      <c r="AF23" s="30">
        <v>1075</v>
      </c>
      <c r="AG23" s="30"/>
      <c r="AH23" s="36">
        <v>122</v>
      </c>
      <c r="AI23" s="22">
        <v>59</v>
      </c>
      <c r="AJ23" s="22"/>
      <c r="AK23" s="30">
        <v>145</v>
      </c>
      <c r="AL23" s="30">
        <v>449</v>
      </c>
      <c r="AM23" s="30"/>
      <c r="AN23" s="30">
        <v>730</v>
      </c>
      <c r="AO23" s="30">
        <v>675</v>
      </c>
      <c r="AP23" s="22"/>
      <c r="AQ23" s="38"/>
    </row>
    <row r="24" spans="2:45" s="3" customFormat="1" ht="100.5" customHeight="1" thickBot="1" x14ac:dyDescent="0.25">
      <c r="B24" s="39">
        <v>45781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39767</v>
      </c>
      <c r="AC24" s="40">
        <f>AC22-AC23</f>
        <v>10925</v>
      </c>
      <c r="AD24" s="40">
        <f>AD22-AD23</f>
        <v>28600</v>
      </c>
      <c r="AE24" s="40">
        <f>AE22-AE23</f>
        <v>3575</v>
      </c>
      <c r="AF24" s="41">
        <f>AF22-AF23</f>
        <v>6450</v>
      </c>
      <c r="AG24" s="41" t="e">
        <f t="shared" si="4"/>
        <v>#REF!</v>
      </c>
      <c r="AH24" s="93">
        <f>AH22-AH23</f>
        <v>1205</v>
      </c>
      <c r="AI24" s="40">
        <f t="shared" si="4"/>
        <v>1172</v>
      </c>
      <c r="AJ24" s="40">
        <f t="shared" si="4"/>
        <v>0</v>
      </c>
      <c r="AK24" s="41">
        <f t="shared" si="4"/>
        <v>3437</v>
      </c>
      <c r="AL24" s="41">
        <f t="shared" si="4"/>
        <v>10891</v>
      </c>
      <c r="AM24" s="41">
        <f t="shared" si="4"/>
        <v>0</v>
      </c>
      <c r="AN24" s="41">
        <f>AN22-AN23</f>
        <v>11590</v>
      </c>
      <c r="AO24" s="41">
        <f t="shared" si="4"/>
        <v>2775</v>
      </c>
      <c r="AP24" s="40">
        <f t="shared" si="4"/>
        <v>0</v>
      </c>
      <c r="AQ24" s="44">
        <f>AQ22-AQ23</f>
        <v>96</v>
      </c>
    </row>
    <row r="25" spans="2:4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45" ht="24.75" customHeight="1" x14ac:dyDescent="0.3">
      <c r="E26" s="77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2:45" ht="24.75" customHeight="1" x14ac:dyDescent="0.3">
      <c r="E27" s="77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2:45" ht="24.75" customHeight="1" x14ac:dyDescent="0.3"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M28" s="29"/>
      <c r="AN28" s="29"/>
      <c r="AO28" s="29"/>
      <c r="AP28" s="29"/>
      <c r="AQ28" s="29"/>
    </row>
    <row r="29" spans="2:45" s="45" customFormat="1" ht="24" customHeight="1" x14ac:dyDescent="0.35">
      <c r="B29" s="45" t="s">
        <v>29</v>
      </c>
      <c r="P29" s="46"/>
      <c r="Q29" s="135"/>
      <c r="S29" s="135"/>
      <c r="Y29" s="45" t="s">
        <v>30</v>
      </c>
      <c r="AB29" s="45" t="s">
        <v>56</v>
      </c>
      <c r="AI29" s="45" t="s">
        <v>57</v>
      </c>
      <c r="AJ29" s="47"/>
      <c r="AK29" s="47"/>
      <c r="AL29" s="47"/>
      <c r="AM29" s="46"/>
      <c r="AN29" s="46"/>
      <c r="AO29" s="47"/>
      <c r="AP29" s="46"/>
      <c r="AQ29" s="46"/>
    </row>
    <row r="30" spans="2:45" s="45" customFormat="1" ht="37.5" customHeight="1" x14ac:dyDescent="0.35">
      <c r="B30" s="48"/>
      <c r="C30" s="46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V30" s="49"/>
      <c r="W30" s="49"/>
      <c r="Y30" s="49"/>
      <c r="Z30" s="49"/>
      <c r="AB30" s="49"/>
      <c r="AD30" s="49"/>
      <c r="AJ30" s="49"/>
      <c r="AK30" s="49"/>
      <c r="AL30" s="49"/>
      <c r="AM30" s="49"/>
      <c r="AN30" s="49"/>
      <c r="AO30" s="49"/>
      <c r="AP30" s="49"/>
      <c r="AQ30" s="49"/>
      <c r="AR30" s="46"/>
    </row>
    <row r="31" spans="2:45" s="45" customFormat="1" ht="14.25" customHeight="1" x14ac:dyDescent="0.35">
      <c r="B31" s="48"/>
      <c r="C31" s="46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V31" s="49"/>
      <c r="W31" s="49"/>
      <c r="Y31" s="49"/>
      <c r="Z31" s="49"/>
      <c r="AB31" s="49"/>
      <c r="AD31" s="49"/>
      <c r="AJ31" s="49"/>
      <c r="AK31" s="49"/>
      <c r="AL31" s="49"/>
      <c r="AM31" s="49"/>
      <c r="AN31" s="49"/>
      <c r="AO31" s="49"/>
      <c r="AP31" s="49"/>
      <c r="AQ31" s="49"/>
      <c r="AR31" s="46"/>
    </row>
    <row r="32" spans="2:45" s="45" customFormat="1" ht="24" customHeight="1" x14ac:dyDescent="0.4">
      <c r="B32" s="153" t="s">
        <v>111</v>
      </c>
      <c r="C32" s="154"/>
      <c r="D32" s="155"/>
      <c r="E32" s="155"/>
      <c r="F32" s="155"/>
      <c r="G32" s="155"/>
      <c r="H32" s="155"/>
      <c r="I32" s="156"/>
      <c r="J32" s="156"/>
      <c r="K32" s="156"/>
      <c r="L32" s="155"/>
      <c r="M32" s="155"/>
      <c r="N32" s="155"/>
      <c r="O32" s="154"/>
      <c r="P32" s="154"/>
      <c r="Q32" s="154"/>
      <c r="R32" s="153"/>
      <c r="S32" s="154"/>
      <c r="T32" s="153"/>
      <c r="V32" s="155"/>
      <c r="W32" s="153"/>
      <c r="X32" s="155"/>
      <c r="Y32" s="155"/>
      <c r="Z32" s="153"/>
      <c r="AA32" s="155"/>
      <c r="AB32" s="153" t="s">
        <v>31</v>
      </c>
      <c r="AC32" s="155"/>
      <c r="AD32" s="153"/>
      <c r="AE32" s="155"/>
      <c r="AF32" s="155"/>
      <c r="AG32" s="155"/>
      <c r="AH32" s="155"/>
      <c r="AI32" s="156" t="s">
        <v>117</v>
      </c>
      <c r="AJ32" s="155"/>
      <c r="AK32" s="155"/>
      <c r="AL32" s="155"/>
      <c r="AO32" s="155"/>
      <c r="AR32" s="46"/>
    </row>
    <row r="33" spans="2:54" s="45" customFormat="1" ht="21.75" customHeight="1" x14ac:dyDescent="0.4">
      <c r="B33" s="157" t="s">
        <v>44</v>
      </c>
      <c r="C33" s="154"/>
      <c r="D33" s="154"/>
      <c r="E33" s="155"/>
      <c r="F33" s="155"/>
      <c r="G33" s="155"/>
      <c r="H33" s="155"/>
      <c r="I33" s="154"/>
      <c r="J33" s="154"/>
      <c r="K33" s="154"/>
      <c r="L33" s="154"/>
      <c r="M33" s="154"/>
      <c r="N33" s="154"/>
      <c r="O33" s="154"/>
      <c r="P33" s="154"/>
      <c r="Q33" s="154"/>
      <c r="R33" s="157"/>
      <c r="S33" s="154"/>
      <c r="T33" s="157"/>
      <c r="V33" s="155"/>
      <c r="W33" s="157"/>
      <c r="X33" s="155"/>
      <c r="Y33" s="155"/>
      <c r="Z33" s="154"/>
      <c r="AA33" s="154"/>
      <c r="AB33" s="157" t="s">
        <v>64</v>
      </c>
      <c r="AC33" s="155"/>
      <c r="AD33" s="157"/>
      <c r="AE33" s="155"/>
      <c r="AF33" s="155"/>
      <c r="AG33" s="155"/>
      <c r="AH33" s="155"/>
      <c r="AI33" s="154" t="s">
        <v>118</v>
      </c>
      <c r="AJ33" s="154"/>
      <c r="AK33" s="154"/>
      <c r="AL33" s="154"/>
      <c r="AM33" s="46"/>
      <c r="AN33" s="46"/>
      <c r="AO33" s="154"/>
      <c r="AP33" s="46"/>
      <c r="AQ33" s="46"/>
    </row>
    <row r="34" spans="2:54" s="45" customFormat="1" ht="26.25" customHeight="1" x14ac:dyDescent="0.4">
      <c r="B34" s="157" t="s">
        <v>33</v>
      </c>
      <c r="C34" s="154"/>
      <c r="D34" s="154"/>
      <c r="E34" s="155"/>
      <c r="F34" s="155"/>
      <c r="G34" s="155"/>
      <c r="H34" s="155"/>
      <c r="I34" s="154"/>
      <c r="J34" s="154"/>
      <c r="K34" s="154"/>
      <c r="L34" s="154"/>
      <c r="M34" s="154"/>
      <c r="N34" s="154"/>
      <c r="O34" s="154"/>
      <c r="P34" s="154"/>
      <c r="Q34" s="154"/>
      <c r="R34" s="157"/>
      <c r="S34" s="154"/>
      <c r="T34" s="157"/>
      <c r="V34" s="155"/>
      <c r="W34" s="157"/>
      <c r="X34" s="155"/>
      <c r="Y34" s="155"/>
      <c r="Z34" s="154"/>
      <c r="AA34" s="154"/>
      <c r="AB34" s="157" t="s">
        <v>46</v>
      </c>
      <c r="AC34" s="155"/>
      <c r="AD34" s="157"/>
      <c r="AE34" s="155"/>
      <c r="AF34" s="154"/>
      <c r="AG34" s="154"/>
      <c r="AH34" s="154"/>
      <c r="AI34" s="154" t="s">
        <v>46</v>
      </c>
      <c r="AJ34" s="154"/>
      <c r="AK34" s="154"/>
      <c r="AL34" s="154"/>
      <c r="AM34" s="83"/>
      <c r="AN34" s="84"/>
      <c r="AO34" s="154"/>
      <c r="AP34" s="83"/>
      <c r="AQ34" s="84"/>
      <c r="AR34" s="85"/>
      <c r="AS34" s="86"/>
      <c r="AT34" s="87"/>
      <c r="AU34" s="86"/>
      <c r="AV34" s="88"/>
      <c r="AW34" s="84"/>
      <c r="AX34" s="84"/>
      <c r="AY34" s="86"/>
      <c r="AZ34" s="86"/>
      <c r="BA34" s="86"/>
      <c r="BB34" s="84"/>
    </row>
    <row r="35" spans="2:54" s="46" customFormat="1" ht="24" customHeight="1" x14ac:dyDescent="0.4">
      <c r="B35" s="157" t="s">
        <v>112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V35" s="154"/>
      <c r="W35" s="154"/>
      <c r="X35" s="154"/>
      <c r="Y35" s="154"/>
      <c r="Z35" s="154"/>
      <c r="AA35" s="154" t="s">
        <v>51</v>
      </c>
      <c r="AB35" s="154" t="s">
        <v>65</v>
      </c>
      <c r="AC35" s="154"/>
      <c r="AD35" s="154"/>
      <c r="AE35" s="154"/>
      <c r="AF35" s="154"/>
      <c r="AG35" s="158"/>
      <c r="AH35" s="158"/>
      <c r="AI35" s="154"/>
      <c r="AJ35" s="159"/>
      <c r="AK35" s="154"/>
      <c r="AL35" s="154"/>
      <c r="AM35" s="154"/>
      <c r="AN35" s="154"/>
      <c r="AO35" s="154"/>
    </row>
    <row r="36" spans="2:54" s="46" customFormat="1" ht="24" customHeight="1" x14ac:dyDescent="0.35">
      <c r="B36" s="45"/>
      <c r="C36" s="45"/>
      <c r="D36" s="45"/>
      <c r="E36" s="45"/>
      <c r="F36" s="45"/>
      <c r="G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X36" s="45"/>
      <c r="Y36" s="45"/>
      <c r="Z36" s="45"/>
      <c r="AA36" s="45"/>
      <c r="AC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52"/>
    </row>
    <row r="38" spans="2:54" ht="22.5" x14ac:dyDescent="0.35">
      <c r="C38" s="55"/>
      <c r="D38" s="55"/>
      <c r="E38" s="55"/>
      <c r="F38" s="55"/>
    </row>
    <row r="39" spans="2:54" ht="15.75" customHeight="1" x14ac:dyDescent="0.3"/>
    <row r="42" spans="2:54" ht="15.75" customHeight="1" x14ac:dyDescent="0.3"/>
    <row r="44" spans="2:54" ht="22.5" x14ac:dyDescent="0.35"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</row>
    <row r="46" spans="2:54" s="55" customFormat="1" ht="22.5" x14ac:dyDescent="0.3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9" spans="2:2" ht="22.5" x14ac:dyDescent="0.35">
      <c r="B49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78740157480314965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2">
    <tabColor theme="0"/>
  </sheetPr>
  <dimension ref="A10:BB49"/>
  <sheetViews>
    <sheetView topLeftCell="A16" zoomScale="70" zoomScaleNormal="70" workbookViewId="0">
      <selection activeCell="AB35" sqref="AB35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161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198" t="s">
        <v>13</v>
      </c>
    </row>
    <row r="17" spans="2:4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4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199"/>
      <c r="AL18" s="199"/>
      <c r="AM18" s="10"/>
      <c r="AN18" s="10"/>
      <c r="AO18" s="10"/>
      <c r="AP18" s="10"/>
      <c r="AQ18" s="10"/>
    </row>
    <row r="19" spans="2:4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45" ht="68.25" customHeight="1" x14ac:dyDescent="0.3">
      <c r="B20" s="56">
        <v>45782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'4-28-MAY 4, 2025'!S24</f>
        <v>0</v>
      </c>
      <c r="T20" s="21">
        <f>'4-28-MAY 4, 2025'!T24</f>
        <v>0</v>
      </c>
      <c r="U20" s="21">
        <f>'4-28-MAY 4, 2025'!U24</f>
        <v>0</v>
      </c>
      <c r="V20" s="21">
        <f>'4-28-MAY 4, 2025'!V24</f>
        <v>0</v>
      </c>
      <c r="W20" s="21">
        <f>'4-28-MAY 4, 2025'!W24</f>
        <v>0</v>
      </c>
      <c r="X20" s="21">
        <f>'4-28-MAY 4, 2025'!X24</f>
        <v>0</v>
      </c>
      <c r="Y20" s="21">
        <f>'4-28-MAY 4, 2025'!Y24</f>
        <v>0</v>
      </c>
      <c r="Z20" s="21">
        <f>'4-28-MAY 4, 2025'!Z24</f>
        <v>0</v>
      </c>
      <c r="AA20" s="21" t="e">
        <f>'4-28-MAY 4, 2025'!AA24</f>
        <v>#REF!</v>
      </c>
      <c r="AB20" s="21">
        <f>'4-28-MAY 4, 2025'!AB24</f>
        <v>39767</v>
      </c>
      <c r="AC20" s="21">
        <f>'4-28-MAY 4, 2025'!AC24</f>
        <v>10925</v>
      </c>
      <c r="AD20" s="21">
        <f>'4-28-MAY 4, 2025'!AD24</f>
        <v>28600</v>
      </c>
      <c r="AE20" s="21">
        <f>'4-28-MAY 4, 2025'!AE24</f>
        <v>3575</v>
      </c>
      <c r="AF20" s="21">
        <f>'4-28-MAY 4, 2025'!AF24</f>
        <v>6450</v>
      </c>
      <c r="AG20" s="21" t="e">
        <f>'4-28-MAY 4, 2025'!AG24</f>
        <v>#REF!</v>
      </c>
      <c r="AH20" s="21">
        <f>'4-28-MAY 4, 2025'!AH24</f>
        <v>1205</v>
      </c>
      <c r="AI20" s="21">
        <f>'4-28-MAY 4, 2025'!AI24</f>
        <v>1172</v>
      </c>
      <c r="AJ20" s="21">
        <f>'4-28-MAY 4, 2025'!AJ24</f>
        <v>0</v>
      </c>
      <c r="AK20" s="21">
        <f>'4-28-MAY 4, 2025'!AK24</f>
        <v>3437</v>
      </c>
      <c r="AL20" s="21">
        <f>'4-28-MAY 4, 2025'!AL24</f>
        <v>10891</v>
      </c>
      <c r="AM20" s="21">
        <f>'4-28-MAY 4, 2025'!AM24</f>
        <v>0</v>
      </c>
      <c r="AN20" s="21">
        <f>'4-28-MAY 4, 2025'!AN24</f>
        <v>11590</v>
      </c>
      <c r="AO20" s="21">
        <f>'4-28-MAY 4, 2025'!AO24</f>
        <v>2775</v>
      </c>
      <c r="AP20" s="21">
        <f>'4-28-MAY 4, 2025'!AP24</f>
        <v>0</v>
      </c>
      <c r="AQ20" s="21">
        <f>'4-28-MAY 4, 2025'!AQ24</f>
        <v>96</v>
      </c>
      <c r="AR20" s="28"/>
    </row>
    <row r="21" spans="2:4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4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39767</v>
      </c>
      <c r="AC22" s="34">
        <f>AC20+AC21</f>
        <v>10925</v>
      </c>
      <c r="AD22" s="34">
        <f t="shared" ref="AD22" si="3">AD20+AD21</f>
        <v>28600</v>
      </c>
      <c r="AE22" s="34">
        <f>AE20+AE21</f>
        <v>3575</v>
      </c>
      <c r="AF22" s="34">
        <f t="shared" si="0"/>
        <v>6450</v>
      </c>
      <c r="AG22" s="34" t="e">
        <f t="shared" si="0"/>
        <v>#REF!</v>
      </c>
      <c r="AH22" s="34">
        <f t="shared" si="0"/>
        <v>1205</v>
      </c>
      <c r="AI22" s="34">
        <f t="shared" si="0"/>
        <v>1172</v>
      </c>
      <c r="AJ22" s="34">
        <f t="shared" si="0"/>
        <v>0</v>
      </c>
      <c r="AK22" s="34">
        <f t="shared" si="0"/>
        <v>3437</v>
      </c>
      <c r="AL22" s="34">
        <f t="shared" si="0"/>
        <v>10891</v>
      </c>
      <c r="AM22" s="34">
        <f t="shared" si="0"/>
        <v>0</v>
      </c>
      <c r="AN22" s="34">
        <f t="shared" si="0"/>
        <v>11590</v>
      </c>
      <c r="AO22" s="34">
        <f t="shared" si="0"/>
        <v>2775</v>
      </c>
      <c r="AP22" s="34">
        <f t="shared" si="0"/>
        <v>0</v>
      </c>
      <c r="AQ22" s="165">
        <f t="shared" si="0"/>
        <v>96</v>
      </c>
    </row>
    <row r="23" spans="2:4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3367</v>
      </c>
      <c r="AC23" s="22">
        <f>AB23/91*25</f>
        <v>925</v>
      </c>
      <c r="AD23" s="30">
        <v>600</v>
      </c>
      <c r="AE23" s="22">
        <f>AD23/200*25</f>
        <v>75</v>
      </c>
      <c r="AF23" s="30">
        <v>1500</v>
      </c>
      <c r="AG23" s="30"/>
      <c r="AH23" s="36">
        <v>105</v>
      </c>
      <c r="AI23" s="22">
        <v>61</v>
      </c>
      <c r="AJ23" s="22"/>
      <c r="AK23" s="30">
        <v>46</v>
      </c>
      <c r="AL23" s="30">
        <v>559</v>
      </c>
      <c r="AM23" s="30"/>
      <c r="AN23" s="30">
        <v>650</v>
      </c>
      <c r="AO23" s="30">
        <v>600</v>
      </c>
      <c r="AP23" s="22"/>
      <c r="AQ23" s="38">
        <v>0</v>
      </c>
    </row>
    <row r="24" spans="2:45" s="3" customFormat="1" ht="100.5" customHeight="1" thickBot="1" x14ac:dyDescent="0.25">
      <c r="B24" s="39">
        <v>45788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36400</v>
      </c>
      <c r="AC24" s="40">
        <f>AC22-AC23</f>
        <v>10000</v>
      </c>
      <c r="AD24" s="40">
        <f>AD22-AD23</f>
        <v>28000</v>
      </c>
      <c r="AE24" s="40">
        <f>AE22-AE23</f>
        <v>3500</v>
      </c>
      <c r="AF24" s="41">
        <f>AF22-AF23</f>
        <v>4950</v>
      </c>
      <c r="AG24" s="41" t="e">
        <f t="shared" si="4"/>
        <v>#REF!</v>
      </c>
      <c r="AH24" s="93">
        <f>AH22-AH23</f>
        <v>1100</v>
      </c>
      <c r="AI24" s="40">
        <f t="shared" si="4"/>
        <v>1111</v>
      </c>
      <c r="AJ24" s="40">
        <f t="shared" si="4"/>
        <v>0</v>
      </c>
      <c r="AK24" s="41">
        <f t="shared" si="4"/>
        <v>3391</v>
      </c>
      <c r="AL24" s="41">
        <f t="shared" si="4"/>
        <v>10332</v>
      </c>
      <c r="AM24" s="41">
        <f t="shared" si="4"/>
        <v>0</v>
      </c>
      <c r="AN24" s="41">
        <f>AN22-AN23</f>
        <v>10940</v>
      </c>
      <c r="AO24" s="41">
        <f t="shared" si="4"/>
        <v>2175</v>
      </c>
      <c r="AP24" s="40">
        <f t="shared" si="4"/>
        <v>0</v>
      </c>
      <c r="AQ24" s="44">
        <f>AQ22-AQ23</f>
        <v>96</v>
      </c>
    </row>
    <row r="25" spans="2:4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45" ht="24.75" customHeight="1" x14ac:dyDescent="0.3">
      <c r="E26" s="77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2:45" ht="24.75" customHeight="1" x14ac:dyDescent="0.3">
      <c r="E27" s="77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2:45" ht="24.75" customHeight="1" x14ac:dyDescent="0.3"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M28" s="29"/>
      <c r="AN28" s="29"/>
      <c r="AO28" s="29"/>
      <c r="AP28" s="29"/>
      <c r="AQ28" s="29"/>
    </row>
    <row r="29" spans="2:45" s="45" customFormat="1" ht="24" customHeight="1" x14ac:dyDescent="0.35">
      <c r="B29" s="45" t="s">
        <v>29</v>
      </c>
      <c r="P29" s="46"/>
      <c r="Q29" s="135"/>
      <c r="S29" s="135"/>
      <c r="Y29" s="45" t="s">
        <v>30</v>
      </c>
      <c r="AB29" s="45" t="s">
        <v>56</v>
      </c>
      <c r="AI29" s="45" t="s">
        <v>57</v>
      </c>
      <c r="AJ29" s="47"/>
      <c r="AK29" s="47"/>
      <c r="AL29" s="47"/>
      <c r="AM29" s="46"/>
      <c r="AN29" s="46"/>
      <c r="AO29" s="47"/>
      <c r="AP29" s="46"/>
      <c r="AQ29" s="46"/>
    </row>
    <row r="30" spans="2:45" s="45" customFormat="1" ht="37.5" customHeight="1" x14ac:dyDescent="0.35">
      <c r="B30" s="48"/>
      <c r="C30" s="46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V30" s="49"/>
      <c r="W30" s="49"/>
      <c r="Y30" s="49"/>
      <c r="Z30" s="49"/>
      <c r="AB30" s="49"/>
      <c r="AD30" s="49"/>
      <c r="AJ30" s="49"/>
      <c r="AK30" s="49"/>
      <c r="AL30" s="49"/>
      <c r="AM30" s="49"/>
      <c r="AN30" s="49"/>
      <c r="AO30" s="49"/>
      <c r="AP30" s="49"/>
      <c r="AQ30" s="49"/>
      <c r="AR30" s="46"/>
    </row>
    <row r="31" spans="2:45" s="45" customFormat="1" ht="14.25" customHeight="1" x14ac:dyDescent="0.35">
      <c r="B31" s="48"/>
      <c r="C31" s="46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V31" s="49"/>
      <c r="W31" s="49"/>
      <c r="Y31" s="49"/>
      <c r="Z31" s="49"/>
      <c r="AB31" s="49"/>
      <c r="AD31" s="49"/>
      <c r="AJ31" s="49"/>
      <c r="AK31" s="49"/>
      <c r="AL31" s="49"/>
      <c r="AM31" s="49"/>
      <c r="AN31" s="49"/>
      <c r="AO31" s="49"/>
      <c r="AP31" s="49"/>
      <c r="AQ31" s="49"/>
      <c r="AR31" s="46"/>
    </row>
    <row r="32" spans="2:45" s="45" customFormat="1" ht="24" customHeight="1" x14ac:dyDescent="0.4">
      <c r="B32" s="153" t="s">
        <v>111</v>
      </c>
      <c r="C32" s="154"/>
      <c r="D32" s="155"/>
      <c r="E32" s="155"/>
      <c r="F32" s="155"/>
      <c r="G32" s="155"/>
      <c r="H32" s="155"/>
      <c r="I32" s="156"/>
      <c r="J32" s="156"/>
      <c r="K32" s="156"/>
      <c r="L32" s="155"/>
      <c r="M32" s="155"/>
      <c r="N32" s="155"/>
      <c r="O32" s="154"/>
      <c r="P32" s="154"/>
      <c r="Q32" s="154"/>
      <c r="R32" s="153"/>
      <c r="S32" s="154"/>
      <c r="T32" s="153"/>
      <c r="V32" s="155"/>
      <c r="W32" s="153"/>
      <c r="X32" s="155"/>
      <c r="Y32" s="155"/>
      <c r="Z32" s="153"/>
      <c r="AA32" s="155"/>
      <c r="AB32" s="153" t="s">
        <v>31</v>
      </c>
      <c r="AC32" s="155"/>
      <c r="AD32" s="153"/>
      <c r="AE32" s="155"/>
      <c r="AF32" s="155"/>
      <c r="AG32" s="155"/>
      <c r="AH32" s="155"/>
      <c r="AI32" s="156" t="s">
        <v>117</v>
      </c>
      <c r="AJ32" s="155"/>
      <c r="AK32" s="155"/>
      <c r="AL32" s="155"/>
      <c r="AO32" s="155"/>
      <c r="AR32" s="46"/>
    </row>
    <row r="33" spans="2:54" s="45" customFormat="1" ht="21.75" customHeight="1" x14ac:dyDescent="0.4">
      <c r="B33" s="157" t="s">
        <v>44</v>
      </c>
      <c r="C33" s="154"/>
      <c r="D33" s="154"/>
      <c r="E33" s="155"/>
      <c r="F33" s="155"/>
      <c r="G33" s="155"/>
      <c r="H33" s="155"/>
      <c r="I33" s="154"/>
      <c r="J33" s="154"/>
      <c r="K33" s="154"/>
      <c r="L33" s="154"/>
      <c r="M33" s="154"/>
      <c r="N33" s="154"/>
      <c r="O33" s="154"/>
      <c r="P33" s="154"/>
      <c r="Q33" s="154"/>
      <c r="R33" s="157"/>
      <c r="S33" s="154"/>
      <c r="T33" s="157"/>
      <c r="V33" s="155"/>
      <c r="W33" s="157"/>
      <c r="X33" s="155"/>
      <c r="Y33" s="155"/>
      <c r="Z33" s="154"/>
      <c r="AA33" s="154"/>
      <c r="AB33" s="157" t="s">
        <v>64</v>
      </c>
      <c r="AC33" s="155"/>
      <c r="AD33" s="157"/>
      <c r="AE33" s="155"/>
      <c r="AF33" s="155"/>
      <c r="AG33" s="155"/>
      <c r="AH33" s="155"/>
      <c r="AI33" s="154" t="s">
        <v>118</v>
      </c>
      <c r="AJ33" s="154"/>
      <c r="AK33" s="154"/>
      <c r="AL33" s="154"/>
      <c r="AM33" s="46"/>
      <c r="AN33" s="46"/>
      <c r="AO33" s="154"/>
      <c r="AP33" s="46"/>
      <c r="AQ33" s="46"/>
    </row>
    <row r="34" spans="2:54" s="45" customFormat="1" ht="26.25" customHeight="1" x14ac:dyDescent="0.4">
      <c r="B34" s="157" t="s">
        <v>33</v>
      </c>
      <c r="C34" s="154"/>
      <c r="D34" s="154"/>
      <c r="E34" s="155"/>
      <c r="F34" s="155"/>
      <c r="G34" s="155"/>
      <c r="H34" s="155"/>
      <c r="I34" s="154"/>
      <c r="J34" s="154"/>
      <c r="K34" s="154"/>
      <c r="L34" s="154"/>
      <c r="M34" s="154"/>
      <c r="N34" s="154"/>
      <c r="O34" s="154"/>
      <c r="P34" s="154"/>
      <c r="Q34" s="154"/>
      <c r="R34" s="157"/>
      <c r="S34" s="154"/>
      <c r="T34" s="157"/>
      <c r="V34" s="155"/>
      <c r="W34" s="157"/>
      <c r="X34" s="155"/>
      <c r="Y34" s="155"/>
      <c r="Z34" s="154"/>
      <c r="AA34" s="154"/>
      <c r="AB34" s="157" t="s">
        <v>46</v>
      </c>
      <c r="AC34" s="155"/>
      <c r="AD34" s="157"/>
      <c r="AE34" s="155"/>
      <c r="AF34" s="154"/>
      <c r="AG34" s="154"/>
      <c r="AH34" s="154"/>
      <c r="AI34" s="154" t="s">
        <v>46</v>
      </c>
      <c r="AJ34" s="154"/>
      <c r="AK34" s="154"/>
      <c r="AL34" s="154"/>
      <c r="AM34" s="83"/>
      <c r="AN34" s="84"/>
      <c r="AO34" s="154"/>
      <c r="AP34" s="83"/>
      <c r="AQ34" s="84"/>
      <c r="AR34" s="85"/>
      <c r="AS34" s="86"/>
      <c r="AT34" s="87"/>
      <c r="AU34" s="86"/>
      <c r="AV34" s="88"/>
      <c r="AW34" s="84"/>
      <c r="AX34" s="84"/>
      <c r="AY34" s="86"/>
      <c r="AZ34" s="86"/>
      <c r="BA34" s="86"/>
      <c r="BB34" s="84"/>
    </row>
    <row r="35" spans="2:54" s="46" customFormat="1" ht="24" customHeight="1" x14ac:dyDescent="0.4">
      <c r="B35" s="157" t="s">
        <v>112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V35" s="154"/>
      <c r="W35" s="154"/>
      <c r="X35" s="154"/>
      <c r="Y35" s="154"/>
      <c r="Z35" s="154"/>
      <c r="AA35" s="154" t="s">
        <v>51</v>
      </c>
      <c r="AB35" s="154" t="s">
        <v>65</v>
      </c>
      <c r="AC35" s="154"/>
      <c r="AD35" s="154"/>
      <c r="AE35" s="154"/>
      <c r="AF35" s="154"/>
      <c r="AG35" s="158"/>
      <c r="AH35" s="158"/>
      <c r="AI35" s="154"/>
      <c r="AJ35" s="159"/>
      <c r="AK35" s="154"/>
      <c r="AL35" s="154"/>
      <c r="AM35" s="154"/>
      <c r="AN35" s="154"/>
      <c r="AO35" s="154"/>
    </row>
    <row r="36" spans="2:54" s="46" customFormat="1" ht="24" customHeight="1" x14ac:dyDescent="0.35">
      <c r="B36" s="45"/>
      <c r="C36" s="45"/>
      <c r="D36" s="45"/>
      <c r="E36" s="45"/>
      <c r="F36" s="45"/>
      <c r="G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X36" s="45"/>
      <c r="Y36" s="45"/>
      <c r="Z36" s="45"/>
      <c r="AA36" s="45"/>
      <c r="AC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52"/>
    </row>
    <row r="38" spans="2:54" ht="22.5" x14ac:dyDescent="0.35">
      <c r="C38" s="55"/>
      <c r="D38" s="55"/>
      <c r="E38" s="55"/>
      <c r="F38" s="55"/>
    </row>
    <row r="39" spans="2:54" ht="15.75" customHeight="1" x14ac:dyDescent="0.3"/>
    <row r="42" spans="2:54" ht="15.75" customHeight="1" x14ac:dyDescent="0.3"/>
    <row r="44" spans="2:54" ht="22.5" x14ac:dyDescent="0.35"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</row>
    <row r="46" spans="2:54" s="55" customFormat="1" ht="22.5" x14ac:dyDescent="0.3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9" spans="2:2" ht="22.5" x14ac:dyDescent="0.35">
      <c r="B49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78740157480314965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3">
    <tabColor theme="0"/>
  </sheetPr>
  <dimension ref="A10:BB49"/>
  <sheetViews>
    <sheetView topLeftCell="A16" zoomScale="70" zoomScaleNormal="70" workbookViewId="0">
      <selection activeCell="AB35" sqref="AB35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162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00" t="s">
        <v>13</v>
      </c>
    </row>
    <row r="17" spans="2:4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4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01"/>
      <c r="AL18" s="201"/>
      <c r="AM18" s="10"/>
      <c r="AN18" s="10"/>
      <c r="AO18" s="10"/>
      <c r="AP18" s="10"/>
      <c r="AQ18" s="10"/>
    </row>
    <row r="19" spans="2:4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45" ht="68.25" customHeight="1" x14ac:dyDescent="0.3">
      <c r="B20" s="56">
        <v>45789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'5-5-11, 2025'!S24</f>
        <v>0</v>
      </c>
      <c r="T20" s="21">
        <f>'5-5-11, 2025'!T24</f>
        <v>0</v>
      </c>
      <c r="U20" s="21">
        <f>'5-5-11, 2025'!U24</f>
        <v>0</v>
      </c>
      <c r="V20" s="21">
        <f>'5-5-11, 2025'!V24</f>
        <v>0</v>
      </c>
      <c r="W20" s="21">
        <f>'5-5-11, 2025'!W24</f>
        <v>0</v>
      </c>
      <c r="X20" s="21">
        <f>'5-5-11, 2025'!X24</f>
        <v>0</v>
      </c>
      <c r="Y20" s="21">
        <f>'5-5-11, 2025'!Y24</f>
        <v>0</v>
      </c>
      <c r="Z20" s="21">
        <f>'5-5-11, 2025'!Z24</f>
        <v>0</v>
      </c>
      <c r="AA20" s="21" t="e">
        <f>'5-5-11, 2025'!AA24</f>
        <v>#REF!</v>
      </c>
      <c r="AB20" s="21">
        <f>'5-5-11, 2025'!AB24</f>
        <v>36400</v>
      </c>
      <c r="AC20" s="21">
        <f>'5-5-11, 2025'!AC24</f>
        <v>10000</v>
      </c>
      <c r="AD20" s="21">
        <f>'5-5-11, 2025'!AD24</f>
        <v>28000</v>
      </c>
      <c r="AE20" s="21">
        <f>'5-5-11, 2025'!AE24</f>
        <v>3500</v>
      </c>
      <c r="AF20" s="21">
        <f>'5-5-11, 2025'!AF24</f>
        <v>4950</v>
      </c>
      <c r="AG20" s="21" t="e">
        <f>'5-5-11, 2025'!AG24</f>
        <v>#REF!</v>
      </c>
      <c r="AH20" s="21">
        <f>'5-5-11, 2025'!AH24</f>
        <v>1100</v>
      </c>
      <c r="AI20" s="21">
        <v>911</v>
      </c>
      <c r="AJ20" s="21">
        <f>'5-5-11, 2025'!AJ24</f>
        <v>0</v>
      </c>
      <c r="AK20" s="21">
        <f>'5-5-11, 2025'!AK24</f>
        <v>3391</v>
      </c>
      <c r="AL20" s="21">
        <f>'5-5-11, 2025'!AL24</f>
        <v>10332</v>
      </c>
      <c r="AM20" s="21">
        <f>'5-5-11, 2025'!AM24</f>
        <v>0</v>
      </c>
      <c r="AN20" s="21">
        <f>'5-5-11, 2025'!AN24</f>
        <v>10940</v>
      </c>
      <c r="AO20" s="21">
        <f>'5-5-11, 2025'!AO24</f>
        <v>2175</v>
      </c>
      <c r="AP20" s="21">
        <f>'5-5-11, 2025'!AP24</f>
        <v>0</v>
      </c>
      <c r="AQ20" s="21">
        <f>'5-5-11, 2025'!AQ24</f>
        <v>96</v>
      </c>
      <c r="AR20" s="28"/>
    </row>
    <row r="21" spans="2:4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4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36400</v>
      </c>
      <c r="AC22" s="34">
        <f>AC20+AC21</f>
        <v>10000</v>
      </c>
      <c r="AD22" s="34">
        <f t="shared" ref="AD22" si="3">AD20+AD21</f>
        <v>28000</v>
      </c>
      <c r="AE22" s="34">
        <f>AE20+AE21</f>
        <v>3500</v>
      </c>
      <c r="AF22" s="34">
        <f t="shared" si="0"/>
        <v>4950</v>
      </c>
      <c r="AG22" s="34" t="e">
        <f t="shared" si="0"/>
        <v>#REF!</v>
      </c>
      <c r="AH22" s="34">
        <f t="shared" si="0"/>
        <v>1100</v>
      </c>
      <c r="AI22" s="34">
        <f t="shared" si="0"/>
        <v>911</v>
      </c>
      <c r="AJ22" s="34">
        <f t="shared" si="0"/>
        <v>0</v>
      </c>
      <c r="AK22" s="34">
        <f t="shared" si="0"/>
        <v>3391</v>
      </c>
      <c r="AL22" s="34">
        <f t="shared" si="0"/>
        <v>10332</v>
      </c>
      <c r="AM22" s="34">
        <f t="shared" si="0"/>
        <v>0</v>
      </c>
      <c r="AN22" s="34">
        <f t="shared" si="0"/>
        <v>10940</v>
      </c>
      <c r="AO22" s="34">
        <f t="shared" si="0"/>
        <v>2175</v>
      </c>
      <c r="AP22" s="34">
        <f t="shared" si="0"/>
        <v>0</v>
      </c>
      <c r="AQ22" s="165">
        <f t="shared" si="0"/>
        <v>96</v>
      </c>
    </row>
    <row r="23" spans="2:4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4095</v>
      </c>
      <c r="AC23" s="22">
        <f>AB23/91*25</f>
        <v>1125</v>
      </c>
      <c r="AD23" s="30">
        <v>0</v>
      </c>
      <c r="AE23" s="22">
        <f>AD23/200*25</f>
        <v>0</v>
      </c>
      <c r="AF23" s="30">
        <v>1050</v>
      </c>
      <c r="AG23" s="30"/>
      <c r="AH23" s="36">
        <v>70</v>
      </c>
      <c r="AI23" s="22">
        <v>42</v>
      </c>
      <c r="AJ23" s="22"/>
      <c r="AK23" s="30">
        <v>0</v>
      </c>
      <c r="AL23" s="30">
        <v>509</v>
      </c>
      <c r="AM23" s="30"/>
      <c r="AN23" s="30">
        <v>515</v>
      </c>
      <c r="AO23" s="30">
        <v>525</v>
      </c>
      <c r="AP23" s="22">
        <v>0</v>
      </c>
      <c r="AQ23" s="38">
        <v>0</v>
      </c>
    </row>
    <row r="24" spans="2:45" s="3" customFormat="1" ht="100.5" customHeight="1" thickBot="1" x14ac:dyDescent="0.25">
      <c r="B24" s="39">
        <v>45795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32305</v>
      </c>
      <c r="AC24" s="40">
        <f>AC22-AC23</f>
        <v>8875</v>
      </c>
      <c r="AD24" s="40">
        <f>AD22-AD23</f>
        <v>28000</v>
      </c>
      <c r="AE24" s="40">
        <f>AE22-AE23</f>
        <v>3500</v>
      </c>
      <c r="AF24" s="41">
        <f>AF22-AF23</f>
        <v>3900</v>
      </c>
      <c r="AG24" s="41" t="e">
        <f t="shared" si="4"/>
        <v>#REF!</v>
      </c>
      <c r="AH24" s="93">
        <f>AH22-AH23</f>
        <v>1030</v>
      </c>
      <c r="AI24" s="40">
        <f t="shared" si="4"/>
        <v>869</v>
      </c>
      <c r="AJ24" s="40">
        <f t="shared" si="4"/>
        <v>0</v>
      </c>
      <c r="AK24" s="41">
        <f t="shared" si="4"/>
        <v>3391</v>
      </c>
      <c r="AL24" s="41">
        <f t="shared" si="4"/>
        <v>9823</v>
      </c>
      <c r="AM24" s="41">
        <f t="shared" si="4"/>
        <v>0</v>
      </c>
      <c r="AN24" s="41">
        <f>AN22-AN23</f>
        <v>10425</v>
      </c>
      <c r="AO24" s="41">
        <f t="shared" si="4"/>
        <v>1650</v>
      </c>
      <c r="AP24" s="40">
        <f t="shared" si="4"/>
        <v>0</v>
      </c>
      <c r="AQ24" s="44">
        <f>AQ22-AQ23</f>
        <v>96</v>
      </c>
    </row>
    <row r="25" spans="2:4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45" ht="24.75" customHeight="1" x14ac:dyDescent="0.3">
      <c r="E26" s="77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2:45" ht="24.75" customHeight="1" x14ac:dyDescent="0.3">
      <c r="E27" s="77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2:45" ht="24.75" customHeight="1" x14ac:dyDescent="0.3"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M28" s="29"/>
      <c r="AN28" s="29"/>
      <c r="AO28" s="29"/>
      <c r="AP28" s="29"/>
      <c r="AQ28" s="29"/>
    </row>
    <row r="29" spans="2:45" s="45" customFormat="1" ht="24" customHeight="1" x14ac:dyDescent="0.35">
      <c r="B29" s="45" t="s">
        <v>29</v>
      </c>
      <c r="P29" s="46"/>
      <c r="Q29" s="135"/>
      <c r="S29" s="135"/>
      <c r="Y29" s="45" t="s">
        <v>30</v>
      </c>
      <c r="AB29" s="45" t="s">
        <v>56</v>
      </c>
      <c r="AI29" s="45" t="s">
        <v>57</v>
      </c>
      <c r="AJ29" s="47"/>
      <c r="AK29" s="47"/>
      <c r="AL29" s="47"/>
      <c r="AM29" s="46"/>
      <c r="AN29" s="46"/>
      <c r="AO29" s="47"/>
      <c r="AP29" s="46"/>
      <c r="AQ29" s="46"/>
    </row>
    <row r="30" spans="2:45" s="45" customFormat="1" ht="37.5" customHeight="1" x14ac:dyDescent="0.35">
      <c r="B30" s="48"/>
      <c r="C30" s="46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V30" s="49"/>
      <c r="W30" s="49"/>
      <c r="Y30" s="49"/>
      <c r="Z30" s="49"/>
      <c r="AB30" s="49"/>
      <c r="AD30" s="49"/>
      <c r="AJ30" s="49"/>
      <c r="AK30" s="49"/>
      <c r="AL30" s="49"/>
      <c r="AM30" s="49"/>
      <c r="AN30" s="49"/>
      <c r="AO30" s="49"/>
      <c r="AP30" s="49"/>
      <c r="AQ30" s="49"/>
      <c r="AR30" s="46"/>
    </row>
    <row r="31" spans="2:45" s="45" customFormat="1" ht="14.25" customHeight="1" x14ac:dyDescent="0.35">
      <c r="B31" s="48"/>
      <c r="C31" s="46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V31" s="49"/>
      <c r="W31" s="49"/>
      <c r="Y31" s="49"/>
      <c r="Z31" s="49"/>
      <c r="AB31" s="49"/>
      <c r="AD31" s="49"/>
      <c r="AJ31" s="49"/>
      <c r="AK31" s="49"/>
      <c r="AL31" s="49"/>
      <c r="AM31" s="49"/>
      <c r="AN31" s="49"/>
      <c r="AO31" s="49"/>
      <c r="AP31" s="49"/>
      <c r="AQ31" s="49"/>
      <c r="AR31" s="46"/>
    </row>
    <row r="32" spans="2:45" s="45" customFormat="1" ht="24" customHeight="1" x14ac:dyDescent="0.4">
      <c r="B32" s="153" t="s">
        <v>111</v>
      </c>
      <c r="C32" s="154"/>
      <c r="D32" s="155"/>
      <c r="E32" s="155"/>
      <c r="F32" s="155"/>
      <c r="G32" s="155"/>
      <c r="H32" s="155"/>
      <c r="I32" s="156"/>
      <c r="J32" s="156"/>
      <c r="K32" s="156"/>
      <c r="L32" s="155"/>
      <c r="M32" s="155"/>
      <c r="N32" s="155"/>
      <c r="O32" s="154"/>
      <c r="P32" s="154"/>
      <c r="Q32" s="154"/>
      <c r="R32" s="153"/>
      <c r="S32" s="154"/>
      <c r="T32" s="153"/>
      <c r="V32" s="155"/>
      <c r="W32" s="153"/>
      <c r="X32" s="155"/>
      <c r="Y32" s="155"/>
      <c r="Z32" s="153"/>
      <c r="AA32" s="155"/>
      <c r="AB32" s="153" t="s">
        <v>107</v>
      </c>
      <c r="AC32" s="155"/>
      <c r="AD32" s="153"/>
      <c r="AE32" s="155"/>
      <c r="AF32" s="155"/>
      <c r="AG32" s="155"/>
      <c r="AH32" s="155"/>
      <c r="AI32" s="156" t="s">
        <v>117</v>
      </c>
      <c r="AJ32" s="155"/>
      <c r="AK32" s="155"/>
      <c r="AL32" s="155"/>
      <c r="AO32" s="155"/>
      <c r="AR32" s="46"/>
    </row>
    <row r="33" spans="2:54" s="45" customFormat="1" ht="21.75" customHeight="1" x14ac:dyDescent="0.4">
      <c r="B33" s="157" t="s">
        <v>44</v>
      </c>
      <c r="C33" s="154"/>
      <c r="D33" s="154"/>
      <c r="E33" s="155"/>
      <c r="F33" s="155"/>
      <c r="G33" s="155"/>
      <c r="H33" s="155"/>
      <c r="I33" s="154"/>
      <c r="J33" s="154"/>
      <c r="K33" s="154"/>
      <c r="L33" s="154"/>
      <c r="M33" s="154"/>
      <c r="N33" s="154"/>
      <c r="O33" s="154"/>
      <c r="P33" s="154"/>
      <c r="Q33" s="154"/>
      <c r="R33" s="157"/>
      <c r="S33" s="154"/>
      <c r="T33" s="157"/>
      <c r="V33" s="155"/>
      <c r="W33" s="157"/>
      <c r="X33" s="155"/>
      <c r="Y33" s="155"/>
      <c r="Z33" s="154"/>
      <c r="AA33" s="154"/>
      <c r="AB33" s="157" t="s">
        <v>34</v>
      </c>
      <c r="AC33" s="155"/>
      <c r="AD33" s="157"/>
      <c r="AE33" s="155"/>
      <c r="AF33" s="155"/>
      <c r="AG33" s="155"/>
      <c r="AH33" s="155"/>
      <c r="AI33" s="154" t="s">
        <v>118</v>
      </c>
      <c r="AJ33" s="154"/>
      <c r="AK33" s="154"/>
      <c r="AL33" s="154"/>
      <c r="AM33" s="46"/>
      <c r="AN33" s="46"/>
      <c r="AO33" s="154"/>
      <c r="AP33" s="46"/>
      <c r="AQ33" s="46"/>
    </row>
    <row r="34" spans="2:54" s="45" customFormat="1" ht="26.25" customHeight="1" x14ac:dyDescent="0.4">
      <c r="B34" s="157" t="s">
        <v>33</v>
      </c>
      <c r="C34" s="154"/>
      <c r="D34" s="154"/>
      <c r="E34" s="155"/>
      <c r="F34" s="155"/>
      <c r="G34" s="155"/>
      <c r="H34" s="155"/>
      <c r="I34" s="154"/>
      <c r="J34" s="154"/>
      <c r="K34" s="154"/>
      <c r="L34" s="154"/>
      <c r="M34" s="154"/>
      <c r="N34" s="154"/>
      <c r="O34" s="154"/>
      <c r="P34" s="154"/>
      <c r="Q34" s="154"/>
      <c r="R34" s="157"/>
      <c r="S34" s="154"/>
      <c r="T34" s="157"/>
      <c r="V34" s="155"/>
      <c r="W34" s="157"/>
      <c r="X34" s="155"/>
      <c r="Y34" s="155"/>
      <c r="Z34" s="154"/>
      <c r="AA34" s="154"/>
      <c r="AB34" s="157" t="s">
        <v>46</v>
      </c>
      <c r="AC34" s="155"/>
      <c r="AD34" s="157"/>
      <c r="AE34" s="155"/>
      <c r="AF34" s="154"/>
      <c r="AG34" s="154"/>
      <c r="AH34" s="154"/>
      <c r="AI34" s="154" t="s">
        <v>46</v>
      </c>
      <c r="AJ34" s="154"/>
      <c r="AK34" s="154"/>
      <c r="AL34" s="154"/>
      <c r="AM34" s="83"/>
      <c r="AN34" s="84"/>
      <c r="AO34" s="154"/>
      <c r="AP34" s="83"/>
      <c r="AQ34" s="84"/>
      <c r="AR34" s="85"/>
      <c r="AS34" s="86"/>
      <c r="AT34" s="87"/>
      <c r="AU34" s="86"/>
      <c r="AV34" s="88"/>
      <c r="AW34" s="84"/>
      <c r="AX34" s="84"/>
      <c r="AY34" s="86"/>
      <c r="AZ34" s="86"/>
      <c r="BA34" s="86"/>
      <c r="BB34" s="84"/>
    </row>
    <row r="35" spans="2:54" s="46" customFormat="1" ht="24" customHeight="1" x14ac:dyDescent="0.4">
      <c r="B35" s="157" t="s">
        <v>112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V35" s="154"/>
      <c r="W35" s="154"/>
      <c r="X35" s="154"/>
      <c r="Y35" s="154"/>
      <c r="Z35" s="154"/>
      <c r="AA35" s="154" t="s">
        <v>51</v>
      </c>
      <c r="AB35" s="154" t="s">
        <v>51</v>
      </c>
      <c r="AC35" s="154"/>
      <c r="AD35" s="154"/>
      <c r="AE35" s="154"/>
      <c r="AF35" s="154"/>
      <c r="AG35" s="158"/>
      <c r="AH35" s="158"/>
      <c r="AI35" s="154"/>
      <c r="AJ35" s="159"/>
      <c r="AK35" s="154"/>
      <c r="AL35" s="154"/>
      <c r="AM35" s="154"/>
      <c r="AN35" s="154"/>
      <c r="AO35" s="154"/>
    </row>
    <row r="36" spans="2:54" s="46" customFormat="1" ht="24" customHeight="1" x14ac:dyDescent="0.35">
      <c r="B36" s="45"/>
      <c r="C36" s="45"/>
      <c r="D36" s="45"/>
      <c r="E36" s="45"/>
      <c r="F36" s="45"/>
      <c r="G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X36" s="45"/>
      <c r="Y36" s="45"/>
      <c r="Z36" s="45"/>
      <c r="AA36" s="45"/>
      <c r="AC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52"/>
    </row>
    <row r="38" spans="2:54" ht="22.5" x14ac:dyDescent="0.35">
      <c r="C38" s="55"/>
      <c r="D38" s="55"/>
      <c r="E38" s="55"/>
      <c r="F38" s="55"/>
    </row>
    <row r="39" spans="2:54" ht="15.75" customHeight="1" x14ac:dyDescent="0.3"/>
    <row r="42" spans="2:54" ht="15.75" customHeight="1" x14ac:dyDescent="0.3"/>
    <row r="44" spans="2:54" ht="22.5" x14ac:dyDescent="0.35"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</row>
    <row r="46" spans="2:54" s="55" customFormat="1" ht="22.5" x14ac:dyDescent="0.3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9" spans="2:2" ht="22.5" x14ac:dyDescent="0.35">
      <c r="B49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78740157480314965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4">
    <tabColor theme="0"/>
  </sheetPr>
  <dimension ref="A10:BB49"/>
  <sheetViews>
    <sheetView topLeftCell="A16" zoomScale="70" zoomScaleNormal="70" workbookViewId="0">
      <selection activeCell="B32" sqref="B32:D35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163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02" t="s">
        <v>13</v>
      </c>
    </row>
    <row r="17" spans="2:4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4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03"/>
      <c r="AL18" s="203"/>
      <c r="AM18" s="10"/>
      <c r="AN18" s="10"/>
      <c r="AO18" s="10"/>
      <c r="AP18" s="10"/>
      <c r="AQ18" s="10"/>
    </row>
    <row r="19" spans="2:4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45" ht="68.25" customHeight="1" x14ac:dyDescent="0.3">
      <c r="B20" s="56">
        <v>45796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'5-12-18, 2025'!S24</f>
        <v>0</v>
      </c>
      <c r="T20" s="21">
        <f>'5-12-18, 2025'!T24</f>
        <v>0</v>
      </c>
      <c r="U20" s="21">
        <f>'5-12-18, 2025'!U24</f>
        <v>0</v>
      </c>
      <c r="V20" s="21">
        <f>'5-12-18, 2025'!V24</f>
        <v>0</v>
      </c>
      <c r="W20" s="21">
        <f>'5-12-18, 2025'!W24</f>
        <v>0</v>
      </c>
      <c r="X20" s="21">
        <f>'5-12-18, 2025'!X24</f>
        <v>0</v>
      </c>
      <c r="Y20" s="21">
        <f>'5-12-18, 2025'!Y24</f>
        <v>0</v>
      </c>
      <c r="Z20" s="21">
        <f>'5-12-18, 2025'!Z24</f>
        <v>0</v>
      </c>
      <c r="AA20" s="21" t="e">
        <f>'5-12-18, 2025'!AA24</f>
        <v>#REF!</v>
      </c>
      <c r="AB20" s="21">
        <f>'5-12-18, 2025'!AB24</f>
        <v>32305</v>
      </c>
      <c r="AC20" s="21">
        <f>'5-12-18, 2025'!AC24</f>
        <v>8875</v>
      </c>
      <c r="AD20" s="21">
        <f>'5-12-18, 2025'!AD24</f>
        <v>28000</v>
      </c>
      <c r="AE20" s="21">
        <f>'5-12-18, 2025'!AE24</f>
        <v>3500</v>
      </c>
      <c r="AF20" s="21">
        <f>'5-12-18, 2025'!AF24</f>
        <v>3900</v>
      </c>
      <c r="AG20" s="21" t="e">
        <f>'5-12-18, 2025'!AG24</f>
        <v>#REF!</v>
      </c>
      <c r="AH20" s="21">
        <f>'5-12-18, 2025'!AH24</f>
        <v>1030</v>
      </c>
      <c r="AI20" s="21">
        <f>'5-12-18, 2025'!AI24</f>
        <v>869</v>
      </c>
      <c r="AJ20" s="21">
        <f>'5-12-18, 2025'!AJ24</f>
        <v>0</v>
      </c>
      <c r="AK20" s="21">
        <f>'5-12-18, 2025'!AK24</f>
        <v>3391</v>
      </c>
      <c r="AL20" s="21">
        <f>'5-12-18, 2025'!AL24</f>
        <v>9823</v>
      </c>
      <c r="AM20" s="21">
        <f>'5-12-18, 2025'!AM24</f>
        <v>0</v>
      </c>
      <c r="AN20" s="21">
        <f>'5-12-18, 2025'!AN24</f>
        <v>10425</v>
      </c>
      <c r="AO20" s="21">
        <f>'5-12-18, 2025'!AO24</f>
        <v>1650</v>
      </c>
      <c r="AP20" s="21">
        <f>'5-12-18, 2025'!AP24</f>
        <v>0</v>
      </c>
      <c r="AQ20" s="21">
        <f>'5-12-18, 2025'!AQ24</f>
        <v>96</v>
      </c>
      <c r="AR20" s="28"/>
    </row>
    <row r="21" spans="2:4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4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32305</v>
      </c>
      <c r="AC22" s="34">
        <f>AC20+AC21</f>
        <v>8875</v>
      </c>
      <c r="AD22" s="34">
        <f t="shared" ref="AD22" si="3">AD20+AD21</f>
        <v>28000</v>
      </c>
      <c r="AE22" s="34">
        <f>AE20+AE21</f>
        <v>3500</v>
      </c>
      <c r="AF22" s="34">
        <f t="shared" si="0"/>
        <v>3900</v>
      </c>
      <c r="AG22" s="34" t="e">
        <f t="shared" si="0"/>
        <v>#REF!</v>
      </c>
      <c r="AH22" s="34">
        <f t="shared" si="0"/>
        <v>1030</v>
      </c>
      <c r="AI22" s="34">
        <f t="shared" si="0"/>
        <v>869</v>
      </c>
      <c r="AJ22" s="34">
        <f t="shared" si="0"/>
        <v>0</v>
      </c>
      <c r="AK22" s="34">
        <f t="shared" si="0"/>
        <v>3391</v>
      </c>
      <c r="AL22" s="34">
        <f t="shared" si="0"/>
        <v>9823</v>
      </c>
      <c r="AM22" s="34">
        <f t="shared" si="0"/>
        <v>0</v>
      </c>
      <c r="AN22" s="34">
        <f t="shared" si="0"/>
        <v>10425</v>
      </c>
      <c r="AO22" s="34">
        <f t="shared" si="0"/>
        <v>1650</v>
      </c>
      <c r="AP22" s="34">
        <f t="shared" si="0"/>
        <v>0</v>
      </c>
      <c r="AQ22" s="165">
        <f t="shared" si="0"/>
        <v>96</v>
      </c>
    </row>
    <row r="23" spans="2:4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2548</v>
      </c>
      <c r="AC23" s="22">
        <f>AB23/91*25</f>
        <v>700</v>
      </c>
      <c r="AD23" s="30">
        <v>800</v>
      </c>
      <c r="AE23" s="22">
        <f>AD23/200*25</f>
        <v>100</v>
      </c>
      <c r="AF23" s="30">
        <v>125</v>
      </c>
      <c r="AG23" s="30"/>
      <c r="AH23" s="36">
        <v>50</v>
      </c>
      <c r="AI23" s="22">
        <v>29</v>
      </c>
      <c r="AJ23" s="22"/>
      <c r="AK23" s="30">
        <v>136</v>
      </c>
      <c r="AL23" s="30">
        <v>260</v>
      </c>
      <c r="AM23" s="30"/>
      <c r="AN23" s="30">
        <v>420</v>
      </c>
      <c r="AO23" s="30">
        <v>0</v>
      </c>
      <c r="AP23" s="22">
        <v>0</v>
      </c>
      <c r="AQ23" s="38">
        <v>0</v>
      </c>
    </row>
    <row r="24" spans="2:45" s="3" customFormat="1" ht="100.5" customHeight="1" thickBot="1" x14ac:dyDescent="0.25">
      <c r="B24" s="39">
        <v>45802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29757</v>
      </c>
      <c r="AC24" s="40">
        <f>AC22-AC23</f>
        <v>8175</v>
      </c>
      <c r="AD24" s="40">
        <f>AD22-AD23</f>
        <v>27200</v>
      </c>
      <c r="AE24" s="40">
        <f>AE22-AE23</f>
        <v>3400</v>
      </c>
      <c r="AF24" s="41">
        <f>AF22-AF23</f>
        <v>3775</v>
      </c>
      <c r="AG24" s="41" t="e">
        <f t="shared" si="4"/>
        <v>#REF!</v>
      </c>
      <c r="AH24" s="93">
        <f>AH22-AH23</f>
        <v>980</v>
      </c>
      <c r="AI24" s="40">
        <f t="shared" si="4"/>
        <v>840</v>
      </c>
      <c r="AJ24" s="40">
        <f t="shared" si="4"/>
        <v>0</v>
      </c>
      <c r="AK24" s="41">
        <f t="shared" si="4"/>
        <v>3255</v>
      </c>
      <c r="AL24" s="41">
        <f t="shared" si="4"/>
        <v>9563</v>
      </c>
      <c r="AM24" s="41">
        <f t="shared" si="4"/>
        <v>0</v>
      </c>
      <c r="AN24" s="41">
        <f>AN22-AN23</f>
        <v>10005</v>
      </c>
      <c r="AO24" s="41">
        <f t="shared" si="4"/>
        <v>1650</v>
      </c>
      <c r="AP24" s="40">
        <f t="shared" si="4"/>
        <v>0</v>
      </c>
      <c r="AQ24" s="44">
        <f>AQ22-AQ23</f>
        <v>96</v>
      </c>
    </row>
    <row r="25" spans="2:4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45" ht="24.75" customHeight="1" x14ac:dyDescent="0.3">
      <c r="E26" s="77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2:45" ht="24.75" customHeight="1" x14ac:dyDescent="0.3">
      <c r="E27" s="77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2:45" ht="24.75" customHeight="1" x14ac:dyDescent="0.3"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M28" s="29"/>
      <c r="AN28" s="29"/>
      <c r="AO28" s="29"/>
      <c r="AP28" s="29"/>
      <c r="AQ28" s="29"/>
    </row>
    <row r="29" spans="2:45" s="45" customFormat="1" ht="24" customHeight="1" x14ac:dyDescent="0.35">
      <c r="B29" s="45" t="s">
        <v>29</v>
      </c>
      <c r="P29" s="46"/>
      <c r="Q29" s="135"/>
      <c r="S29" s="135"/>
      <c r="Y29" s="45" t="s">
        <v>30</v>
      </c>
      <c r="AB29" s="45" t="s">
        <v>56</v>
      </c>
      <c r="AI29" s="45" t="s">
        <v>57</v>
      </c>
      <c r="AJ29" s="47"/>
      <c r="AK29" s="47"/>
      <c r="AL29" s="47"/>
      <c r="AM29" s="46"/>
      <c r="AN29" s="46"/>
      <c r="AO29" s="47"/>
      <c r="AP29" s="46"/>
      <c r="AQ29" s="46"/>
    </row>
    <row r="30" spans="2:45" s="45" customFormat="1" ht="37.5" customHeight="1" x14ac:dyDescent="0.35">
      <c r="B30" s="48"/>
      <c r="C30" s="46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V30" s="49"/>
      <c r="W30" s="49"/>
      <c r="Y30" s="49"/>
      <c r="Z30" s="49"/>
      <c r="AB30" s="49"/>
      <c r="AD30" s="49"/>
      <c r="AJ30" s="49"/>
      <c r="AK30" s="49"/>
      <c r="AL30" s="49"/>
      <c r="AM30" s="49"/>
      <c r="AN30" s="49"/>
      <c r="AO30" s="49"/>
      <c r="AP30" s="49"/>
      <c r="AQ30" s="49"/>
      <c r="AR30" s="46"/>
    </row>
    <row r="31" spans="2:45" s="45" customFormat="1" ht="14.25" customHeight="1" x14ac:dyDescent="0.35">
      <c r="B31" s="48"/>
      <c r="C31" s="46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V31" s="49"/>
      <c r="W31" s="49"/>
      <c r="Y31" s="49"/>
      <c r="Z31" s="49"/>
      <c r="AB31" s="49"/>
      <c r="AD31" s="49"/>
      <c r="AJ31" s="49"/>
      <c r="AK31" s="49"/>
      <c r="AL31" s="49"/>
      <c r="AM31" s="49"/>
      <c r="AN31" s="49"/>
      <c r="AO31" s="49"/>
      <c r="AP31" s="49"/>
      <c r="AQ31" s="49"/>
      <c r="AR31" s="46"/>
    </row>
    <row r="32" spans="2:45" s="45" customFormat="1" ht="24" customHeight="1" x14ac:dyDescent="0.4">
      <c r="B32" s="153" t="s">
        <v>168</v>
      </c>
      <c r="C32" s="154"/>
      <c r="D32" s="155"/>
      <c r="E32" s="155"/>
      <c r="F32" s="155"/>
      <c r="G32" s="155"/>
      <c r="H32" s="155"/>
      <c r="I32" s="156"/>
      <c r="J32" s="156"/>
      <c r="K32" s="156"/>
      <c r="L32" s="155"/>
      <c r="M32" s="155"/>
      <c r="N32" s="155"/>
      <c r="O32" s="154"/>
      <c r="P32" s="154"/>
      <c r="Q32" s="154"/>
      <c r="R32" s="153"/>
      <c r="S32" s="154"/>
      <c r="T32" s="153"/>
      <c r="V32" s="155"/>
      <c r="W32" s="153"/>
      <c r="X32" s="155"/>
      <c r="Y32" s="155"/>
      <c r="Z32" s="153"/>
      <c r="AA32" s="155"/>
      <c r="AB32" s="153" t="s">
        <v>31</v>
      </c>
      <c r="AC32" s="155"/>
      <c r="AD32" s="153"/>
      <c r="AE32" s="155"/>
      <c r="AF32" s="155"/>
      <c r="AG32" s="155"/>
      <c r="AH32" s="155"/>
      <c r="AI32" s="156" t="s">
        <v>117</v>
      </c>
      <c r="AJ32" s="155"/>
      <c r="AK32" s="155"/>
      <c r="AL32" s="155"/>
      <c r="AO32" s="155"/>
      <c r="AR32" s="46"/>
    </row>
    <row r="33" spans="2:54" s="45" customFormat="1" ht="21.75" customHeight="1" x14ac:dyDescent="0.4">
      <c r="B33" s="157" t="s">
        <v>44</v>
      </c>
      <c r="C33" s="154"/>
      <c r="D33" s="154"/>
      <c r="E33" s="155"/>
      <c r="F33" s="155"/>
      <c r="G33" s="155"/>
      <c r="H33" s="155"/>
      <c r="I33" s="154"/>
      <c r="J33" s="154"/>
      <c r="K33" s="154"/>
      <c r="L33" s="154"/>
      <c r="M33" s="154"/>
      <c r="N33" s="154"/>
      <c r="O33" s="154"/>
      <c r="P33" s="154"/>
      <c r="Q33" s="154"/>
      <c r="R33" s="157"/>
      <c r="S33" s="154"/>
      <c r="T33" s="157"/>
      <c r="V33" s="155"/>
      <c r="W33" s="157"/>
      <c r="X33" s="155"/>
      <c r="Y33" s="155"/>
      <c r="Z33" s="154"/>
      <c r="AA33" s="154"/>
      <c r="AB33" s="157" t="s">
        <v>64</v>
      </c>
      <c r="AC33" s="155"/>
      <c r="AD33" s="157"/>
      <c r="AE33" s="155"/>
      <c r="AF33" s="155"/>
      <c r="AG33" s="155"/>
      <c r="AH33" s="155"/>
      <c r="AI33" s="154" t="s">
        <v>118</v>
      </c>
      <c r="AJ33" s="154"/>
      <c r="AK33" s="154"/>
      <c r="AL33" s="154"/>
      <c r="AM33" s="46"/>
      <c r="AN33" s="46"/>
      <c r="AO33" s="154"/>
      <c r="AP33" s="46"/>
      <c r="AQ33" s="46"/>
    </row>
    <row r="34" spans="2:54" s="45" customFormat="1" ht="26.25" customHeight="1" x14ac:dyDescent="0.4">
      <c r="B34" s="157" t="s">
        <v>33</v>
      </c>
      <c r="C34" s="154"/>
      <c r="D34" s="154"/>
      <c r="E34" s="155"/>
      <c r="F34" s="155"/>
      <c r="G34" s="155"/>
      <c r="H34" s="155"/>
      <c r="I34" s="154"/>
      <c r="J34" s="154"/>
      <c r="K34" s="154"/>
      <c r="L34" s="154"/>
      <c r="M34" s="154"/>
      <c r="N34" s="154"/>
      <c r="O34" s="154"/>
      <c r="P34" s="154"/>
      <c r="Q34" s="154"/>
      <c r="R34" s="157"/>
      <c r="S34" s="154"/>
      <c r="T34" s="157"/>
      <c r="V34" s="155"/>
      <c r="W34" s="157"/>
      <c r="X34" s="155"/>
      <c r="Y34" s="155"/>
      <c r="Z34" s="154"/>
      <c r="AA34" s="154"/>
      <c r="AB34" s="157" t="s">
        <v>46</v>
      </c>
      <c r="AC34" s="155"/>
      <c r="AD34" s="157"/>
      <c r="AE34" s="155"/>
      <c r="AF34" s="154"/>
      <c r="AG34" s="154"/>
      <c r="AH34" s="154"/>
      <c r="AI34" s="154" t="s">
        <v>46</v>
      </c>
      <c r="AJ34" s="154"/>
      <c r="AK34" s="154"/>
      <c r="AL34" s="154"/>
      <c r="AM34" s="83"/>
      <c r="AN34" s="84"/>
      <c r="AO34" s="154"/>
      <c r="AP34" s="83"/>
      <c r="AQ34" s="84"/>
      <c r="AR34" s="85"/>
      <c r="AS34" s="86"/>
      <c r="AT34" s="87"/>
      <c r="AU34" s="86"/>
      <c r="AV34" s="88"/>
      <c r="AW34" s="84"/>
      <c r="AX34" s="84"/>
      <c r="AY34" s="86"/>
      <c r="AZ34" s="86"/>
      <c r="BA34" s="86"/>
      <c r="BB34" s="84"/>
    </row>
    <row r="35" spans="2:54" s="46" customFormat="1" ht="24" customHeight="1" x14ac:dyDescent="0.4">
      <c r="B35" s="157" t="s">
        <v>164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V35" s="154"/>
      <c r="W35" s="154"/>
      <c r="X35" s="154"/>
      <c r="Y35" s="154"/>
      <c r="Z35" s="154"/>
      <c r="AA35" s="154" t="s">
        <v>51</v>
      </c>
      <c r="AB35" s="154" t="s">
        <v>165</v>
      </c>
      <c r="AC35" s="154"/>
      <c r="AD35" s="154"/>
      <c r="AE35" s="154"/>
      <c r="AF35" s="154"/>
      <c r="AG35" s="158"/>
      <c r="AH35" s="158"/>
      <c r="AI35" s="154"/>
      <c r="AJ35" s="159"/>
      <c r="AK35" s="154"/>
      <c r="AL35" s="154"/>
      <c r="AM35" s="154"/>
      <c r="AN35" s="154"/>
      <c r="AO35" s="154"/>
    </row>
    <row r="36" spans="2:54" s="46" customFormat="1" ht="24" customHeight="1" x14ac:dyDescent="0.35">
      <c r="B36" s="45"/>
      <c r="C36" s="45"/>
      <c r="D36" s="45"/>
      <c r="E36" s="45"/>
      <c r="F36" s="45"/>
      <c r="G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X36" s="45"/>
      <c r="Y36" s="45"/>
      <c r="Z36" s="45"/>
      <c r="AA36" s="45"/>
      <c r="AC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52"/>
    </row>
    <row r="38" spans="2:54" ht="22.5" x14ac:dyDescent="0.35">
      <c r="C38" s="55"/>
      <c r="D38" s="55"/>
      <c r="E38" s="55"/>
      <c r="F38" s="55"/>
    </row>
    <row r="39" spans="2:54" ht="15.75" customHeight="1" x14ac:dyDescent="0.3"/>
    <row r="42" spans="2:54" ht="15.75" customHeight="1" x14ac:dyDescent="0.3"/>
    <row r="44" spans="2:54" ht="22.5" x14ac:dyDescent="0.35"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</row>
    <row r="46" spans="2:54" s="55" customFormat="1" ht="22.5" x14ac:dyDescent="0.3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9" spans="2:2" ht="22.5" x14ac:dyDescent="0.35">
      <c r="B49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78740157480314965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5">
    <tabColor theme="0"/>
  </sheetPr>
  <dimension ref="A10:BB49"/>
  <sheetViews>
    <sheetView topLeftCell="A22" zoomScale="70" zoomScaleNormal="70" workbookViewId="0">
      <selection activeCell="AE32" sqref="AE32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166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04" t="s">
        <v>13</v>
      </c>
    </row>
    <row r="17" spans="2:4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4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05"/>
      <c r="AL18" s="205"/>
      <c r="AM18" s="10"/>
      <c r="AN18" s="10"/>
      <c r="AO18" s="10"/>
      <c r="AP18" s="10"/>
      <c r="AQ18" s="10"/>
    </row>
    <row r="19" spans="2:4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45" ht="68.25" customHeight="1" x14ac:dyDescent="0.3">
      <c r="B20" s="56">
        <v>45803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'5-19-25, 2025'!S24</f>
        <v>0</v>
      </c>
      <c r="T20" s="21">
        <f>'5-19-25, 2025'!T24</f>
        <v>0</v>
      </c>
      <c r="U20" s="21">
        <f>'5-19-25, 2025'!U24</f>
        <v>0</v>
      </c>
      <c r="V20" s="21">
        <f>'5-19-25, 2025'!V24</f>
        <v>0</v>
      </c>
      <c r="W20" s="21">
        <f>'5-19-25, 2025'!W24</f>
        <v>0</v>
      </c>
      <c r="X20" s="21">
        <f>'5-19-25, 2025'!X24</f>
        <v>0</v>
      </c>
      <c r="Y20" s="21">
        <f>'5-19-25, 2025'!Y24</f>
        <v>0</v>
      </c>
      <c r="Z20" s="21">
        <f>'5-19-25, 2025'!Z24</f>
        <v>0</v>
      </c>
      <c r="AA20" s="21" t="e">
        <f>'5-19-25, 2025'!AA24</f>
        <v>#REF!</v>
      </c>
      <c r="AB20" s="21">
        <f>'5-19-25, 2025'!AB24</f>
        <v>29757</v>
      </c>
      <c r="AC20" s="21">
        <f>'5-19-25, 2025'!AC24</f>
        <v>8175</v>
      </c>
      <c r="AD20" s="21">
        <f>'5-19-25, 2025'!AD24</f>
        <v>27200</v>
      </c>
      <c r="AE20" s="21">
        <f>'5-19-25, 2025'!AE24</f>
        <v>3400</v>
      </c>
      <c r="AF20" s="21">
        <f>'5-19-25, 2025'!AF24</f>
        <v>3775</v>
      </c>
      <c r="AG20" s="21" t="e">
        <f>'5-19-25, 2025'!AG24</f>
        <v>#REF!</v>
      </c>
      <c r="AH20" s="21">
        <f>'5-19-25, 2025'!AH24</f>
        <v>980</v>
      </c>
      <c r="AI20" s="21">
        <f>'5-19-25, 2025'!AI24</f>
        <v>840</v>
      </c>
      <c r="AJ20" s="21">
        <f>'5-19-25, 2025'!AJ24</f>
        <v>0</v>
      </c>
      <c r="AK20" s="21">
        <f>'5-19-25, 2025'!AK24</f>
        <v>3255</v>
      </c>
      <c r="AL20" s="21">
        <f>'5-19-25, 2025'!AL24</f>
        <v>9563</v>
      </c>
      <c r="AM20" s="21">
        <f>'5-19-25, 2025'!AM24</f>
        <v>0</v>
      </c>
      <c r="AN20" s="21">
        <f>'5-19-25, 2025'!AN24</f>
        <v>10005</v>
      </c>
      <c r="AO20" s="21">
        <f>'5-19-25, 2025'!AO24</f>
        <v>1650</v>
      </c>
      <c r="AP20" s="21">
        <f>'5-19-25, 2025'!AP24</f>
        <v>0</v>
      </c>
      <c r="AQ20" s="21">
        <f>'5-19-25, 2025'!AQ24</f>
        <v>96</v>
      </c>
      <c r="AR20" s="28"/>
    </row>
    <row r="21" spans="2:4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4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29757</v>
      </c>
      <c r="AC22" s="34">
        <f>AC20+AC21</f>
        <v>8175</v>
      </c>
      <c r="AD22" s="34">
        <f t="shared" ref="AD22" si="3">AD20+AD21</f>
        <v>27200</v>
      </c>
      <c r="AE22" s="34">
        <f>AE20+AE21</f>
        <v>3400</v>
      </c>
      <c r="AF22" s="34">
        <f t="shared" si="0"/>
        <v>3775</v>
      </c>
      <c r="AG22" s="34" t="e">
        <f t="shared" si="0"/>
        <v>#REF!</v>
      </c>
      <c r="AH22" s="34">
        <f t="shared" si="0"/>
        <v>980</v>
      </c>
      <c r="AI22" s="34">
        <f t="shared" si="0"/>
        <v>840</v>
      </c>
      <c r="AJ22" s="34">
        <f t="shared" si="0"/>
        <v>0</v>
      </c>
      <c r="AK22" s="34">
        <f t="shared" si="0"/>
        <v>3255</v>
      </c>
      <c r="AL22" s="34">
        <f t="shared" si="0"/>
        <v>9563</v>
      </c>
      <c r="AM22" s="34">
        <f t="shared" si="0"/>
        <v>0</v>
      </c>
      <c r="AN22" s="34">
        <f t="shared" si="0"/>
        <v>10005</v>
      </c>
      <c r="AO22" s="34">
        <f t="shared" si="0"/>
        <v>1650</v>
      </c>
      <c r="AP22" s="34">
        <f t="shared" si="0"/>
        <v>0</v>
      </c>
      <c r="AQ22" s="165">
        <f t="shared" si="0"/>
        <v>96</v>
      </c>
    </row>
    <row r="23" spans="2:4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2912</v>
      </c>
      <c r="AC23" s="22">
        <f>AB23/91*25</f>
        <v>800</v>
      </c>
      <c r="AD23" s="30">
        <v>400</v>
      </c>
      <c r="AE23" s="22">
        <f>AD23/200*25</f>
        <v>50</v>
      </c>
      <c r="AF23" s="30">
        <v>0</v>
      </c>
      <c r="AG23" s="30"/>
      <c r="AH23" s="36">
        <v>37</v>
      </c>
      <c r="AI23" s="22">
        <v>25</v>
      </c>
      <c r="AJ23" s="22"/>
      <c r="AK23" s="30">
        <v>92</v>
      </c>
      <c r="AL23" s="30">
        <v>232</v>
      </c>
      <c r="AM23" s="30"/>
      <c r="AN23" s="30">
        <v>465</v>
      </c>
      <c r="AO23" s="30">
        <v>0</v>
      </c>
      <c r="AP23" s="22"/>
      <c r="AQ23" s="38">
        <v>0</v>
      </c>
    </row>
    <row r="24" spans="2:45" s="3" customFormat="1" ht="100.5" customHeight="1" thickBot="1" x14ac:dyDescent="0.25">
      <c r="B24" s="39">
        <v>45809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26845</v>
      </c>
      <c r="AC24" s="40">
        <f>AC22-AC23</f>
        <v>7375</v>
      </c>
      <c r="AD24" s="40">
        <f>AD22-AD23</f>
        <v>26800</v>
      </c>
      <c r="AE24" s="40">
        <f>AE22-AE23</f>
        <v>3350</v>
      </c>
      <c r="AF24" s="41">
        <f>AF22-AF23</f>
        <v>3775</v>
      </c>
      <c r="AG24" s="41" t="e">
        <f t="shared" si="4"/>
        <v>#REF!</v>
      </c>
      <c r="AH24" s="93">
        <f>AH22-AH23</f>
        <v>943</v>
      </c>
      <c r="AI24" s="40">
        <f t="shared" si="4"/>
        <v>815</v>
      </c>
      <c r="AJ24" s="40">
        <f t="shared" si="4"/>
        <v>0</v>
      </c>
      <c r="AK24" s="41">
        <f t="shared" si="4"/>
        <v>3163</v>
      </c>
      <c r="AL24" s="41">
        <f t="shared" si="4"/>
        <v>9331</v>
      </c>
      <c r="AM24" s="41">
        <f t="shared" si="4"/>
        <v>0</v>
      </c>
      <c r="AN24" s="41">
        <f>AN22-AN23</f>
        <v>9540</v>
      </c>
      <c r="AO24" s="41">
        <f t="shared" si="4"/>
        <v>1650</v>
      </c>
      <c r="AP24" s="40">
        <f t="shared" si="4"/>
        <v>0</v>
      </c>
      <c r="AQ24" s="44">
        <f>AQ22-AQ23</f>
        <v>96</v>
      </c>
    </row>
    <row r="25" spans="2:4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45" ht="24.75" customHeight="1" x14ac:dyDescent="0.3">
      <c r="E26" s="77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2:45" ht="24.75" customHeight="1" x14ac:dyDescent="0.3">
      <c r="E27" s="77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2:45" ht="24.75" customHeight="1" x14ac:dyDescent="0.3"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M28" s="29"/>
      <c r="AN28" s="29"/>
      <c r="AO28" s="29"/>
      <c r="AP28" s="29"/>
      <c r="AQ28" s="29"/>
    </row>
    <row r="29" spans="2:45" s="45" customFormat="1" ht="24" customHeight="1" x14ac:dyDescent="0.35">
      <c r="B29" s="45" t="s">
        <v>29</v>
      </c>
      <c r="P29" s="46"/>
      <c r="Q29" s="135"/>
      <c r="S29" s="135"/>
      <c r="Y29" s="45" t="s">
        <v>30</v>
      </c>
      <c r="AB29" s="45" t="s">
        <v>56</v>
      </c>
      <c r="AI29" s="45" t="s">
        <v>57</v>
      </c>
      <c r="AJ29" s="47"/>
      <c r="AK29" s="47"/>
      <c r="AL29" s="47"/>
      <c r="AM29" s="46"/>
      <c r="AN29" s="46"/>
      <c r="AO29" s="47"/>
      <c r="AP29" s="46"/>
      <c r="AQ29" s="46"/>
    </row>
    <row r="30" spans="2:45" s="45" customFormat="1" ht="37.5" customHeight="1" x14ac:dyDescent="0.35">
      <c r="B30" s="48"/>
      <c r="C30" s="46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V30" s="49"/>
      <c r="W30" s="49"/>
      <c r="Y30" s="49"/>
      <c r="Z30" s="49"/>
      <c r="AB30" s="49"/>
      <c r="AD30" s="49"/>
      <c r="AJ30" s="49"/>
      <c r="AK30" s="49"/>
      <c r="AL30" s="49"/>
      <c r="AM30" s="49"/>
      <c r="AN30" s="49"/>
      <c r="AO30" s="49"/>
      <c r="AP30" s="49"/>
      <c r="AQ30" s="49"/>
      <c r="AR30" s="46"/>
    </row>
    <row r="31" spans="2:45" s="45" customFormat="1" ht="14.25" customHeight="1" x14ac:dyDescent="0.35">
      <c r="B31" s="48"/>
      <c r="C31" s="46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V31" s="49"/>
      <c r="W31" s="49"/>
      <c r="Y31" s="49"/>
      <c r="Z31" s="49"/>
      <c r="AB31" s="49"/>
      <c r="AD31" s="49"/>
      <c r="AJ31" s="49"/>
      <c r="AK31" s="49"/>
      <c r="AL31" s="49"/>
      <c r="AM31" s="49"/>
      <c r="AN31" s="49"/>
      <c r="AO31" s="49"/>
      <c r="AP31" s="49"/>
      <c r="AQ31" s="49"/>
      <c r="AR31" s="46"/>
    </row>
    <row r="32" spans="2:45" s="45" customFormat="1" ht="24" customHeight="1" x14ac:dyDescent="0.4">
      <c r="B32" s="153" t="s">
        <v>111</v>
      </c>
      <c r="C32" s="154"/>
      <c r="D32" s="155"/>
      <c r="E32" s="155"/>
      <c r="F32" s="155"/>
      <c r="G32" s="155"/>
      <c r="H32" s="155"/>
      <c r="I32" s="156"/>
      <c r="J32" s="156"/>
      <c r="K32" s="156"/>
      <c r="L32" s="155"/>
      <c r="M32" s="155"/>
      <c r="N32" s="155"/>
      <c r="O32" s="154"/>
      <c r="P32" s="154"/>
      <c r="Q32" s="154"/>
      <c r="R32" s="153"/>
      <c r="S32" s="154"/>
      <c r="T32" s="153"/>
      <c r="V32" s="155"/>
      <c r="W32" s="153"/>
      <c r="X32" s="155"/>
      <c r="Y32" s="155"/>
      <c r="Z32" s="153"/>
      <c r="AA32" s="155"/>
      <c r="AB32" s="153" t="s">
        <v>31</v>
      </c>
      <c r="AC32" s="155"/>
      <c r="AD32" s="153"/>
      <c r="AE32" s="155"/>
      <c r="AF32" s="155"/>
      <c r="AG32" s="155"/>
      <c r="AH32" s="155"/>
      <c r="AI32" s="156" t="s">
        <v>117</v>
      </c>
      <c r="AJ32" s="155"/>
      <c r="AK32" s="155"/>
      <c r="AL32" s="155"/>
      <c r="AO32" s="155"/>
      <c r="AR32" s="46"/>
    </row>
    <row r="33" spans="2:54" s="45" customFormat="1" ht="21.75" customHeight="1" x14ac:dyDescent="0.4">
      <c r="B33" s="157" t="s">
        <v>44</v>
      </c>
      <c r="C33" s="154"/>
      <c r="D33" s="154"/>
      <c r="E33" s="155"/>
      <c r="F33" s="155"/>
      <c r="G33" s="155"/>
      <c r="H33" s="155"/>
      <c r="I33" s="154"/>
      <c r="J33" s="154"/>
      <c r="K33" s="154"/>
      <c r="L33" s="154"/>
      <c r="M33" s="154"/>
      <c r="N33" s="154"/>
      <c r="O33" s="154"/>
      <c r="P33" s="154"/>
      <c r="Q33" s="154"/>
      <c r="R33" s="157"/>
      <c r="S33" s="154"/>
      <c r="T33" s="157"/>
      <c r="V33" s="155"/>
      <c r="W33" s="157"/>
      <c r="X33" s="155"/>
      <c r="Y33" s="155"/>
      <c r="Z33" s="154"/>
      <c r="AA33" s="154"/>
      <c r="AB33" s="157" t="s">
        <v>64</v>
      </c>
      <c r="AC33" s="155"/>
      <c r="AD33" s="157"/>
      <c r="AE33" s="155"/>
      <c r="AF33" s="155"/>
      <c r="AG33" s="155"/>
      <c r="AH33" s="155"/>
      <c r="AI33" s="154" t="s">
        <v>118</v>
      </c>
      <c r="AJ33" s="154"/>
      <c r="AK33" s="154"/>
      <c r="AL33" s="154"/>
      <c r="AM33" s="46"/>
      <c r="AN33" s="46"/>
      <c r="AO33" s="154"/>
      <c r="AP33" s="46"/>
      <c r="AQ33" s="46"/>
    </row>
    <row r="34" spans="2:54" s="45" customFormat="1" ht="26.25" customHeight="1" x14ac:dyDescent="0.4">
      <c r="B34" s="157" t="s">
        <v>33</v>
      </c>
      <c r="C34" s="154"/>
      <c r="D34" s="154"/>
      <c r="E34" s="155"/>
      <c r="F34" s="155"/>
      <c r="G34" s="155"/>
      <c r="H34" s="155"/>
      <c r="I34" s="154"/>
      <c r="J34" s="154"/>
      <c r="K34" s="154"/>
      <c r="L34" s="154"/>
      <c r="M34" s="154"/>
      <c r="N34" s="154"/>
      <c r="O34" s="154"/>
      <c r="P34" s="154"/>
      <c r="Q34" s="154"/>
      <c r="R34" s="157"/>
      <c r="S34" s="154"/>
      <c r="T34" s="157"/>
      <c r="V34" s="155"/>
      <c r="W34" s="157"/>
      <c r="X34" s="155"/>
      <c r="Y34" s="155"/>
      <c r="Z34" s="154"/>
      <c r="AA34" s="154"/>
      <c r="AB34" s="157" t="s">
        <v>46</v>
      </c>
      <c r="AC34" s="155"/>
      <c r="AD34" s="157"/>
      <c r="AE34" s="155"/>
      <c r="AF34" s="154"/>
      <c r="AG34" s="154"/>
      <c r="AH34" s="154"/>
      <c r="AI34" s="154" t="s">
        <v>46</v>
      </c>
      <c r="AJ34" s="154"/>
      <c r="AK34" s="154"/>
      <c r="AL34" s="154"/>
      <c r="AM34" s="83"/>
      <c r="AN34" s="84"/>
      <c r="AO34" s="154"/>
      <c r="AP34" s="83"/>
      <c r="AQ34" s="84"/>
      <c r="AR34" s="85"/>
      <c r="AS34" s="86"/>
      <c r="AT34" s="87"/>
      <c r="AU34" s="86"/>
      <c r="AV34" s="88"/>
      <c r="AW34" s="84"/>
      <c r="AX34" s="84"/>
      <c r="AY34" s="86"/>
      <c r="AZ34" s="86"/>
      <c r="BA34" s="86"/>
      <c r="BB34" s="84"/>
    </row>
    <row r="35" spans="2:54" s="46" customFormat="1" ht="24" customHeight="1" x14ac:dyDescent="0.4">
      <c r="B35" s="157" t="s">
        <v>112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V35" s="154"/>
      <c r="W35" s="154"/>
      <c r="X35" s="154"/>
      <c r="Y35" s="154"/>
      <c r="Z35" s="154"/>
      <c r="AA35" s="154" t="s">
        <v>51</v>
      </c>
      <c r="AB35" s="154" t="s">
        <v>165</v>
      </c>
      <c r="AC35" s="154"/>
      <c r="AD35" s="154"/>
      <c r="AE35" s="154"/>
      <c r="AF35" s="154"/>
      <c r="AG35" s="158"/>
      <c r="AH35" s="158"/>
      <c r="AI35" s="154"/>
      <c r="AJ35" s="159"/>
      <c r="AK35" s="154"/>
      <c r="AL35" s="154"/>
      <c r="AM35" s="154"/>
      <c r="AN35" s="154"/>
      <c r="AO35" s="154"/>
    </row>
    <row r="36" spans="2:54" s="46" customFormat="1" ht="24" customHeight="1" x14ac:dyDescent="0.35">
      <c r="B36" s="45"/>
      <c r="C36" s="45"/>
      <c r="D36" s="45"/>
      <c r="E36" s="45"/>
      <c r="F36" s="45"/>
      <c r="G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X36" s="45"/>
      <c r="Y36" s="45"/>
      <c r="Z36" s="45"/>
      <c r="AA36" s="45"/>
      <c r="AC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52"/>
    </row>
    <row r="38" spans="2:54" ht="22.5" x14ac:dyDescent="0.35">
      <c r="C38" s="55"/>
      <c r="D38" s="55"/>
      <c r="E38" s="55"/>
      <c r="F38" s="55"/>
    </row>
    <row r="39" spans="2:54" ht="15.75" customHeight="1" x14ac:dyDescent="0.3"/>
    <row r="42" spans="2:54" ht="15.75" customHeight="1" x14ac:dyDescent="0.3"/>
    <row r="44" spans="2:54" ht="22.5" x14ac:dyDescent="0.35"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</row>
    <row r="46" spans="2:54" s="55" customFormat="1" ht="22.5" x14ac:dyDescent="0.3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9" spans="2:2" ht="22.5" x14ac:dyDescent="0.35">
      <c r="B49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78740157480314965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9"/>
  <sheetViews>
    <sheetView topLeftCell="A10" zoomScale="70" zoomScaleNormal="70" workbookViewId="0">
      <selection activeCell="AE22" sqref="AE22"/>
    </sheetView>
  </sheetViews>
  <sheetFormatPr defaultRowHeight="21.75" x14ac:dyDescent="0.3"/>
  <cols>
    <col min="1" max="1" width="6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5.7109375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167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06" t="s">
        <v>13</v>
      </c>
    </row>
    <row r="17" spans="2:4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4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07"/>
      <c r="AL18" s="207"/>
      <c r="AM18" s="10"/>
      <c r="AN18" s="10"/>
      <c r="AO18" s="10"/>
      <c r="AP18" s="10"/>
      <c r="AQ18" s="10"/>
    </row>
    <row r="19" spans="2:4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45" ht="68.25" customHeight="1" x14ac:dyDescent="0.3">
      <c r="B20" s="56">
        <v>45810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'5-26-6-1, 2025'!S24</f>
        <v>0</v>
      </c>
      <c r="T20" s="21">
        <f>'5-26-6-1, 2025'!T24</f>
        <v>0</v>
      </c>
      <c r="U20" s="21">
        <f>'5-26-6-1, 2025'!U24</f>
        <v>0</v>
      </c>
      <c r="V20" s="21">
        <f>'5-26-6-1, 2025'!V24</f>
        <v>0</v>
      </c>
      <c r="W20" s="21">
        <f>'5-26-6-1, 2025'!W24</f>
        <v>0</v>
      </c>
      <c r="X20" s="21">
        <f>'5-26-6-1, 2025'!X24</f>
        <v>0</v>
      </c>
      <c r="Y20" s="21">
        <f>'5-26-6-1, 2025'!Y24</f>
        <v>0</v>
      </c>
      <c r="Z20" s="21">
        <f>'5-26-6-1, 2025'!Z24</f>
        <v>0</v>
      </c>
      <c r="AA20" s="21" t="e">
        <f>'5-26-6-1, 2025'!AA24</f>
        <v>#REF!</v>
      </c>
      <c r="AB20" s="21">
        <f>'5-26-6-1, 2025'!AB24</f>
        <v>26845</v>
      </c>
      <c r="AC20" s="21">
        <f>'5-26-6-1, 2025'!AC24</f>
        <v>7375</v>
      </c>
      <c r="AD20" s="21">
        <f>'5-26-6-1, 2025'!AD24</f>
        <v>26800</v>
      </c>
      <c r="AE20" s="21">
        <f>'5-26-6-1, 2025'!AE24</f>
        <v>3350</v>
      </c>
      <c r="AF20" s="21">
        <f>'5-26-6-1, 2025'!AF24</f>
        <v>3775</v>
      </c>
      <c r="AG20" s="21" t="e">
        <f>'5-26-6-1, 2025'!AG24</f>
        <v>#REF!</v>
      </c>
      <c r="AH20" s="21">
        <f>'5-26-6-1, 2025'!AH24</f>
        <v>943</v>
      </c>
      <c r="AI20" s="21">
        <f>'5-26-6-1, 2025'!AI24</f>
        <v>815</v>
      </c>
      <c r="AJ20" s="21">
        <f>'5-26-6-1, 2025'!AJ24</f>
        <v>0</v>
      </c>
      <c r="AK20" s="21">
        <f>'5-26-6-1, 2025'!AK24</f>
        <v>3163</v>
      </c>
      <c r="AL20" s="21">
        <f>'5-26-6-1, 2025'!AL24</f>
        <v>9331</v>
      </c>
      <c r="AM20" s="21">
        <f>'5-26-6-1, 2025'!AM24</f>
        <v>0</v>
      </c>
      <c r="AN20" s="21">
        <f>'5-26-6-1, 2025'!AN24</f>
        <v>9540</v>
      </c>
      <c r="AO20" s="21">
        <f>'5-26-6-1, 2025'!AO24</f>
        <v>1650</v>
      </c>
      <c r="AP20" s="21">
        <f>'5-26-6-1, 2025'!AP24</f>
        <v>0</v>
      </c>
      <c r="AQ20" s="21">
        <f>'5-26-6-1, 2025'!AQ24</f>
        <v>96</v>
      </c>
      <c r="AR20" s="28"/>
    </row>
    <row r="21" spans="2:4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4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26845</v>
      </c>
      <c r="AC22" s="34">
        <f>AC20+AC21</f>
        <v>7375</v>
      </c>
      <c r="AD22" s="34">
        <f t="shared" ref="AD22" si="3">AD20+AD21</f>
        <v>26800</v>
      </c>
      <c r="AE22" s="34">
        <f>AE20+AE21</f>
        <v>3350</v>
      </c>
      <c r="AF22" s="34">
        <f t="shared" si="0"/>
        <v>3775</v>
      </c>
      <c r="AG22" s="34" t="e">
        <f t="shared" si="0"/>
        <v>#REF!</v>
      </c>
      <c r="AH22" s="34">
        <f t="shared" si="0"/>
        <v>943</v>
      </c>
      <c r="AI22" s="34">
        <f t="shared" si="0"/>
        <v>815</v>
      </c>
      <c r="AJ22" s="34">
        <f t="shared" si="0"/>
        <v>0</v>
      </c>
      <c r="AK22" s="34">
        <f t="shared" si="0"/>
        <v>3163</v>
      </c>
      <c r="AL22" s="34">
        <f t="shared" si="0"/>
        <v>9331</v>
      </c>
      <c r="AM22" s="34">
        <f t="shared" si="0"/>
        <v>0</v>
      </c>
      <c r="AN22" s="34">
        <f t="shared" si="0"/>
        <v>9540</v>
      </c>
      <c r="AO22" s="34">
        <f t="shared" si="0"/>
        <v>1650</v>
      </c>
      <c r="AP22" s="34">
        <f t="shared" si="0"/>
        <v>0</v>
      </c>
      <c r="AQ22" s="165">
        <f t="shared" si="0"/>
        <v>96</v>
      </c>
    </row>
    <row r="23" spans="2:4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5278</v>
      </c>
      <c r="AC23" s="22">
        <f>AB23/91*25</f>
        <v>1450</v>
      </c>
      <c r="AD23" s="30">
        <v>0</v>
      </c>
      <c r="AE23" s="22">
        <f>AD23/200*25</f>
        <v>0</v>
      </c>
      <c r="AF23" s="30">
        <v>275</v>
      </c>
      <c r="AG23" s="30"/>
      <c r="AH23" s="36">
        <v>58</v>
      </c>
      <c r="AI23" s="22">
        <v>35</v>
      </c>
      <c r="AJ23" s="22"/>
      <c r="AK23" s="30">
        <v>0</v>
      </c>
      <c r="AL23" s="30">
        <v>485</v>
      </c>
      <c r="AM23" s="30"/>
      <c r="AN23" s="30">
        <v>745</v>
      </c>
      <c r="AO23" s="30">
        <v>0</v>
      </c>
      <c r="AP23" s="22">
        <v>0</v>
      </c>
      <c r="AQ23" s="38">
        <v>0</v>
      </c>
    </row>
    <row r="24" spans="2:45" s="3" customFormat="1" ht="100.5" customHeight="1" thickBot="1" x14ac:dyDescent="0.25">
      <c r="B24" s="39">
        <v>45816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21567</v>
      </c>
      <c r="AC24" s="40">
        <f>AC22-AC23</f>
        <v>5925</v>
      </c>
      <c r="AD24" s="40">
        <f>AD22-AD23</f>
        <v>26800</v>
      </c>
      <c r="AE24" s="40">
        <f>AE22-AE23</f>
        <v>3350</v>
      </c>
      <c r="AF24" s="41">
        <f>AF22-AF23</f>
        <v>3500</v>
      </c>
      <c r="AG24" s="41" t="e">
        <f t="shared" si="4"/>
        <v>#REF!</v>
      </c>
      <c r="AH24" s="93">
        <f>AH22-AH23</f>
        <v>885</v>
      </c>
      <c r="AI24" s="40">
        <f t="shared" si="4"/>
        <v>780</v>
      </c>
      <c r="AJ24" s="40">
        <f t="shared" si="4"/>
        <v>0</v>
      </c>
      <c r="AK24" s="41">
        <f t="shared" si="4"/>
        <v>3163</v>
      </c>
      <c r="AL24" s="41">
        <f t="shared" si="4"/>
        <v>8846</v>
      </c>
      <c r="AM24" s="41">
        <f t="shared" si="4"/>
        <v>0</v>
      </c>
      <c r="AN24" s="41">
        <f>AN22-AN23</f>
        <v>8795</v>
      </c>
      <c r="AO24" s="41">
        <f t="shared" si="4"/>
        <v>1650</v>
      </c>
      <c r="AP24" s="40">
        <f t="shared" si="4"/>
        <v>0</v>
      </c>
      <c r="AQ24" s="44">
        <f>AQ22-AQ23</f>
        <v>96</v>
      </c>
    </row>
    <row r="25" spans="2:4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45" ht="24.75" customHeight="1" x14ac:dyDescent="0.3">
      <c r="E26" s="77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2:45" ht="24.75" customHeight="1" x14ac:dyDescent="0.3">
      <c r="E27" s="77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2:45" ht="24.75" customHeight="1" x14ac:dyDescent="0.3"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M28" s="29"/>
      <c r="AN28" s="29"/>
      <c r="AO28" s="29"/>
      <c r="AP28" s="29"/>
      <c r="AQ28" s="29"/>
    </row>
    <row r="29" spans="2:45" s="45" customFormat="1" ht="24" customHeight="1" x14ac:dyDescent="0.35">
      <c r="B29" s="45" t="s">
        <v>29</v>
      </c>
      <c r="P29" s="46"/>
      <c r="Q29" s="135"/>
      <c r="S29" s="135"/>
      <c r="Y29" s="45" t="s">
        <v>30</v>
      </c>
      <c r="AB29" s="45" t="s">
        <v>56</v>
      </c>
      <c r="AI29" s="45" t="s">
        <v>57</v>
      </c>
      <c r="AJ29" s="47"/>
      <c r="AK29" s="47"/>
      <c r="AL29" s="47"/>
      <c r="AM29" s="46"/>
      <c r="AN29" s="46"/>
      <c r="AO29" s="47"/>
      <c r="AP29" s="46"/>
      <c r="AQ29" s="46"/>
    </row>
    <row r="30" spans="2:45" s="45" customFormat="1" ht="37.5" customHeight="1" x14ac:dyDescent="0.35">
      <c r="B30" s="48"/>
      <c r="C30" s="46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V30" s="49"/>
      <c r="W30" s="49"/>
      <c r="Y30" s="49"/>
      <c r="Z30" s="49"/>
      <c r="AB30" s="49"/>
      <c r="AD30" s="49"/>
      <c r="AJ30" s="49"/>
      <c r="AK30" s="49"/>
      <c r="AL30" s="49"/>
      <c r="AM30" s="49"/>
      <c r="AN30" s="49"/>
      <c r="AO30" s="49"/>
      <c r="AP30" s="49"/>
      <c r="AQ30" s="49"/>
      <c r="AR30" s="46"/>
    </row>
    <row r="31" spans="2:45" s="45" customFormat="1" ht="14.25" customHeight="1" x14ac:dyDescent="0.35">
      <c r="B31" s="48"/>
      <c r="C31" s="46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V31" s="49"/>
      <c r="W31" s="49"/>
      <c r="Y31" s="49"/>
      <c r="Z31" s="49"/>
      <c r="AB31" s="49"/>
      <c r="AD31" s="49"/>
      <c r="AJ31" s="49"/>
      <c r="AK31" s="49"/>
      <c r="AL31" s="49"/>
      <c r="AM31" s="49"/>
      <c r="AN31" s="49"/>
      <c r="AO31" s="49"/>
      <c r="AP31" s="49"/>
      <c r="AQ31" s="49"/>
      <c r="AR31" s="46"/>
    </row>
    <row r="32" spans="2:45" s="45" customFormat="1" ht="24" customHeight="1" x14ac:dyDescent="0.4">
      <c r="B32" s="153" t="s">
        <v>168</v>
      </c>
      <c r="C32" s="154"/>
      <c r="D32" s="155"/>
      <c r="E32" s="155"/>
      <c r="F32" s="155"/>
      <c r="G32" s="155"/>
      <c r="H32" s="155"/>
      <c r="I32" s="156"/>
      <c r="J32" s="156"/>
      <c r="K32" s="156"/>
      <c r="L32" s="155"/>
      <c r="M32" s="155"/>
      <c r="N32" s="155"/>
      <c r="O32" s="154"/>
      <c r="P32" s="154"/>
      <c r="Q32" s="154"/>
      <c r="R32" s="153"/>
      <c r="S32" s="154"/>
      <c r="T32" s="153"/>
      <c r="V32" s="155"/>
      <c r="W32" s="153"/>
      <c r="X32" s="155"/>
      <c r="Y32" s="155"/>
      <c r="Z32" s="153"/>
      <c r="AA32" s="155"/>
      <c r="AB32" s="153" t="s">
        <v>107</v>
      </c>
      <c r="AC32" s="155"/>
      <c r="AD32" s="153"/>
      <c r="AE32" s="155"/>
      <c r="AF32" s="155"/>
      <c r="AG32" s="155"/>
      <c r="AH32" s="155"/>
      <c r="AI32" s="156" t="s">
        <v>117</v>
      </c>
      <c r="AJ32" s="155"/>
      <c r="AK32" s="155"/>
      <c r="AL32" s="155"/>
      <c r="AO32" s="155"/>
      <c r="AR32" s="46"/>
    </row>
    <row r="33" spans="2:54" s="45" customFormat="1" ht="21.75" customHeight="1" x14ac:dyDescent="0.4">
      <c r="B33" s="157" t="s">
        <v>44</v>
      </c>
      <c r="C33" s="154"/>
      <c r="D33" s="154"/>
      <c r="E33" s="155"/>
      <c r="F33" s="155"/>
      <c r="G33" s="155"/>
      <c r="H33" s="155"/>
      <c r="I33" s="154"/>
      <c r="J33" s="154"/>
      <c r="K33" s="154"/>
      <c r="L33" s="154"/>
      <c r="M33" s="154"/>
      <c r="N33" s="154"/>
      <c r="O33" s="154"/>
      <c r="P33" s="154"/>
      <c r="Q33" s="154"/>
      <c r="R33" s="157"/>
      <c r="S33" s="154"/>
      <c r="T33" s="157"/>
      <c r="V33" s="155"/>
      <c r="W33" s="157"/>
      <c r="X33" s="155"/>
      <c r="Y33" s="155"/>
      <c r="Z33" s="154"/>
      <c r="AA33" s="154"/>
      <c r="AB33" s="157" t="s">
        <v>34</v>
      </c>
      <c r="AC33" s="155"/>
      <c r="AD33" s="157"/>
      <c r="AE33" s="155"/>
      <c r="AF33" s="155"/>
      <c r="AG33" s="155"/>
      <c r="AH33" s="155"/>
      <c r="AI33" s="154" t="s">
        <v>118</v>
      </c>
      <c r="AJ33" s="154"/>
      <c r="AK33" s="154"/>
      <c r="AL33" s="154"/>
      <c r="AM33" s="46"/>
      <c r="AN33" s="46"/>
      <c r="AO33" s="154"/>
      <c r="AP33" s="46"/>
      <c r="AQ33" s="46"/>
    </row>
    <row r="34" spans="2:54" s="45" customFormat="1" ht="26.25" customHeight="1" x14ac:dyDescent="0.4">
      <c r="B34" s="157" t="s">
        <v>33</v>
      </c>
      <c r="C34" s="154"/>
      <c r="D34" s="154"/>
      <c r="E34" s="155"/>
      <c r="F34" s="155"/>
      <c r="G34" s="155"/>
      <c r="H34" s="155"/>
      <c r="I34" s="154"/>
      <c r="J34" s="154"/>
      <c r="K34" s="154"/>
      <c r="L34" s="154"/>
      <c r="M34" s="154"/>
      <c r="N34" s="154"/>
      <c r="O34" s="154"/>
      <c r="P34" s="154"/>
      <c r="Q34" s="154"/>
      <c r="R34" s="157"/>
      <c r="S34" s="154"/>
      <c r="T34" s="157"/>
      <c r="V34" s="155"/>
      <c r="W34" s="157"/>
      <c r="X34" s="155"/>
      <c r="Y34" s="155"/>
      <c r="Z34" s="154"/>
      <c r="AA34" s="154"/>
      <c r="AB34" s="157" t="s">
        <v>46</v>
      </c>
      <c r="AC34" s="155"/>
      <c r="AD34" s="157"/>
      <c r="AE34" s="155"/>
      <c r="AF34" s="154"/>
      <c r="AG34" s="154"/>
      <c r="AH34" s="154"/>
      <c r="AI34" s="154" t="s">
        <v>46</v>
      </c>
      <c r="AJ34" s="154"/>
      <c r="AK34" s="154"/>
      <c r="AL34" s="154"/>
      <c r="AM34" s="83"/>
      <c r="AN34" s="84"/>
      <c r="AO34" s="154"/>
      <c r="AP34" s="83"/>
      <c r="AQ34" s="84"/>
      <c r="AR34" s="85"/>
      <c r="AS34" s="86"/>
      <c r="AT34" s="87"/>
      <c r="AU34" s="86"/>
      <c r="AV34" s="88"/>
      <c r="AW34" s="84"/>
      <c r="AX34" s="84"/>
      <c r="AY34" s="86"/>
      <c r="AZ34" s="86"/>
      <c r="BA34" s="86"/>
      <c r="BB34" s="84"/>
    </row>
    <row r="35" spans="2:54" s="46" customFormat="1" ht="24" customHeight="1" x14ac:dyDescent="0.4">
      <c r="B35" s="157" t="s">
        <v>164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V35" s="154"/>
      <c r="W35" s="154"/>
      <c r="X35" s="154"/>
      <c r="Y35" s="154"/>
      <c r="Z35" s="154"/>
      <c r="AA35" s="154" t="s">
        <v>51</v>
      </c>
      <c r="AB35" s="154" t="s">
        <v>51</v>
      </c>
      <c r="AC35" s="154"/>
      <c r="AD35" s="154"/>
      <c r="AE35" s="154"/>
      <c r="AF35" s="154"/>
      <c r="AG35" s="158"/>
      <c r="AH35" s="158"/>
      <c r="AI35" s="154"/>
      <c r="AJ35" s="159"/>
      <c r="AK35" s="154"/>
      <c r="AL35" s="154"/>
      <c r="AM35" s="154"/>
      <c r="AN35" s="154"/>
      <c r="AO35" s="154"/>
    </row>
    <row r="36" spans="2:54" s="46" customFormat="1" ht="24" customHeight="1" x14ac:dyDescent="0.35">
      <c r="B36" s="45"/>
      <c r="C36" s="45"/>
      <c r="D36" s="45"/>
      <c r="E36" s="45"/>
      <c r="F36" s="45"/>
      <c r="G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X36" s="45"/>
      <c r="Y36" s="45"/>
      <c r="Z36" s="45"/>
      <c r="AA36" s="45"/>
      <c r="AC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52"/>
    </row>
    <row r="38" spans="2:54" ht="22.5" x14ac:dyDescent="0.35">
      <c r="C38" s="55"/>
      <c r="D38" s="55"/>
      <c r="E38" s="55"/>
      <c r="F38" s="55"/>
    </row>
    <row r="39" spans="2:54" ht="15.75" customHeight="1" x14ac:dyDescent="0.3"/>
    <row r="42" spans="2:54" ht="15.75" customHeight="1" x14ac:dyDescent="0.3"/>
    <row r="44" spans="2:54" ht="22.5" x14ac:dyDescent="0.35"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</row>
    <row r="46" spans="2:54" s="55" customFormat="1" ht="22.5" x14ac:dyDescent="0.35"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9" spans="2:2" ht="22.5" x14ac:dyDescent="0.35">
      <c r="B49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78740157480314965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3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169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08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09"/>
      <c r="AL18" s="209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45817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'6-2-8, 2025'!S24</f>
        <v>0</v>
      </c>
      <c r="T20" s="21">
        <f>'6-2-8, 2025'!T24</f>
        <v>0</v>
      </c>
      <c r="U20" s="21">
        <f>'6-2-8, 2025'!U24</f>
        <v>0</v>
      </c>
      <c r="V20" s="21">
        <f>'6-2-8, 2025'!V24</f>
        <v>0</v>
      </c>
      <c r="W20" s="21">
        <f>'6-2-8, 2025'!W24</f>
        <v>0</v>
      </c>
      <c r="X20" s="21">
        <f>'6-2-8, 2025'!X24</f>
        <v>0</v>
      </c>
      <c r="Y20" s="21">
        <f>'6-2-8, 2025'!Y24</f>
        <v>0</v>
      </c>
      <c r="Z20" s="21">
        <f>'6-2-8, 2025'!Z24</f>
        <v>0</v>
      </c>
      <c r="AA20" s="21" t="e">
        <f>'6-2-8, 2025'!AA24</f>
        <v>#REF!</v>
      </c>
      <c r="AB20" s="21">
        <f>'6-2-8, 2025'!AB24</f>
        <v>21567</v>
      </c>
      <c r="AC20" s="21">
        <f>'6-2-8, 2025'!AC24</f>
        <v>5925</v>
      </c>
      <c r="AD20" s="21">
        <f>'6-2-8, 2025'!AD24</f>
        <v>26800</v>
      </c>
      <c r="AE20" s="21">
        <f>'6-2-8, 2025'!AE24</f>
        <v>3350</v>
      </c>
      <c r="AF20" s="21">
        <f>'6-2-8, 2025'!AF24</f>
        <v>3500</v>
      </c>
      <c r="AG20" s="21" t="e">
        <f>'6-2-8, 2025'!AG24</f>
        <v>#REF!</v>
      </c>
      <c r="AH20" s="21">
        <f>'6-2-8, 2025'!AH24</f>
        <v>885</v>
      </c>
      <c r="AI20" s="21">
        <f>'6-2-8, 2025'!AI24</f>
        <v>780</v>
      </c>
      <c r="AJ20" s="21">
        <f>'6-2-8, 2025'!AJ24</f>
        <v>0</v>
      </c>
      <c r="AK20" s="21">
        <f>'6-2-8, 2025'!AK24</f>
        <v>3163</v>
      </c>
      <c r="AL20" s="21">
        <f>'6-2-8, 2025'!AL24</f>
        <v>8846</v>
      </c>
      <c r="AM20" s="21">
        <f>'6-2-8, 2025'!AM24</f>
        <v>0</v>
      </c>
      <c r="AN20" s="21">
        <f>'6-2-8, 2025'!AN24</f>
        <v>8795</v>
      </c>
      <c r="AO20" s="21">
        <f>'6-2-8, 2025'!AO24</f>
        <v>1650</v>
      </c>
      <c r="AP20" s="21">
        <f>'6-2-8, 2025'!AP24</f>
        <v>0</v>
      </c>
      <c r="AQ20" s="164">
        <f>'6-2-8,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21567</v>
      </c>
      <c r="AC22" s="34">
        <f>AC20+AC21</f>
        <v>5925</v>
      </c>
      <c r="AD22" s="34">
        <f t="shared" ref="AD22" si="3">AD20+AD21</f>
        <v>26800</v>
      </c>
      <c r="AE22" s="34">
        <f>AE20+AE21</f>
        <v>3350</v>
      </c>
      <c r="AF22" s="34">
        <f t="shared" si="0"/>
        <v>3500</v>
      </c>
      <c r="AG22" s="34" t="e">
        <f t="shared" si="0"/>
        <v>#REF!</v>
      </c>
      <c r="AH22" s="34">
        <f t="shared" si="0"/>
        <v>885</v>
      </c>
      <c r="AI22" s="34">
        <f t="shared" si="0"/>
        <v>780</v>
      </c>
      <c r="AJ22" s="34">
        <f t="shared" si="0"/>
        <v>0</v>
      </c>
      <c r="AK22" s="34">
        <f t="shared" si="0"/>
        <v>3163</v>
      </c>
      <c r="AL22" s="34">
        <f t="shared" si="0"/>
        <v>8846</v>
      </c>
      <c r="AM22" s="34">
        <f t="shared" si="0"/>
        <v>0</v>
      </c>
      <c r="AN22" s="34">
        <f t="shared" si="0"/>
        <v>8795</v>
      </c>
      <c r="AO22" s="34">
        <f t="shared" si="0"/>
        <v>1650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f>39*91</f>
        <v>3549</v>
      </c>
      <c r="AC23" s="22">
        <f>AB23/91*25</f>
        <v>975</v>
      </c>
      <c r="AD23" s="30">
        <f>4*200</f>
        <v>800</v>
      </c>
      <c r="AE23" s="22">
        <f>AD23/200*25</f>
        <v>100</v>
      </c>
      <c r="AF23" s="30">
        <f>22*25</f>
        <v>550</v>
      </c>
      <c r="AG23" s="30"/>
      <c r="AH23" s="36">
        <v>68</v>
      </c>
      <c r="AI23" s="22">
        <v>43</v>
      </c>
      <c r="AJ23" s="22"/>
      <c r="AK23" s="30">
        <v>100</v>
      </c>
      <c r="AL23" s="30">
        <v>444</v>
      </c>
      <c r="AM23" s="30"/>
      <c r="AN23" s="30">
        <v>826</v>
      </c>
      <c r="AO23" s="30">
        <v>0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45823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18018</v>
      </c>
      <c r="AC24" s="40">
        <f>AC22-AC23</f>
        <v>4950</v>
      </c>
      <c r="AD24" s="40">
        <f>AD22-AD23</f>
        <v>26000</v>
      </c>
      <c r="AE24" s="40">
        <f>AE22-AE23</f>
        <v>3250</v>
      </c>
      <c r="AF24" s="41">
        <f>AF22-AF23</f>
        <v>2950</v>
      </c>
      <c r="AG24" s="41" t="e">
        <f t="shared" si="4"/>
        <v>#REF!</v>
      </c>
      <c r="AH24" s="93">
        <f>AH22-AH23</f>
        <v>817</v>
      </c>
      <c r="AI24" s="40">
        <f t="shared" si="4"/>
        <v>737</v>
      </c>
      <c r="AJ24" s="40">
        <f t="shared" si="4"/>
        <v>0</v>
      </c>
      <c r="AK24" s="41">
        <f t="shared" si="4"/>
        <v>3063</v>
      </c>
      <c r="AL24" s="41">
        <f t="shared" si="4"/>
        <v>8402</v>
      </c>
      <c r="AM24" s="41">
        <f t="shared" si="4"/>
        <v>0</v>
      </c>
      <c r="AN24" s="41">
        <f>AN22-AN23</f>
        <v>7969</v>
      </c>
      <c r="AO24" s="41">
        <f t="shared" si="4"/>
        <v>1650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117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118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22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170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10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11"/>
      <c r="AL18" s="211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45824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'6-9-15,2025'!S24</f>
        <v>0</v>
      </c>
      <c r="T20" s="21">
        <f>'6-9-15,2025'!T24</f>
        <v>0</v>
      </c>
      <c r="U20" s="21">
        <f>'6-9-15,2025'!U24</f>
        <v>0</v>
      </c>
      <c r="V20" s="21">
        <f>'6-9-15,2025'!V24</f>
        <v>0</v>
      </c>
      <c r="W20" s="21">
        <f>'6-9-15,2025'!W24</f>
        <v>0</v>
      </c>
      <c r="X20" s="21">
        <f>'6-9-15,2025'!X24</f>
        <v>0</v>
      </c>
      <c r="Y20" s="21">
        <f>'6-9-15,2025'!Y24</f>
        <v>0</v>
      </c>
      <c r="Z20" s="21">
        <f>'6-9-15,2025'!Z24</f>
        <v>0</v>
      </c>
      <c r="AA20" s="21" t="e">
        <f>'6-9-15,2025'!AA24</f>
        <v>#REF!</v>
      </c>
      <c r="AB20" s="21">
        <f>'6-9-15,2025'!AB24</f>
        <v>18018</v>
      </c>
      <c r="AC20" s="21">
        <f>'6-9-15,2025'!AC24</f>
        <v>4950</v>
      </c>
      <c r="AD20" s="21">
        <f>'6-9-15,2025'!AD24</f>
        <v>26000</v>
      </c>
      <c r="AE20" s="21">
        <f>'6-9-15,2025'!AE24</f>
        <v>3250</v>
      </c>
      <c r="AF20" s="21">
        <f>'6-9-15,2025'!AF24</f>
        <v>2950</v>
      </c>
      <c r="AG20" s="21" t="e">
        <f>'6-9-15,2025'!AG24</f>
        <v>#REF!</v>
      </c>
      <c r="AH20" s="62">
        <f>'6-9-15,2025'!AH24</f>
        <v>817</v>
      </c>
      <c r="AI20" s="21">
        <f>'6-9-15,2025'!AI24</f>
        <v>737</v>
      </c>
      <c r="AJ20" s="21">
        <f>'6-9-15,2025'!AJ24</f>
        <v>0</v>
      </c>
      <c r="AK20" s="21">
        <f>'6-9-15,2025'!AK24</f>
        <v>3063</v>
      </c>
      <c r="AL20" s="21">
        <f>'6-9-15,2025'!AL24</f>
        <v>8402</v>
      </c>
      <c r="AM20" s="21">
        <f>'6-9-15,2025'!AM24</f>
        <v>0</v>
      </c>
      <c r="AN20" s="21">
        <f>'6-9-15,2025'!AN24</f>
        <v>7969</v>
      </c>
      <c r="AO20" s="21">
        <f>'6-9-15,2025'!AO24</f>
        <v>1650</v>
      </c>
      <c r="AP20" s="21">
        <f>'6-9-15,2025'!AP24</f>
        <v>0</v>
      </c>
      <c r="AQ20" s="21">
        <f>'6-9-15,2025'!AQ24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18018</v>
      </c>
      <c r="AC22" s="34">
        <f>AC20+AC21</f>
        <v>4950</v>
      </c>
      <c r="AD22" s="34">
        <f t="shared" ref="AD22" si="3">AD20+AD21</f>
        <v>26000</v>
      </c>
      <c r="AE22" s="34">
        <f>AE20+AE21</f>
        <v>3250</v>
      </c>
      <c r="AF22" s="34">
        <f t="shared" si="0"/>
        <v>2950</v>
      </c>
      <c r="AG22" s="34" t="e">
        <f t="shared" si="0"/>
        <v>#REF!</v>
      </c>
      <c r="AH22" s="34">
        <f t="shared" si="0"/>
        <v>817</v>
      </c>
      <c r="AI22" s="34">
        <f t="shared" si="0"/>
        <v>737</v>
      </c>
      <c r="AJ22" s="34">
        <f t="shared" si="0"/>
        <v>0</v>
      </c>
      <c r="AK22" s="34">
        <f t="shared" si="0"/>
        <v>3063</v>
      </c>
      <c r="AL22" s="34">
        <f t="shared" si="0"/>
        <v>8402</v>
      </c>
      <c r="AM22" s="34">
        <f t="shared" si="0"/>
        <v>0</v>
      </c>
      <c r="AN22" s="34">
        <f t="shared" si="0"/>
        <v>7969</v>
      </c>
      <c r="AO22" s="34">
        <f t="shared" si="0"/>
        <v>1650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f>41*91</f>
        <v>3731</v>
      </c>
      <c r="AC23" s="22">
        <f>AB23/91*25</f>
        <v>1025</v>
      </c>
      <c r="AD23" s="30">
        <v>0</v>
      </c>
      <c r="AE23" s="22">
        <v>0</v>
      </c>
      <c r="AF23" s="30">
        <f>10*25</f>
        <v>250</v>
      </c>
      <c r="AG23" s="30"/>
      <c r="AH23" s="36">
        <v>34</v>
      </c>
      <c r="AI23" s="22">
        <v>20</v>
      </c>
      <c r="AJ23" s="22"/>
      <c r="AK23" s="30">
        <v>0</v>
      </c>
      <c r="AL23" s="30">
        <v>391</v>
      </c>
      <c r="AM23" s="30"/>
      <c r="AN23" s="30">
        <v>485</v>
      </c>
      <c r="AO23" s="30">
        <v>0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45830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14287</v>
      </c>
      <c r="AC24" s="40">
        <f>AC22-AC23</f>
        <v>3925</v>
      </c>
      <c r="AD24" s="40">
        <f>AD22-AD23</f>
        <v>26000</v>
      </c>
      <c r="AE24" s="40">
        <f>AE22-AE23</f>
        <v>3250</v>
      </c>
      <c r="AF24" s="41">
        <f>AF22-AF23</f>
        <v>2700</v>
      </c>
      <c r="AG24" s="41" t="e">
        <f t="shared" si="4"/>
        <v>#REF!</v>
      </c>
      <c r="AH24" s="93">
        <f>AH22-AH23</f>
        <v>783</v>
      </c>
      <c r="AI24" s="40">
        <f t="shared" si="4"/>
        <v>717</v>
      </c>
      <c r="AJ24" s="40">
        <f t="shared" si="4"/>
        <v>0</v>
      </c>
      <c r="AK24" s="41">
        <f t="shared" si="4"/>
        <v>3063</v>
      </c>
      <c r="AL24" s="41">
        <f t="shared" si="4"/>
        <v>8011</v>
      </c>
      <c r="AM24" s="41">
        <f t="shared" si="4"/>
        <v>0</v>
      </c>
      <c r="AN24" s="41">
        <f>AN22-AN23</f>
        <v>7484</v>
      </c>
      <c r="AO24" s="41">
        <f t="shared" si="4"/>
        <v>1650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117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118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171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12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13"/>
      <c r="AL18" s="213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45831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'6-16-22,2025'!S24</f>
        <v>0</v>
      </c>
      <c r="T20" s="21">
        <f>'6-16-22,2025'!T24</f>
        <v>0</v>
      </c>
      <c r="U20" s="21">
        <f>'6-16-22,2025'!U24</f>
        <v>0</v>
      </c>
      <c r="V20" s="21">
        <f>'6-16-22,2025'!V24</f>
        <v>0</v>
      </c>
      <c r="W20" s="21">
        <f>'6-16-22,2025'!W24</f>
        <v>0</v>
      </c>
      <c r="X20" s="21">
        <f>'6-16-22,2025'!X24</f>
        <v>0</v>
      </c>
      <c r="Y20" s="21">
        <f>'6-16-22,2025'!Y24</f>
        <v>0</v>
      </c>
      <c r="Z20" s="21">
        <f>'6-16-22,2025'!Z24</f>
        <v>0</v>
      </c>
      <c r="AA20" s="21" t="e">
        <f>'6-16-22,2025'!AA24</f>
        <v>#REF!</v>
      </c>
      <c r="AB20" s="21">
        <f>'6-16-22,2025'!AB24</f>
        <v>14287</v>
      </c>
      <c r="AC20" s="21">
        <f>'6-16-22,2025'!AC24</f>
        <v>3925</v>
      </c>
      <c r="AD20" s="21">
        <f>'6-16-22,2025'!AD24</f>
        <v>26000</v>
      </c>
      <c r="AE20" s="21">
        <f>'6-16-22,2025'!AE24</f>
        <v>3250</v>
      </c>
      <c r="AF20" s="21">
        <f>'6-16-22,2025'!AF24</f>
        <v>2700</v>
      </c>
      <c r="AG20" s="21" t="e">
        <f>'6-16-22,2025'!AG24</f>
        <v>#REF!</v>
      </c>
      <c r="AH20" s="21">
        <f>'6-16-22,2025'!AH24</f>
        <v>783</v>
      </c>
      <c r="AI20" s="21">
        <f>'6-16-22,2025'!AI24</f>
        <v>717</v>
      </c>
      <c r="AJ20" s="21">
        <f>'6-16-22,2025'!AJ24</f>
        <v>0</v>
      </c>
      <c r="AK20" s="21">
        <f>'6-16-22,2025'!AK24</f>
        <v>3063</v>
      </c>
      <c r="AL20" s="21">
        <f>'6-16-22,2025'!AL24</f>
        <v>8011</v>
      </c>
      <c r="AM20" s="21">
        <f>'6-16-22,2025'!AM24</f>
        <v>0</v>
      </c>
      <c r="AN20" s="21">
        <f>'6-16-22,2025'!AN24</f>
        <v>7484</v>
      </c>
      <c r="AO20" s="21">
        <f>'6-16-22,2025'!AO24</f>
        <v>1650</v>
      </c>
      <c r="AP20" s="21">
        <f>'6-16-22,2025'!AP24</f>
        <v>0</v>
      </c>
      <c r="AQ20" s="21">
        <f>'6-16-22,2025'!AQ24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>
        <v>27300</v>
      </c>
      <c r="AC21" s="22">
        <f>AB21/91*25</f>
        <v>7500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>
        <v>5000</v>
      </c>
      <c r="AO21" s="31">
        <v>1500</v>
      </c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41587</v>
      </c>
      <c r="AC22" s="34">
        <f>AC20+AC21</f>
        <v>11425</v>
      </c>
      <c r="AD22" s="34">
        <f t="shared" ref="AD22" si="3">AD20+AD21</f>
        <v>26000</v>
      </c>
      <c r="AE22" s="34">
        <f>AE20+AE21</f>
        <v>3250</v>
      </c>
      <c r="AF22" s="34">
        <f t="shared" si="0"/>
        <v>2700</v>
      </c>
      <c r="AG22" s="34" t="e">
        <f t="shared" si="0"/>
        <v>#REF!</v>
      </c>
      <c r="AH22" s="34">
        <f t="shared" si="0"/>
        <v>783</v>
      </c>
      <c r="AI22" s="34">
        <f t="shared" si="0"/>
        <v>717</v>
      </c>
      <c r="AJ22" s="34">
        <f t="shared" si="0"/>
        <v>0</v>
      </c>
      <c r="AK22" s="34">
        <f t="shared" si="0"/>
        <v>3063</v>
      </c>
      <c r="AL22" s="34">
        <f t="shared" si="0"/>
        <v>8011</v>
      </c>
      <c r="AM22" s="34">
        <f t="shared" si="0"/>
        <v>0</v>
      </c>
      <c r="AN22" s="34">
        <f t="shared" si="0"/>
        <v>12484</v>
      </c>
      <c r="AO22" s="34">
        <f t="shared" si="0"/>
        <v>3150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4732</v>
      </c>
      <c r="AC23" s="22">
        <f>AB23/91*25</f>
        <v>1300</v>
      </c>
      <c r="AD23" s="30">
        <v>600</v>
      </c>
      <c r="AE23" s="22">
        <f>AD23/200*25</f>
        <v>75</v>
      </c>
      <c r="AF23" s="30">
        <v>0</v>
      </c>
      <c r="AG23" s="30"/>
      <c r="AH23" s="36">
        <v>45</v>
      </c>
      <c r="AI23" s="22">
        <v>30</v>
      </c>
      <c r="AJ23" s="22"/>
      <c r="AK23" s="30">
        <v>71</v>
      </c>
      <c r="AL23" s="30">
        <v>392</v>
      </c>
      <c r="AM23" s="30"/>
      <c r="AN23" s="30">
        <v>725</v>
      </c>
      <c r="AO23" s="30">
        <v>0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45837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36855</v>
      </c>
      <c r="AC24" s="40">
        <f>AC22-AC23</f>
        <v>10125</v>
      </c>
      <c r="AD24" s="40">
        <f>AD22-AD23</f>
        <v>25400</v>
      </c>
      <c r="AE24" s="40">
        <f>AE22-AE23</f>
        <v>3175</v>
      </c>
      <c r="AF24" s="41">
        <f>AF22-AF23</f>
        <v>2700</v>
      </c>
      <c r="AG24" s="41" t="e">
        <f t="shared" si="4"/>
        <v>#REF!</v>
      </c>
      <c r="AH24" s="93">
        <f>AH22-AH23</f>
        <v>738</v>
      </c>
      <c r="AI24" s="40">
        <f t="shared" si="4"/>
        <v>687</v>
      </c>
      <c r="AJ24" s="40">
        <f t="shared" si="4"/>
        <v>0</v>
      </c>
      <c r="AK24" s="41">
        <f t="shared" si="4"/>
        <v>2992</v>
      </c>
      <c r="AL24" s="41">
        <f t="shared" si="4"/>
        <v>7619</v>
      </c>
      <c r="AM24" s="41">
        <f t="shared" si="4"/>
        <v>0</v>
      </c>
      <c r="AN24" s="41">
        <f>AN22-AN23</f>
        <v>11759</v>
      </c>
      <c r="AO24" s="41">
        <f t="shared" si="4"/>
        <v>3150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174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14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15"/>
      <c r="AL18" s="215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45838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'6-23-29, 2025'!S24</f>
        <v>0</v>
      </c>
      <c r="T20" s="21">
        <f>'6-23-29, 2025'!T24</f>
        <v>0</v>
      </c>
      <c r="U20" s="21">
        <f>'6-23-29, 2025'!U24</f>
        <v>0</v>
      </c>
      <c r="V20" s="21">
        <f>'6-23-29, 2025'!V24</f>
        <v>0</v>
      </c>
      <c r="W20" s="21">
        <f>'6-23-29, 2025'!W24</f>
        <v>0</v>
      </c>
      <c r="X20" s="21">
        <f>'6-23-29, 2025'!X24</f>
        <v>0</v>
      </c>
      <c r="Y20" s="21">
        <f>'6-23-29, 2025'!Y24</f>
        <v>0</v>
      </c>
      <c r="Z20" s="21">
        <f>'6-23-29, 2025'!Z24</f>
        <v>0</v>
      </c>
      <c r="AA20" s="21" t="e">
        <f>'6-23-29, 2025'!AA24</f>
        <v>#REF!</v>
      </c>
      <c r="AB20" s="21">
        <f>'6-23-29, 2025'!AB24</f>
        <v>36855</v>
      </c>
      <c r="AC20" s="21">
        <f>'6-23-29, 2025'!AC24</f>
        <v>10125</v>
      </c>
      <c r="AD20" s="21">
        <f>'6-23-29, 2025'!AD24</f>
        <v>25400</v>
      </c>
      <c r="AE20" s="21">
        <f>'6-23-29, 2025'!AE24</f>
        <v>3175</v>
      </c>
      <c r="AF20" s="21">
        <f>'6-23-29, 2025'!AF24</f>
        <v>2700</v>
      </c>
      <c r="AG20" s="21" t="e">
        <f>'6-23-29, 2025'!AG24</f>
        <v>#REF!</v>
      </c>
      <c r="AH20" s="21">
        <f>'6-23-29, 2025'!AH24</f>
        <v>738</v>
      </c>
      <c r="AI20" s="21">
        <f>'6-23-29, 2025'!AI24</f>
        <v>687</v>
      </c>
      <c r="AJ20" s="21">
        <f>'6-23-29, 2025'!AJ24</f>
        <v>0</v>
      </c>
      <c r="AK20" s="21">
        <f>'6-23-29, 2025'!AK24</f>
        <v>2992</v>
      </c>
      <c r="AL20" s="21">
        <f>'6-23-29, 2025'!AL24</f>
        <v>7619</v>
      </c>
      <c r="AM20" s="21">
        <f>'6-23-29, 2025'!AM24</f>
        <v>0</v>
      </c>
      <c r="AN20" s="21">
        <f>'6-23-29, 2025'!AN24</f>
        <v>11759</v>
      </c>
      <c r="AO20" s="21">
        <f>'6-23-29, 2025'!AO24</f>
        <v>3150</v>
      </c>
      <c r="AP20" s="21">
        <f>'6-23-29, 2025'!AP24</f>
        <v>0</v>
      </c>
      <c r="AQ20" s="21">
        <f>'6-23-29,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36855</v>
      </c>
      <c r="AC22" s="34">
        <f>AC20+AC21</f>
        <v>10125</v>
      </c>
      <c r="AD22" s="34">
        <f t="shared" ref="AD22" si="3">AD20+AD21</f>
        <v>25400</v>
      </c>
      <c r="AE22" s="34">
        <f>AE20+AE21</f>
        <v>3175</v>
      </c>
      <c r="AF22" s="34">
        <f t="shared" si="0"/>
        <v>2700</v>
      </c>
      <c r="AG22" s="34" t="e">
        <f t="shared" si="0"/>
        <v>#REF!</v>
      </c>
      <c r="AH22" s="34">
        <f t="shared" si="0"/>
        <v>738</v>
      </c>
      <c r="AI22" s="34">
        <f t="shared" si="0"/>
        <v>687</v>
      </c>
      <c r="AJ22" s="34">
        <f t="shared" si="0"/>
        <v>0</v>
      </c>
      <c r="AK22" s="34">
        <f t="shared" si="0"/>
        <v>2992</v>
      </c>
      <c r="AL22" s="34">
        <f t="shared" si="0"/>
        <v>7619</v>
      </c>
      <c r="AM22" s="34">
        <f t="shared" si="0"/>
        <v>0</v>
      </c>
      <c r="AN22" s="34">
        <f t="shared" si="0"/>
        <v>11759</v>
      </c>
      <c r="AO22" s="34">
        <f t="shared" si="0"/>
        <v>3150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3731</v>
      </c>
      <c r="AC23" s="22">
        <f>AB23/91*25</f>
        <v>1025</v>
      </c>
      <c r="AD23" s="30">
        <v>1800</v>
      </c>
      <c r="AE23" s="22">
        <f>AD23/200*25</f>
        <v>225</v>
      </c>
      <c r="AF23" s="30">
        <v>400</v>
      </c>
      <c r="AG23" s="30"/>
      <c r="AH23" s="36">
        <v>65</v>
      </c>
      <c r="AI23" s="22">
        <v>55</v>
      </c>
      <c r="AJ23" s="22"/>
      <c r="AK23" s="30">
        <v>250</v>
      </c>
      <c r="AL23" s="30">
        <v>360</v>
      </c>
      <c r="AM23" s="30"/>
      <c r="AN23" s="30">
        <v>617</v>
      </c>
      <c r="AO23" s="30">
        <v>150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45844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33124</v>
      </c>
      <c r="AC24" s="40">
        <f>AC22-AC23</f>
        <v>9100</v>
      </c>
      <c r="AD24" s="40">
        <f>AD22-AD23</f>
        <v>23600</v>
      </c>
      <c r="AE24" s="40">
        <f>AE22-AE23</f>
        <v>2950</v>
      </c>
      <c r="AF24" s="41">
        <f>AF22-AF23</f>
        <v>2300</v>
      </c>
      <c r="AG24" s="41" t="e">
        <f t="shared" si="4"/>
        <v>#REF!</v>
      </c>
      <c r="AH24" s="93">
        <f>AH22-AH23</f>
        <v>673</v>
      </c>
      <c r="AI24" s="40">
        <f t="shared" si="4"/>
        <v>632</v>
      </c>
      <c r="AJ24" s="40">
        <f t="shared" si="4"/>
        <v>0</v>
      </c>
      <c r="AK24" s="41">
        <f t="shared" si="4"/>
        <v>2742</v>
      </c>
      <c r="AL24" s="41">
        <f t="shared" si="4"/>
        <v>7259</v>
      </c>
      <c r="AM24" s="41">
        <f t="shared" si="4"/>
        <v>0</v>
      </c>
      <c r="AN24" s="41">
        <f>AN22-AN23</f>
        <v>11142</v>
      </c>
      <c r="AO24" s="41">
        <f t="shared" si="4"/>
        <v>3000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9" zoomScale="70" zoomScaleNormal="70" workbookViewId="0">
      <selection activeCell="AK26" sqref="AK26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175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16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17"/>
      <c r="AL18" s="217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45845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'6-30-7-6, 2025'!S24</f>
        <v>0</v>
      </c>
      <c r="T20" s="21">
        <f>'6-30-7-6, 2025'!T24</f>
        <v>0</v>
      </c>
      <c r="U20" s="21">
        <f>'6-30-7-6, 2025'!U24</f>
        <v>0</v>
      </c>
      <c r="V20" s="21">
        <f>'6-30-7-6, 2025'!V24</f>
        <v>0</v>
      </c>
      <c r="W20" s="21">
        <f>'6-30-7-6, 2025'!W24</f>
        <v>0</v>
      </c>
      <c r="X20" s="21">
        <f>'6-30-7-6, 2025'!X24</f>
        <v>0</v>
      </c>
      <c r="Y20" s="21">
        <f>'6-30-7-6, 2025'!Y24</f>
        <v>0</v>
      </c>
      <c r="Z20" s="21">
        <f>'6-30-7-6, 2025'!Z24</f>
        <v>0</v>
      </c>
      <c r="AA20" s="21" t="e">
        <f>'6-30-7-6, 2025'!AA24</f>
        <v>#REF!</v>
      </c>
      <c r="AB20" s="21">
        <f>'6-30-7-6, 2025'!AB24</f>
        <v>33124</v>
      </c>
      <c r="AC20" s="21">
        <f>'6-30-7-6, 2025'!AC24</f>
        <v>9100</v>
      </c>
      <c r="AD20" s="21">
        <f>'6-30-7-6, 2025'!AD24</f>
        <v>23600</v>
      </c>
      <c r="AE20" s="21">
        <f>'6-30-7-6, 2025'!AE24</f>
        <v>2950</v>
      </c>
      <c r="AF20" s="21">
        <f>'6-30-7-6, 2025'!AF24</f>
        <v>2300</v>
      </c>
      <c r="AG20" s="21" t="e">
        <f>'6-30-7-6, 2025'!AG24</f>
        <v>#REF!</v>
      </c>
      <c r="AH20" s="21">
        <f>'6-30-7-6, 2025'!AH24</f>
        <v>673</v>
      </c>
      <c r="AI20" s="21">
        <f>'6-30-7-6, 2025'!AI24</f>
        <v>632</v>
      </c>
      <c r="AJ20" s="21">
        <f>'6-30-7-6, 2025'!AJ24</f>
        <v>0</v>
      </c>
      <c r="AK20" s="21">
        <f>'6-30-7-6, 2025'!AK24</f>
        <v>2742</v>
      </c>
      <c r="AL20" s="21">
        <f>'6-30-7-6, 2025'!AL24</f>
        <v>7259</v>
      </c>
      <c r="AM20" s="21">
        <f>'6-30-7-6, 2025'!AM24</f>
        <v>0</v>
      </c>
      <c r="AN20" s="21">
        <f>'6-30-7-6, 2025'!AN24</f>
        <v>11142</v>
      </c>
      <c r="AO20" s="21">
        <f>'6-30-7-6, 2025'!AO24</f>
        <v>3000</v>
      </c>
      <c r="AP20" s="21">
        <f>'6-30-7-6, 2025'!AP24</f>
        <v>0</v>
      </c>
      <c r="AQ20" s="21">
        <f>'6-30-7-6,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>
        <v>2750</v>
      </c>
      <c r="AG21" s="23"/>
      <c r="AH21" s="23">
        <v>2000</v>
      </c>
      <c r="AI21" s="23">
        <v>1000</v>
      </c>
      <c r="AJ21" s="23"/>
      <c r="AK21" s="23"/>
      <c r="AL21" s="23">
        <v>6600</v>
      </c>
      <c r="AM21" s="31"/>
      <c r="AN21" s="31">
        <v>1050</v>
      </c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33124</v>
      </c>
      <c r="AC22" s="34">
        <f>AC20+AC21</f>
        <v>9100</v>
      </c>
      <c r="AD22" s="34">
        <f t="shared" ref="AD22" si="3">AD20+AD21</f>
        <v>23600</v>
      </c>
      <c r="AE22" s="34">
        <f>AE20+AE21</f>
        <v>2950</v>
      </c>
      <c r="AF22" s="34">
        <f t="shared" si="0"/>
        <v>5050</v>
      </c>
      <c r="AG22" s="34" t="e">
        <f t="shared" si="0"/>
        <v>#REF!</v>
      </c>
      <c r="AH22" s="34">
        <f t="shared" si="0"/>
        <v>2673</v>
      </c>
      <c r="AI22" s="34">
        <f t="shared" si="0"/>
        <v>1632</v>
      </c>
      <c r="AJ22" s="34">
        <f t="shared" si="0"/>
        <v>0</v>
      </c>
      <c r="AK22" s="34">
        <f t="shared" si="0"/>
        <v>2742</v>
      </c>
      <c r="AL22" s="34">
        <f t="shared" si="0"/>
        <v>13859</v>
      </c>
      <c r="AM22" s="34">
        <f t="shared" si="0"/>
        <v>0</v>
      </c>
      <c r="AN22" s="34">
        <f t="shared" si="0"/>
        <v>12192</v>
      </c>
      <c r="AO22" s="34">
        <f t="shared" si="0"/>
        <v>3000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3458</v>
      </c>
      <c r="AC23" s="22">
        <f>AB23/91*25</f>
        <v>950</v>
      </c>
      <c r="AD23" s="30">
        <v>800</v>
      </c>
      <c r="AE23" s="22">
        <f>AD23/200*25</f>
        <v>100</v>
      </c>
      <c r="AF23" s="30">
        <v>1075</v>
      </c>
      <c r="AG23" s="30"/>
      <c r="AH23" s="36">
        <v>52</v>
      </c>
      <c r="AI23" s="22">
        <v>41</v>
      </c>
      <c r="AJ23" s="22"/>
      <c r="AK23" s="30">
        <v>92</v>
      </c>
      <c r="AL23" s="30">
        <v>403</v>
      </c>
      <c r="AM23" s="30"/>
      <c r="AN23" s="30">
        <v>650</v>
      </c>
      <c r="AO23" s="30">
        <v>375</v>
      </c>
      <c r="AP23" s="22"/>
      <c r="AQ23" s="38"/>
    </row>
    <row r="24" spans="2:54" s="3" customFormat="1" ht="100.5" customHeight="1" thickBot="1" x14ac:dyDescent="0.25">
      <c r="B24" s="39">
        <v>45851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29666</v>
      </c>
      <c r="AC24" s="40">
        <f>AC22-AC23</f>
        <v>8150</v>
      </c>
      <c r="AD24" s="40">
        <f>AD22-AD23</f>
        <v>22800</v>
      </c>
      <c r="AE24" s="40">
        <f>AE22-AE23</f>
        <v>2850</v>
      </c>
      <c r="AF24" s="41">
        <f>AF22-AF23</f>
        <v>3975</v>
      </c>
      <c r="AG24" s="41" t="e">
        <f t="shared" si="4"/>
        <v>#REF!</v>
      </c>
      <c r="AH24" s="93">
        <f>AH22-AH23</f>
        <v>2621</v>
      </c>
      <c r="AI24" s="40">
        <f t="shared" si="4"/>
        <v>1591</v>
      </c>
      <c r="AJ24" s="40">
        <f t="shared" si="4"/>
        <v>0</v>
      </c>
      <c r="AK24" s="41">
        <f t="shared" si="4"/>
        <v>2650</v>
      </c>
      <c r="AL24" s="41">
        <f t="shared" si="4"/>
        <v>13456</v>
      </c>
      <c r="AM24" s="41">
        <f t="shared" si="4"/>
        <v>0</v>
      </c>
      <c r="AN24" s="41">
        <f>AN22-AN23</f>
        <v>11542</v>
      </c>
      <c r="AO24" s="41">
        <f t="shared" si="4"/>
        <v>2625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4" zoomScale="70" zoomScaleNormal="70" workbookViewId="0">
      <selection activeCell="AB26" sqref="AB26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176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18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19"/>
      <c r="AL18" s="219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45852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'7-7-13, 2025'!S24</f>
        <v>0</v>
      </c>
      <c r="T20" s="21">
        <f>'7-7-13, 2025'!T24</f>
        <v>0</v>
      </c>
      <c r="U20" s="21">
        <f>'7-7-13, 2025'!U24</f>
        <v>0</v>
      </c>
      <c r="V20" s="21">
        <f>'7-7-13, 2025'!V24</f>
        <v>0</v>
      </c>
      <c r="W20" s="21">
        <f>'7-7-13, 2025'!W24</f>
        <v>0</v>
      </c>
      <c r="X20" s="21">
        <f>'7-7-13, 2025'!X24</f>
        <v>0</v>
      </c>
      <c r="Y20" s="21">
        <f>'7-7-13, 2025'!Y24</f>
        <v>0</v>
      </c>
      <c r="Z20" s="21">
        <f>'7-7-13, 2025'!Z24</f>
        <v>0</v>
      </c>
      <c r="AA20" s="21" t="e">
        <f>'7-7-13, 2025'!AA24</f>
        <v>#REF!</v>
      </c>
      <c r="AB20" s="21">
        <f>'7-7-13, 2025'!AB24</f>
        <v>29666</v>
      </c>
      <c r="AC20" s="21">
        <f>'7-7-13, 2025'!AC24</f>
        <v>8150</v>
      </c>
      <c r="AD20" s="21">
        <f>'7-7-13, 2025'!AD24</f>
        <v>22800</v>
      </c>
      <c r="AE20" s="21">
        <f>'7-7-13, 2025'!AE24</f>
        <v>2850</v>
      </c>
      <c r="AF20" s="21">
        <f>'7-7-13, 2025'!AF24</f>
        <v>3975</v>
      </c>
      <c r="AG20" s="21" t="e">
        <f>'7-7-13, 2025'!AG24</f>
        <v>#REF!</v>
      </c>
      <c r="AH20" s="21">
        <f>'7-7-13, 2025'!AH24</f>
        <v>2621</v>
      </c>
      <c r="AI20" s="21">
        <f>'7-7-13, 2025'!AI24</f>
        <v>1591</v>
      </c>
      <c r="AJ20" s="21">
        <f>'7-7-13, 2025'!AJ24</f>
        <v>0</v>
      </c>
      <c r="AK20" s="21">
        <f>'7-7-13, 2025'!AK24</f>
        <v>2650</v>
      </c>
      <c r="AL20" s="21">
        <f>'7-7-13, 2025'!AL24</f>
        <v>13456</v>
      </c>
      <c r="AM20" s="21">
        <f>'7-7-13, 2025'!AM24</f>
        <v>0</v>
      </c>
      <c r="AN20" s="21">
        <f>'7-7-13, 2025'!AN24</f>
        <v>11542</v>
      </c>
      <c r="AO20" s="21">
        <f>'7-7-13, 2025'!AO24</f>
        <v>2625</v>
      </c>
      <c r="AP20" s="21">
        <f>'7-7-13, 2025'!AP24</f>
        <v>0</v>
      </c>
      <c r="AQ20" s="21">
        <f>'7-7-13,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29666</v>
      </c>
      <c r="AC22" s="34">
        <f>AC20+AC21</f>
        <v>8150</v>
      </c>
      <c r="AD22" s="34">
        <f t="shared" ref="AD22" si="3">AD20+AD21</f>
        <v>22800</v>
      </c>
      <c r="AE22" s="34">
        <f>AE20+AE21</f>
        <v>2850</v>
      </c>
      <c r="AF22" s="34">
        <f t="shared" si="0"/>
        <v>3975</v>
      </c>
      <c r="AG22" s="34" t="e">
        <f t="shared" si="0"/>
        <v>#REF!</v>
      </c>
      <c r="AH22" s="34">
        <f t="shared" si="0"/>
        <v>2621</v>
      </c>
      <c r="AI22" s="34">
        <f t="shared" si="0"/>
        <v>1591</v>
      </c>
      <c r="AJ22" s="34">
        <f t="shared" si="0"/>
        <v>0</v>
      </c>
      <c r="AK22" s="34">
        <f t="shared" si="0"/>
        <v>2650</v>
      </c>
      <c r="AL22" s="34">
        <f t="shared" si="0"/>
        <v>13456</v>
      </c>
      <c r="AM22" s="34">
        <f t="shared" si="0"/>
        <v>0</v>
      </c>
      <c r="AN22" s="34">
        <f t="shared" si="0"/>
        <v>11542</v>
      </c>
      <c r="AO22" s="34">
        <f t="shared" si="0"/>
        <v>2625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3549</v>
      </c>
      <c r="AC23" s="22">
        <f>AB23/91*25</f>
        <v>975</v>
      </c>
      <c r="AD23" s="30">
        <v>1600</v>
      </c>
      <c r="AE23" s="22">
        <f>AD23/200*25</f>
        <v>200</v>
      </c>
      <c r="AF23" s="30">
        <v>625</v>
      </c>
      <c r="AG23" s="30"/>
      <c r="AH23" s="36">
        <v>86</v>
      </c>
      <c r="AI23" s="22">
        <v>51</v>
      </c>
      <c r="AJ23" s="22"/>
      <c r="AK23" s="30">
        <v>163</v>
      </c>
      <c r="AL23" s="30">
        <v>420</v>
      </c>
      <c r="AM23" s="30"/>
      <c r="AN23" s="30">
        <v>1370</v>
      </c>
      <c r="AO23" s="30">
        <v>375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45858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26117</v>
      </c>
      <c r="AC24" s="40">
        <f>AC22-AC23</f>
        <v>7175</v>
      </c>
      <c r="AD24" s="40">
        <f>AD22-AD23</f>
        <v>21200</v>
      </c>
      <c r="AE24" s="40">
        <f>AE22-AE23</f>
        <v>2650</v>
      </c>
      <c r="AF24" s="41">
        <f>AF22-AF23</f>
        <v>3350</v>
      </c>
      <c r="AG24" s="41" t="e">
        <f t="shared" si="4"/>
        <v>#REF!</v>
      </c>
      <c r="AH24" s="93">
        <f>AH22-AH23</f>
        <v>2535</v>
      </c>
      <c r="AI24" s="40">
        <f t="shared" si="4"/>
        <v>1540</v>
      </c>
      <c r="AJ24" s="40">
        <f t="shared" si="4"/>
        <v>0</v>
      </c>
      <c r="AK24" s="41">
        <f t="shared" si="4"/>
        <v>2487</v>
      </c>
      <c r="AL24" s="41">
        <f t="shared" si="4"/>
        <v>13036</v>
      </c>
      <c r="AM24" s="41">
        <f t="shared" si="4"/>
        <v>0</v>
      </c>
      <c r="AN24" s="41">
        <f>AN22-AN23</f>
        <v>10172</v>
      </c>
      <c r="AO24" s="41">
        <f t="shared" si="4"/>
        <v>2250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0" zoomScale="70" zoomScaleNormal="70" workbookViewId="0">
      <selection activeCell="AD27" sqref="AD27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177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20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21"/>
      <c r="AL18" s="221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45859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'7-14-20, 2025'!S24</f>
        <v>0</v>
      </c>
      <c r="T20" s="21">
        <f>'7-14-20, 2025'!T24</f>
        <v>0</v>
      </c>
      <c r="U20" s="21">
        <f>'7-14-20, 2025'!U24</f>
        <v>0</v>
      </c>
      <c r="V20" s="21">
        <f>'7-14-20, 2025'!V24</f>
        <v>0</v>
      </c>
      <c r="W20" s="21">
        <f>'7-14-20, 2025'!W24</f>
        <v>0</v>
      </c>
      <c r="X20" s="21">
        <f>'7-14-20, 2025'!X24</f>
        <v>0</v>
      </c>
      <c r="Y20" s="21">
        <f>'7-14-20, 2025'!Y24</f>
        <v>0</v>
      </c>
      <c r="Z20" s="21">
        <f>'7-14-20, 2025'!Z24</f>
        <v>0</v>
      </c>
      <c r="AA20" s="21" t="e">
        <f>'7-14-20, 2025'!AA24</f>
        <v>#REF!</v>
      </c>
      <c r="AB20" s="21">
        <f>'7-14-20, 2025'!AB24</f>
        <v>26117</v>
      </c>
      <c r="AC20" s="21">
        <f>'7-14-20, 2025'!AC24</f>
        <v>7175</v>
      </c>
      <c r="AD20" s="21">
        <f>'7-14-20, 2025'!AD24</f>
        <v>21200</v>
      </c>
      <c r="AE20" s="21">
        <f>'7-14-20, 2025'!AE24</f>
        <v>2650</v>
      </c>
      <c r="AF20" s="21">
        <f>'7-14-20, 2025'!AF24</f>
        <v>3350</v>
      </c>
      <c r="AG20" s="21" t="e">
        <f>'7-14-20, 2025'!AG24</f>
        <v>#REF!</v>
      </c>
      <c r="AH20" s="21">
        <f>'7-14-20, 2025'!AH24</f>
        <v>2535</v>
      </c>
      <c r="AI20" s="21">
        <f>'7-14-20, 2025'!AI24</f>
        <v>1540</v>
      </c>
      <c r="AJ20" s="21">
        <f>'7-14-20, 2025'!AJ24</f>
        <v>0</v>
      </c>
      <c r="AK20" s="21">
        <f>'7-14-20, 2025'!AK24</f>
        <v>2487</v>
      </c>
      <c r="AL20" s="21">
        <f>'7-14-20, 2025'!AL24</f>
        <v>13036</v>
      </c>
      <c r="AM20" s="21">
        <f>'7-14-20, 2025'!AM24</f>
        <v>0</v>
      </c>
      <c r="AN20" s="21">
        <f>'7-14-20, 2025'!AN24</f>
        <v>10172</v>
      </c>
      <c r="AO20" s="21">
        <f>'7-14-20, 2025'!AO24</f>
        <v>2250</v>
      </c>
      <c r="AP20" s="21">
        <f>'7-14-20, 2025'!AP24</f>
        <v>0</v>
      </c>
      <c r="AQ20" s="21">
        <f>'7-14-20,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26117</v>
      </c>
      <c r="AC22" s="34">
        <f>AC20+AC21</f>
        <v>7175</v>
      </c>
      <c r="AD22" s="34">
        <f t="shared" ref="AD22" si="3">AD20+AD21</f>
        <v>21200</v>
      </c>
      <c r="AE22" s="34">
        <f>AE20+AE21</f>
        <v>2650</v>
      </c>
      <c r="AF22" s="34">
        <f t="shared" si="0"/>
        <v>3350</v>
      </c>
      <c r="AG22" s="34" t="e">
        <f t="shared" si="0"/>
        <v>#REF!</v>
      </c>
      <c r="AH22" s="34">
        <f t="shared" si="0"/>
        <v>2535</v>
      </c>
      <c r="AI22" s="34">
        <f t="shared" si="0"/>
        <v>1540</v>
      </c>
      <c r="AJ22" s="34">
        <f t="shared" si="0"/>
        <v>0</v>
      </c>
      <c r="AK22" s="34">
        <f t="shared" si="0"/>
        <v>2487</v>
      </c>
      <c r="AL22" s="34">
        <f t="shared" si="0"/>
        <v>13036</v>
      </c>
      <c r="AM22" s="34">
        <f t="shared" si="0"/>
        <v>0</v>
      </c>
      <c r="AN22" s="34">
        <f t="shared" si="0"/>
        <v>10172</v>
      </c>
      <c r="AO22" s="34">
        <f t="shared" si="0"/>
        <v>2250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7826</v>
      </c>
      <c r="AC23" s="22">
        <f>AB23/91*25</f>
        <v>2150</v>
      </c>
      <c r="AD23" s="30">
        <v>0</v>
      </c>
      <c r="AE23" s="22">
        <f>AD23/200*25</f>
        <v>0</v>
      </c>
      <c r="AF23" s="30">
        <v>1075</v>
      </c>
      <c r="AG23" s="30"/>
      <c r="AH23" s="36">
        <v>100</v>
      </c>
      <c r="AI23" s="22">
        <v>53</v>
      </c>
      <c r="AJ23" s="22"/>
      <c r="AK23" s="30">
        <v>0</v>
      </c>
      <c r="AL23" s="30">
        <v>668</v>
      </c>
      <c r="AM23" s="30"/>
      <c r="AN23" s="30">
        <v>1380</v>
      </c>
      <c r="AO23" s="30">
        <v>675</v>
      </c>
      <c r="AP23" s="22"/>
      <c r="AQ23" s="38">
        <v>0</v>
      </c>
    </row>
    <row r="24" spans="2:54" s="3" customFormat="1" ht="100.5" customHeight="1" thickBot="1" x14ac:dyDescent="0.25">
      <c r="B24" s="39">
        <v>45865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18291</v>
      </c>
      <c r="AC24" s="40">
        <f>AC22-AC23</f>
        <v>5025</v>
      </c>
      <c r="AD24" s="40">
        <f>AD22-AD23</f>
        <v>21200</v>
      </c>
      <c r="AE24" s="40">
        <f>AE22-AE23</f>
        <v>2650</v>
      </c>
      <c r="AF24" s="41">
        <f>AF22-AF23</f>
        <v>2275</v>
      </c>
      <c r="AG24" s="41" t="e">
        <f t="shared" si="4"/>
        <v>#REF!</v>
      </c>
      <c r="AH24" s="93">
        <f>AH22-AH23</f>
        <v>2435</v>
      </c>
      <c r="AI24" s="40">
        <f t="shared" si="4"/>
        <v>1487</v>
      </c>
      <c r="AJ24" s="40">
        <f t="shared" si="4"/>
        <v>0</v>
      </c>
      <c r="AK24" s="41">
        <f t="shared" si="4"/>
        <v>2487</v>
      </c>
      <c r="AL24" s="41">
        <f t="shared" si="4"/>
        <v>12368</v>
      </c>
      <c r="AM24" s="41">
        <f t="shared" si="4"/>
        <v>0</v>
      </c>
      <c r="AN24" s="41">
        <f>AN22-AN23</f>
        <v>8792</v>
      </c>
      <c r="AO24" s="41">
        <f t="shared" si="4"/>
        <v>1575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178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22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23"/>
      <c r="AL18" s="223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45866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'7-21-27, 2025'!S24</f>
        <v>0</v>
      </c>
      <c r="T20" s="21">
        <f>'7-21-27, 2025'!T24</f>
        <v>0</v>
      </c>
      <c r="U20" s="21">
        <f>'7-21-27, 2025'!U24</f>
        <v>0</v>
      </c>
      <c r="V20" s="21">
        <f>'7-21-27, 2025'!V24</f>
        <v>0</v>
      </c>
      <c r="W20" s="21">
        <f>'7-21-27, 2025'!W24</f>
        <v>0</v>
      </c>
      <c r="X20" s="21">
        <f>'7-21-27, 2025'!X24</f>
        <v>0</v>
      </c>
      <c r="Y20" s="21">
        <f>'7-21-27, 2025'!Y24</f>
        <v>0</v>
      </c>
      <c r="Z20" s="21">
        <f>'7-21-27, 2025'!Z24</f>
        <v>0</v>
      </c>
      <c r="AA20" s="21" t="e">
        <f>'7-21-27, 2025'!AA24</f>
        <v>#REF!</v>
      </c>
      <c r="AB20" s="21">
        <f>'7-21-27, 2025'!AB24</f>
        <v>18291</v>
      </c>
      <c r="AC20" s="21">
        <f>'7-21-27, 2025'!AC24</f>
        <v>5025</v>
      </c>
      <c r="AD20" s="21">
        <f>'7-21-27, 2025'!AD24</f>
        <v>21200</v>
      </c>
      <c r="AE20" s="21">
        <f>'7-21-27, 2025'!AE24</f>
        <v>2650</v>
      </c>
      <c r="AF20" s="21">
        <f>'7-21-27, 2025'!AF24</f>
        <v>2275</v>
      </c>
      <c r="AG20" s="21" t="e">
        <f>'7-21-27, 2025'!AG24</f>
        <v>#REF!</v>
      </c>
      <c r="AH20" s="21">
        <f>'7-21-27, 2025'!AH24</f>
        <v>2435</v>
      </c>
      <c r="AI20" s="21">
        <f>'7-21-27, 2025'!AI24</f>
        <v>1487</v>
      </c>
      <c r="AJ20" s="21">
        <f>'7-21-27, 2025'!AJ24</f>
        <v>0</v>
      </c>
      <c r="AK20" s="21">
        <f>'7-21-27, 2025'!AK24</f>
        <v>2487</v>
      </c>
      <c r="AL20" s="21">
        <f>'7-21-27, 2025'!AL24</f>
        <v>12368</v>
      </c>
      <c r="AM20" s="21">
        <f>'7-21-27, 2025'!AM24</f>
        <v>0</v>
      </c>
      <c r="AN20" s="21">
        <f>'7-21-27, 2025'!AN24</f>
        <v>8792</v>
      </c>
      <c r="AO20" s="21">
        <f>'7-21-27, 2025'!AO24</f>
        <v>1575</v>
      </c>
      <c r="AP20" s="21">
        <f>'7-21-27, 2025'!AP24</f>
        <v>0</v>
      </c>
      <c r="AQ20" s="21">
        <f>'7-21-27,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18291</v>
      </c>
      <c r="AC22" s="34">
        <f>AC20+AC21</f>
        <v>5025</v>
      </c>
      <c r="AD22" s="34">
        <f t="shared" ref="AD22" si="3">AD20+AD21</f>
        <v>21200</v>
      </c>
      <c r="AE22" s="34">
        <f>AE20+AE21</f>
        <v>2650</v>
      </c>
      <c r="AF22" s="34">
        <f t="shared" si="0"/>
        <v>2275</v>
      </c>
      <c r="AG22" s="34" t="e">
        <f t="shared" si="0"/>
        <v>#REF!</v>
      </c>
      <c r="AH22" s="34">
        <f t="shared" si="0"/>
        <v>2435</v>
      </c>
      <c r="AI22" s="34">
        <f t="shared" si="0"/>
        <v>1487</v>
      </c>
      <c r="AJ22" s="34">
        <f t="shared" si="0"/>
        <v>0</v>
      </c>
      <c r="AK22" s="34">
        <f t="shared" si="0"/>
        <v>2487</v>
      </c>
      <c r="AL22" s="34">
        <f t="shared" si="0"/>
        <v>12368</v>
      </c>
      <c r="AM22" s="34">
        <f t="shared" si="0"/>
        <v>0</v>
      </c>
      <c r="AN22" s="34">
        <f t="shared" si="0"/>
        <v>8792</v>
      </c>
      <c r="AO22" s="34">
        <f t="shared" si="0"/>
        <v>1575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4004</v>
      </c>
      <c r="AC23" s="22">
        <f>AB23/91*25</f>
        <v>1100</v>
      </c>
      <c r="AD23" s="30">
        <v>200</v>
      </c>
      <c r="AE23" s="22">
        <f>AD23/200*25</f>
        <v>25</v>
      </c>
      <c r="AF23" s="30">
        <v>1225</v>
      </c>
      <c r="AG23" s="30"/>
      <c r="AH23" s="36">
        <v>103</v>
      </c>
      <c r="AI23" s="22">
        <v>45</v>
      </c>
      <c r="AJ23" s="22"/>
      <c r="AK23" s="30">
        <v>46</v>
      </c>
      <c r="AL23" s="30">
        <v>495</v>
      </c>
      <c r="AM23" s="30"/>
      <c r="AN23" s="30">
        <v>1114</v>
      </c>
      <c r="AO23" s="30">
        <v>375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45872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14287</v>
      </c>
      <c r="AC24" s="40">
        <f>AC22-AC23</f>
        <v>3925</v>
      </c>
      <c r="AD24" s="40">
        <f>AD22-AD23</f>
        <v>21000</v>
      </c>
      <c r="AE24" s="40">
        <f>AE22-AE23</f>
        <v>2625</v>
      </c>
      <c r="AF24" s="41">
        <f>AF22-AF23</f>
        <v>1050</v>
      </c>
      <c r="AG24" s="41" t="e">
        <f t="shared" si="4"/>
        <v>#REF!</v>
      </c>
      <c r="AH24" s="93">
        <f>AH22-AH23</f>
        <v>2332</v>
      </c>
      <c r="AI24" s="40">
        <f t="shared" si="4"/>
        <v>1442</v>
      </c>
      <c r="AJ24" s="40">
        <f t="shared" si="4"/>
        <v>0</v>
      </c>
      <c r="AK24" s="41">
        <f t="shared" si="4"/>
        <v>2441</v>
      </c>
      <c r="AL24" s="41">
        <f t="shared" si="4"/>
        <v>11873</v>
      </c>
      <c r="AM24" s="41">
        <f t="shared" si="4"/>
        <v>0</v>
      </c>
      <c r="AN24" s="41">
        <f>AN22-AN23</f>
        <v>7678</v>
      </c>
      <c r="AO24" s="41">
        <f t="shared" si="4"/>
        <v>1200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AL24" sqref="AL24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179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24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25"/>
      <c r="AL18" s="225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45873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'7-28-8-3, 2025'!S24</f>
        <v>0</v>
      </c>
      <c r="T20" s="21">
        <f>'7-28-8-3, 2025'!T24</f>
        <v>0</v>
      </c>
      <c r="U20" s="21">
        <f>'7-28-8-3, 2025'!U24</f>
        <v>0</v>
      </c>
      <c r="V20" s="21">
        <f>'7-28-8-3, 2025'!V24</f>
        <v>0</v>
      </c>
      <c r="W20" s="21">
        <f>'7-28-8-3, 2025'!W24</f>
        <v>0</v>
      </c>
      <c r="X20" s="21">
        <f>'7-28-8-3, 2025'!X24</f>
        <v>0</v>
      </c>
      <c r="Y20" s="21">
        <f>'7-28-8-3, 2025'!Y24</f>
        <v>0</v>
      </c>
      <c r="Z20" s="21">
        <f>'7-28-8-3, 2025'!Z24</f>
        <v>0</v>
      </c>
      <c r="AA20" s="21" t="e">
        <f>'7-28-8-3, 2025'!AA24</f>
        <v>#REF!</v>
      </c>
      <c r="AB20" s="21">
        <f>'7-28-8-3, 2025'!AB24</f>
        <v>14287</v>
      </c>
      <c r="AC20" s="21">
        <f>'7-28-8-3, 2025'!AC24</f>
        <v>3925</v>
      </c>
      <c r="AD20" s="21">
        <f>'7-28-8-3, 2025'!AD24</f>
        <v>21000</v>
      </c>
      <c r="AE20" s="21">
        <f>'7-28-8-3, 2025'!AE24</f>
        <v>2625</v>
      </c>
      <c r="AF20" s="21">
        <f>'7-28-8-3, 2025'!AF24</f>
        <v>1050</v>
      </c>
      <c r="AG20" s="21" t="e">
        <f>'7-28-8-3, 2025'!AG24</f>
        <v>#REF!</v>
      </c>
      <c r="AH20" s="21">
        <f>'7-28-8-3, 2025'!AH24</f>
        <v>2332</v>
      </c>
      <c r="AI20" s="21">
        <f>'7-28-8-3, 2025'!AI24</f>
        <v>1442</v>
      </c>
      <c r="AJ20" s="21">
        <f>'7-28-8-3, 2025'!AJ24</f>
        <v>0</v>
      </c>
      <c r="AK20" s="21">
        <f>'7-28-8-3, 2025'!AK24</f>
        <v>2441</v>
      </c>
      <c r="AL20" s="21">
        <f>'7-28-8-3, 2025'!AL24</f>
        <v>11873</v>
      </c>
      <c r="AM20" s="21">
        <f>'7-28-8-3, 2025'!AM24</f>
        <v>0</v>
      </c>
      <c r="AN20" s="21">
        <f>'7-28-8-3, 2025'!AN24</f>
        <v>7678</v>
      </c>
      <c r="AO20" s="21">
        <f>'7-28-8-3, 2025'!AO24</f>
        <v>1200</v>
      </c>
      <c r="AP20" s="21">
        <f>'7-28-8-3, 2025'!AP24</f>
        <v>0</v>
      </c>
      <c r="AQ20" s="21">
        <f>'7-28-8-3,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AD21/200*25</f>
        <v>0</v>
      </c>
      <c r="AF21" s="23">
        <v>2500</v>
      </c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14287</v>
      </c>
      <c r="AC22" s="34">
        <f>AC20+AC21</f>
        <v>3925</v>
      </c>
      <c r="AD22" s="34">
        <f t="shared" ref="AD22" si="3">AD20+AD21</f>
        <v>21000</v>
      </c>
      <c r="AE22" s="34">
        <f>AE20+AE21</f>
        <v>2625</v>
      </c>
      <c r="AF22" s="34">
        <f t="shared" si="0"/>
        <v>3550</v>
      </c>
      <c r="AG22" s="34" t="e">
        <f t="shared" si="0"/>
        <v>#REF!</v>
      </c>
      <c r="AH22" s="34">
        <f t="shared" si="0"/>
        <v>2332</v>
      </c>
      <c r="AI22" s="34">
        <f t="shared" si="0"/>
        <v>1442</v>
      </c>
      <c r="AJ22" s="34">
        <f t="shared" si="0"/>
        <v>0</v>
      </c>
      <c r="AK22" s="34">
        <f t="shared" si="0"/>
        <v>2441</v>
      </c>
      <c r="AL22" s="34">
        <f t="shared" si="0"/>
        <v>11873</v>
      </c>
      <c r="AM22" s="34">
        <f t="shared" si="0"/>
        <v>0</v>
      </c>
      <c r="AN22" s="34">
        <f t="shared" si="0"/>
        <v>7678</v>
      </c>
      <c r="AO22" s="34">
        <f t="shared" si="0"/>
        <v>1200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5460</v>
      </c>
      <c r="AC23" s="22">
        <f>AB23/91*25</f>
        <v>1500</v>
      </c>
      <c r="AD23" s="30">
        <v>0</v>
      </c>
      <c r="AE23" s="22">
        <f>AD23/200*25</f>
        <v>0</v>
      </c>
      <c r="AF23" s="30">
        <v>1275</v>
      </c>
      <c r="AG23" s="30"/>
      <c r="AH23" s="36">
        <v>106</v>
      </c>
      <c r="AI23" s="22">
        <v>51</v>
      </c>
      <c r="AJ23" s="22"/>
      <c r="AK23" s="30">
        <v>0</v>
      </c>
      <c r="AL23" s="30">
        <v>543</v>
      </c>
      <c r="AM23" s="30"/>
      <c r="AN23" s="30">
        <v>840</v>
      </c>
      <c r="AO23" s="30">
        <v>450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45879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8827</v>
      </c>
      <c r="AC24" s="40">
        <f>AC22-AC23</f>
        <v>2425</v>
      </c>
      <c r="AD24" s="40">
        <f>AD22-AD23</f>
        <v>21000</v>
      </c>
      <c r="AE24" s="40">
        <f>AE22-AE23</f>
        <v>2625</v>
      </c>
      <c r="AF24" s="41">
        <f>AF22-AF23</f>
        <v>2275</v>
      </c>
      <c r="AG24" s="41" t="e">
        <f t="shared" si="4"/>
        <v>#REF!</v>
      </c>
      <c r="AH24" s="93">
        <f>AH22-AH23</f>
        <v>2226</v>
      </c>
      <c r="AI24" s="40">
        <f t="shared" si="4"/>
        <v>1391</v>
      </c>
      <c r="AJ24" s="40">
        <f t="shared" si="4"/>
        <v>0</v>
      </c>
      <c r="AK24" s="41">
        <f t="shared" si="4"/>
        <v>2441</v>
      </c>
      <c r="AL24" s="41">
        <f t="shared" si="4"/>
        <v>11330</v>
      </c>
      <c r="AM24" s="41">
        <f t="shared" si="4"/>
        <v>0</v>
      </c>
      <c r="AN24" s="41">
        <f>AN22-AN23</f>
        <v>6838</v>
      </c>
      <c r="AO24" s="41">
        <f t="shared" si="4"/>
        <v>750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7" zoomScale="70" zoomScaleNormal="70" workbookViewId="0">
      <selection activeCell="AE23" sqref="AE2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26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27"/>
      <c r="AL18" s="227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45880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'8-4-10, 2025'!S24</f>
        <v>0</v>
      </c>
      <c r="T20" s="21">
        <f>'8-4-10, 2025'!T24</f>
        <v>0</v>
      </c>
      <c r="U20" s="21">
        <f>'8-4-10, 2025'!U24</f>
        <v>0</v>
      </c>
      <c r="V20" s="21">
        <f>'8-4-10, 2025'!V24</f>
        <v>0</v>
      </c>
      <c r="W20" s="21">
        <f>'8-4-10, 2025'!W24</f>
        <v>0</v>
      </c>
      <c r="X20" s="21">
        <f>'8-4-10, 2025'!X24</f>
        <v>0</v>
      </c>
      <c r="Y20" s="21">
        <f>'8-4-10, 2025'!Y24</f>
        <v>0</v>
      </c>
      <c r="Z20" s="21">
        <f>'8-4-10, 2025'!Z24</f>
        <v>0</v>
      </c>
      <c r="AA20" s="21" t="e">
        <f>'8-4-10, 2025'!AA24</f>
        <v>#REF!</v>
      </c>
      <c r="AB20" s="21">
        <f>'8-4-10, 2025'!AB24</f>
        <v>8827</v>
      </c>
      <c r="AC20" s="21">
        <f>'8-4-10, 2025'!AC24</f>
        <v>2425</v>
      </c>
      <c r="AD20" s="21">
        <f>'8-4-10, 2025'!AD24</f>
        <v>21000</v>
      </c>
      <c r="AE20" s="21">
        <f>'8-4-10, 2025'!AE24</f>
        <v>2625</v>
      </c>
      <c r="AF20" s="21">
        <f>'8-4-10, 2025'!AF24</f>
        <v>2275</v>
      </c>
      <c r="AG20" s="21" t="e">
        <f>'8-4-10, 2025'!AG24</f>
        <v>#REF!</v>
      </c>
      <c r="AH20" s="21">
        <f>'8-4-10, 2025'!AH24</f>
        <v>2226</v>
      </c>
      <c r="AI20" s="21">
        <f>'8-4-10, 2025'!AI24</f>
        <v>1391</v>
      </c>
      <c r="AJ20" s="21">
        <f>'8-4-10, 2025'!AJ24</f>
        <v>0</v>
      </c>
      <c r="AK20" s="21">
        <f>'8-4-10, 2025'!AK24</f>
        <v>2441</v>
      </c>
      <c r="AL20" s="21">
        <f>'8-4-10, 2025'!AL24</f>
        <v>11330</v>
      </c>
      <c r="AM20" s="21">
        <f>'8-4-10, 2025'!AM24</f>
        <v>0</v>
      </c>
      <c r="AN20" s="21">
        <f>'8-4-10, 2025'!AN24</f>
        <v>6838</v>
      </c>
      <c r="AO20" s="21">
        <f>'8-4-10, 2025'!AO24</f>
        <v>750</v>
      </c>
      <c r="AP20" s="21">
        <f>'8-4-10, 2025'!AP24</f>
        <v>0</v>
      </c>
      <c r="AQ20" s="21">
        <f>'8-4-10,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/>
      <c r="AD21" s="23"/>
      <c r="AE21" s="22"/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8827</v>
      </c>
      <c r="AC22" s="34">
        <f>AC20+AC21</f>
        <v>2425</v>
      </c>
      <c r="AD22" s="34">
        <f t="shared" ref="AD22" si="3">AD20+AD21</f>
        <v>21000</v>
      </c>
      <c r="AE22" s="34">
        <f>AE20+AE21</f>
        <v>2625</v>
      </c>
      <c r="AF22" s="34">
        <f t="shared" si="0"/>
        <v>2275</v>
      </c>
      <c r="AG22" s="34" t="e">
        <f t="shared" si="0"/>
        <v>#REF!</v>
      </c>
      <c r="AH22" s="34">
        <f t="shared" si="0"/>
        <v>2226</v>
      </c>
      <c r="AI22" s="34">
        <f t="shared" si="0"/>
        <v>1391</v>
      </c>
      <c r="AJ22" s="34">
        <f t="shared" si="0"/>
        <v>0</v>
      </c>
      <c r="AK22" s="34">
        <f t="shared" si="0"/>
        <v>2441</v>
      </c>
      <c r="AL22" s="34">
        <f t="shared" si="0"/>
        <v>11330</v>
      </c>
      <c r="AM22" s="34">
        <f t="shared" si="0"/>
        <v>0</v>
      </c>
      <c r="AN22" s="34">
        <f t="shared" si="0"/>
        <v>6838</v>
      </c>
      <c r="AO22" s="34">
        <f t="shared" si="0"/>
        <v>750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f>55*91</f>
        <v>5005</v>
      </c>
      <c r="AC23" s="22">
        <f>AB23/91*25</f>
        <v>1375</v>
      </c>
      <c r="AD23" s="30"/>
      <c r="AE23" s="22">
        <f>AD23/200*25</f>
        <v>0</v>
      </c>
      <c r="AF23" s="30">
        <f>51*25</f>
        <v>1275</v>
      </c>
      <c r="AG23" s="30"/>
      <c r="AH23" s="36">
        <v>97</v>
      </c>
      <c r="AI23" s="22">
        <v>46</v>
      </c>
      <c r="AJ23" s="22"/>
      <c r="AK23" s="30"/>
      <c r="AL23" s="30">
        <v>544</v>
      </c>
      <c r="AM23" s="30"/>
      <c r="AN23" s="30">
        <v>958</v>
      </c>
      <c r="AO23" s="30">
        <v>450</v>
      </c>
      <c r="AP23" s="22"/>
      <c r="AQ23" s="38"/>
    </row>
    <row r="24" spans="2:54" s="3" customFormat="1" ht="100.5" customHeight="1" thickBot="1" x14ac:dyDescent="0.25">
      <c r="B24" s="39">
        <v>45886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3822</v>
      </c>
      <c r="AC24" s="40">
        <f>AC22-AC23</f>
        <v>1050</v>
      </c>
      <c r="AD24" s="40">
        <f>AD22-AD23</f>
        <v>21000</v>
      </c>
      <c r="AE24" s="40">
        <f>AE22-AE23</f>
        <v>2625</v>
      </c>
      <c r="AF24" s="41">
        <f>AF22-AF23</f>
        <v>1000</v>
      </c>
      <c r="AG24" s="41" t="e">
        <f t="shared" si="4"/>
        <v>#REF!</v>
      </c>
      <c r="AH24" s="93">
        <f>AH22-AH23</f>
        <v>2129</v>
      </c>
      <c r="AI24" s="40">
        <f t="shared" si="4"/>
        <v>1345</v>
      </c>
      <c r="AJ24" s="40">
        <f t="shared" si="4"/>
        <v>0</v>
      </c>
      <c r="AK24" s="41">
        <f t="shared" si="4"/>
        <v>2441</v>
      </c>
      <c r="AL24" s="41">
        <f t="shared" si="4"/>
        <v>10786</v>
      </c>
      <c r="AM24" s="41">
        <f t="shared" si="4"/>
        <v>0</v>
      </c>
      <c r="AN24" s="41">
        <f>AN22-AN23</f>
        <v>5880</v>
      </c>
      <c r="AO24" s="41">
        <f t="shared" si="4"/>
        <v>300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9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28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29"/>
      <c r="AL18" s="229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45887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'8-11-17, 2025'!S24</f>
        <v>0</v>
      </c>
      <c r="T20" s="21">
        <f>'8-11-17, 2025'!T24</f>
        <v>0</v>
      </c>
      <c r="U20" s="21">
        <f>'8-11-17, 2025'!U24</f>
        <v>0</v>
      </c>
      <c r="V20" s="21">
        <f>'8-11-17, 2025'!V24</f>
        <v>0</v>
      </c>
      <c r="W20" s="21">
        <f>'8-11-17, 2025'!W24</f>
        <v>0</v>
      </c>
      <c r="X20" s="21">
        <f>'8-11-17, 2025'!X24</f>
        <v>0</v>
      </c>
      <c r="Y20" s="21">
        <f>'8-11-17, 2025'!Y24</f>
        <v>0</v>
      </c>
      <c r="Z20" s="21">
        <f>'8-11-17, 2025'!Z24</f>
        <v>0</v>
      </c>
      <c r="AA20" s="21" t="e">
        <f>'8-11-17, 2025'!AA24</f>
        <v>#REF!</v>
      </c>
      <c r="AB20" s="21">
        <f>'8-11-17, 2025'!AB24</f>
        <v>3822</v>
      </c>
      <c r="AC20" s="21">
        <f>'8-11-17, 2025'!AC24</f>
        <v>1050</v>
      </c>
      <c r="AD20" s="21">
        <f>'8-11-17, 2025'!AD24</f>
        <v>21000</v>
      </c>
      <c r="AE20" s="21">
        <f>'8-11-17, 2025'!AE24</f>
        <v>2625</v>
      </c>
      <c r="AF20" s="21">
        <f>'8-11-17, 2025'!AF24</f>
        <v>1000</v>
      </c>
      <c r="AG20" s="21" t="e">
        <f>'8-11-17, 2025'!AG24</f>
        <v>#REF!</v>
      </c>
      <c r="AH20" s="21">
        <f>'8-11-17, 2025'!AH24</f>
        <v>2129</v>
      </c>
      <c r="AI20" s="21">
        <f>'8-11-17, 2025'!AI24</f>
        <v>1345</v>
      </c>
      <c r="AJ20" s="21">
        <f>'8-11-17, 2025'!AJ24</f>
        <v>0</v>
      </c>
      <c r="AK20" s="21">
        <f>'8-11-17, 2025'!AK24</f>
        <v>2441</v>
      </c>
      <c r="AL20" s="21">
        <f>'8-11-17, 2025'!AL24</f>
        <v>10786</v>
      </c>
      <c r="AM20" s="21">
        <f>'8-11-17, 2025'!AM24</f>
        <v>0</v>
      </c>
      <c r="AN20" s="21">
        <f>'8-11-17, 2025'!AN24</f>
        <v>5880</v>
      </c>
      <c r="AO20" s="21">
        <f>'8-11-17, 2025'!AO24</f>
        <v>300</v>
      </c>
      <c r="AP20" s="21">
        <f>'8-11-17, 2025'!AP24</f>
        <v>0</v>
      </c>
      <c r="AQ20" s="21">
        <f>'8-11-17,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>
        <v>27300</v>
      </c>
      <c r="AC21" s="22">
        <f>AB21/91*25</f>
        <v>7500</v>
      </c>
      <c r="AD21" s="23"/>
      <c r="AE21" s="22">
        <f>AD21/91*25</f>
        <v>0</v>
      </c>
      <c r="AF21" s="23">
        <v>1750</v>
      </c>
      <c r="AG21" s="23"/>
      <c r="AH21" s="23"/>
      <c r="AI21" s="23"/>
      <c r="AJ21" s="23"/>
      <c r="AK21" s="23"/>
      <c r="AL21" s="23">
        <v>5060</v>
      </c>
      <c r="AM21" s="31"/>
      <c r="AN21" s="31">
        <v>10000</v>
      </c>
      <c r="AO21" s="31">
        <v>3000</v>
      </c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31122</v>
      </c>
      <c r="AC22" s="34">
        <f>AC20+AC21</f>
        <v>8550</v>
      </c>
      <c r="AD22" s="34">
        <f t="shared" ref="AD22" si="3">AD20+AD21</f>
        <v>21000</v>
      </c>
      <c r="AE22" s="34">
        <f>AE20+AE21</f>
        <v>2625</v>
      </c>
      <c r="AF22" s="34">
        <f t="shared" si="0"/>
        <v>2750</v>
      </c>
      <c r="AG22" s="34" t="e">
        <f t="shared" si="0"/>
        <v>#REF!</v>
      </c>
      <c r="AH22" s="34">
        <f t="shared" si="0"/>
        <v>2129</v>
      </c>
      <c r="AI22" s="34">
        <f t="shared" si="0"/>
        <v>1345</v>
      </c>
      <c r="AJ22" s="34">
        <f t="shared" si="0"/>
        <v>0</v>
      </c>
      <c r="AK22" s="34">
        <f t="shared" si="0"/>
        <v>2441</v>
      </c>
      <c r="AL22" s="34">
        <f t="shared" si="0"/>
        <v>15846</v>
      </c>
      <c r="AM22" s="34">
        <f t="shared" si="0"/>
        <v>0</v>
      </c>
      <c r="AN22" s="34">
        <f t="shared" si="0"/>
        <v>15880</v>
      </c>
      <c r="AO22" s="34">
        <f t="shared" si="0"/>
        <v>3300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5824</v>
      </c>
      <c r="AC23" s="22">
        <f>AB23/91*25</f>
        <v>1600</v>
      </c>
      <c r="AD23" s="30">
        <v>200</v>
      </c>
      <c r="AE23" s="22">
        <f>AD23/200*25</f>
        <v>25</v>
      </c>
      <c r="AF23" s="30">
        <v>800</v>
      </c>
      <c r="AG23" s="30"/>
      <c r="AH23" s="36">
        <v>106</v>
      </c>
      <c r="AI23" s="22">
        <v>51</v>
      </c>
      <c r="AJ23" s="22"/>
      <c r="AK23" s="30">
        <v>24</v>
      </c>
      <c r="AL23" s="30">
        <v>485</v>
      </c>
      <c r="AM23" s="30"/>
      <c r="AN23" s="30">
        <v>843</v>
      </c>
      <c r="AO23" s="30">
        <v>375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45893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25298</v>
      </c>
      <c r="AC24" s="40">
        <f>AC22-AC23</f>
        <v>6950</v>
      </c>
      <c r="AD24" s="40">
        <f>AD22-AD23</f>
        <v>20800</v>
      </c>
      <c r="AE24" s="40">
        <f>AE22-AE23</f>
        <v>2600</v>
      </c>
      <c r="AF24" s="41">
        <f>AF22-AF23</f>
        <v>1950</v>
      </c>
      <c r="AG24" s="41" t="e">
        <f t="shared" si="4"/>
        <v>#REF!</v>
      </c>
      <c r="AH24" s="93">
        <f>AH22-AH23</f>
        <v>2023</v>
      </c>
      <c r="AI24" s="40">
        <f t="shared" si="4"/>
        <v>1294</v>
      </c>
      <c r="AJ24" s="40">
        <f t="shared" si="4"/>
        <v>0</v>
      </c>
      <c r="AK24" s="41">
        <f t="shared" si="4"/>
        <v>2417</v>
      </c>
      <c r="AL24" s="41">
        <f t="shared" si="4"/>
        <v>15361</v>
      </c>
      <c r="AM24" s="41">
        <f t="shared" si="4"/>
        <v>0</v>
      </c>
      <c r="AN24" s="41">
        <f>AN22-AN23</f>
        <v>15037</v>
      </c>
      <c r="AO24" s="41">
        <f t="shared" si="4"/>
        <v>2925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7" zoomScale="70" zoomScaleNormal="70" workbookViewId="0">
      <selection activeCell="AD26" sqref="AD26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31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32"/>
      <c r="AL18" s="232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45894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'8-18-24, 2025'!S24</f>
        <v>0</v>
      </c>
      <c r="T20" s="21">
        <f>'8-18-24, 2025'!T24</f>
        <v>0</v>
      </c>
      <c r="U20" s="21">
        <f>'8-18-24, 2025'!U24</f>
        <v>0</v>
      </c>
      <c r="V20" s="21">
        <f>'8-18-24, 2025'!V24</f>
        <v>0</v>
      </c>
      <c r="W20" s="21">
        <f>'8-18-24, 2025'!W24</f>
        <v>0</v>
      </c>
      <c r="X20" s="21">
        <f>'8-18-24, 2025'!X24</f>
        <v>0</v>
      </c>
      <c r="Y20" s="21">
        <f>'8-18-24, 2025'!Y24</f>
        <v>0</v>
      </c>
      <c r="Z20" s="21">
        <f>'8-18-24, 2025'!Z24</f>
        <v>0</v>
      </c>
      <c r="AA20" s="21" t="e">
        <f>'8-18-24, 2025'!AA24</f>
        <v>#REF!</v>
      </c>
      <c r="AB20" s="21">
        <f>'8-18-24, 2025'!AB24</f>
        <v>25298</v>
      </c>
      <c r="AC20" s="21">
        <f>'8-18-24, 2025'!AC24</f>
        <v>6950</v>
      </c>
      <c r="AD20" s="21">
        <f>'8-18-24, 2025'!AD24</f>
        <v>20800</v>
      </c>
      <c r="AE20" s="21">
        <f>'8-18-24, 2025'!AE24</f>
        <v>2600</v>
      </c>
      <c r="AF20" s="21">
        <f>'8-18-24, 2025'!AF24</f>
        <v>1950</v>
      </c>
      <c r="AG20" s="21" t="e">
        <f>'8-18-24, 2025'!AG24</f>
        <v>#REF!</v>
      </c>
      <c r="AH20" s="21">
        <f>'8-18-24, 2025'!AH24</f>
        <v>2023</v>
      </c>
      <c r="AI20" s="21">
        <f>'8-18-24, 2025'!AI24</f>
        <v>1294</v>
      </c>
      <c r="AJ20" s="21">
        <f>'8-18-24, 2025'!AJ24</f>
        <v>0</v>
      </c>
      <c r="AK20" s="21">
        <f>'8-18-24, 2025'!AK24</f>
        <v>2417</v>
      </c>
      <c r="AL20" s="21">
        <f>'8-18-24, 2025'!AL24</f>
        <v>15361</v>
      </c>
      <c r="AM20" s="21">
        <f>'8-18-24, 2025'!AM24</f>
        <v>0</v>
      </c>
      <c r="AN20" s="21">
        <f>'8-18-24, 2025'!AN24</f>
        <v>15037</v>
      </c>
      <c r="AO20" s="21">
        <f>'8-18-24, 2025'!AO24</f>
        <v>2925</v>
      </c>
      <c r="AP20" s="21">
        <f>'8-18-24, 2025'!AP24</f>
        <v>0</v>
      </c>
      <c r="AQ20" s="21">
        <f>'8-18-24,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25298</v>
      </c>
      <c r="AC22" s="34">
        <f>AC20+AC21</f>
        <v>6950</v>
      </c>
      <c r="AD22" s="34">
        <f t="shared" ref="AD22" si="3">AD20+AD21</f>
        <v>20800</v>
      </c>
      <c r="AE22" s="34">
        <f>AE20+AE21</f>
        <v>2600</v>
      </c>
      <c r="AF22" s="34">
        <f t="shared" si="0"/>
        <v>1950</v>
      </c>
      <c r="AG22" s="34" t="e">
        <f t="shared" si="0"/>
        <v>#REF!</v>
      </c>
      <c r="AH22" s="34">
        <f t="shared" si="0"/>
        <v>2023</v>
      </c>
      <c r="AI22" s="34">
        <f t="shared" si="0"/>
        <v>1294</v>
      </c>
      <c r="AJ22" s="34">
        <f t="shared" si="0"/>
        <v>0</v>
      </c>
      <c r="AK22" s="34">
        <f t="shared" si="0"/>
        <v>2417</v>
      </c>
      <c r="AL22" s="34">
        <f t="shared" si="0"/>
        <v>15361</v>
      </c>
      <c r="AM22" s="34">
        <f t="shared" si="0"/>
        <v>0</v>
      </c>
      <c r="AN22" s="34">
        <f t="shared" si="0"/>
        <v>15037</v>
      </c>
      <c r="AO22" s="34">
        <f t="shared" si="0"/>
        <v>2925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7735</v>
      </c>
      <c r="AC23" s="22">
        <f>AB23/91*25</f>
        <v>2125</v>
      </c>
      <c r="AD23" s="30">
        <v>1200</v>
      </c>
      <c r="AE23" s="22">
        <f>AD23/200*25</f>
        <v>150</v>
      </c>
      <c r="AF23" s="30">
        <v>900</v>
      </c>
      <c r="AG23" s="30"/>
      <c r="AH23" s="36">
        <v>123</v>
      </c>
      <c r="AI23" s="22">
        <v>57</v>
      </c>
      <c r="AJ23" s="22"/>
      <c r="AK23" s="30">
        <v>144</v>
      </c>
      <c r="AL23" s="30">
        <v>678</v>
      </c>
      <c r="AM23" s="30"/>
      <c r="AN23" s="30">
        <v>998</v>
      </c>
      <c r="AO23" s="30">
        <v>600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45900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17563</v>
      </c>
      <c r="AC24" s="40">
        <f>AC22-AC23</f>
        <v>4825</v>
      </c>
      <c r="AD24" s="40">
        <f>AD22-AD23</f>
        <v>19600</v>
      </c>
      <c r="AE24" s="40">
        <f>AE22-AE23</f>
        <v>2450</v>
      </c>
      <c r="AF24" s="41">
        <f>AF22-AF23</f>
        <v>1050</v>
      </c>
      <c r="AG24" s="41" t="e">
        <f t="shared" si="4"/>
        <v>#REF!</v>
      </c>
      <c r="AH24" s="93">
        <f>AH22-AH23</f>
        <v>1900</v>
      </c>
      <c r="AI24" s="40">
        <f t="shared" si="4"/>
        <v>1237</v>
      </c>
      <c r="AJ24" s="40">
        <f t="shared" si="4"/>
        <v>0</v>
      </c>
      <c r="AK24" s="41">
        <f t="shared" si="4"/>
        <v>2273</v>
      </c>
      <c r="AL24" s="41">
        <f t="shared" si="4"/>
        <v>14683</v>
      </c>
      <c r="AM24" s="41">
        <f t="shared" si="4"/>
        <v>0</v>
      </c>
      <c r="AN24" s="41">
        <f>AN22-AN23</f>
        <v>14039</v>
      </c>
      <c r="AO24" s="41">
        <f t="shared" si="4"/>
        <v>2325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7" zoomScale="70" zoomScaleNormal="70" workbookViewId="0">
      <selection activeCell="AE32" sqref="AE32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0.285156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33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34"/>
      <c r="AL18" s="234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45901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'8-25-31, 2025'!S24</f>
        <v>0</v>
      </c>
      <c r="T20" s="21">
        <f>'8-25-31, 2025'!T24</f>
        <v>0</v>
      </c>
      <c r="U20" s="21">
        <f>'8-25-31, 2025'!U24</f>
        <v>0</v>
      </c>
      <c r="V20" s="21">
        <f>'8-25-31, 2025'!V24</f>
        <v>0</v>
      </c>
      <c r="W20" s="21">
        <f>'8-25-31, 2025'!W24</f>
        <v>0</v>
      </c>
      <c r="X20" s="21">
        <f>'8-25-31, 2025'!X24</f>
        <v>0</v>
      </c>
      <c r="Y20" s="21">
        <f>'8-25-31, 2025'!Y24</f>
        <v>0</v>
      </c>
      <c r="Z20" s="21">
        <f>'8-25-31, 2025'!Z24</f>
        <v>0</v>
      </c>
      <c r="AA20" s="21" t="e">
        <f>'8-25-31, 2025'!AA24</f>
        <v>#REF!</v>
      </c>
      <c r="AB20" s="21">
        <f>'8-25-31, 2025'!AB24</f>
        <v>17563</v>
      </c>
      <c r="AC20" s="21">
        <f>'8-25-31, 2025'!AC24</f>
        <v>4825</v>
      </c>
      <c r="AD20" s="21">
        <f>'8-25-31, 2025'!AD24</f>
        <v>19600</v>
      </c>
      <c r="AE20" s="21">
        <f>'8-25-31, 2025'!AE24</f>
        <v>2450</v>
      </c>
      <c r="AF20" s="21">
        <f>'8-25-31, 2025'!AF24</f>
        <v>1050</v>
      </c>
      <c r="AG20" s="21" t="e">
        <f>'8-25-31, 2025'!AG24</f>
        <v>#REF!</v>
      </c>
      <c r="AH20" s="21">
        <f>'8-25-31, 2025'!AH24</f>
        <v>1900</v>
      </c>
      <c r="AI20" s="21">
        <f>'8-25-31, 2025'!AI24</f>
        <v>1237</v>
      </c>
      <c r="AJ20" s="21">
        <f>'8-25-31, 2025'!AJ24</f>
        <v>0</v>
      </c>
      <c r="AK20" s="21">
        <f>'8-25-31, 2025'!AK24</f>
        <v>2273</v>
      </c>
      <c r="AL20" s="21">
        <f>'8-25-31, 2025'!AL24</f>
        <v>14683</v>
      </c>
      <c r="AM20" s="21">
        <f>'8-25-31, 2025'!AM24</f>
        <v>0</v>
      </c>
      <c r="AN20" s="21">
        <f>'8-25-31, 2025'!AN24</f>
        <v>14039</v>
      </c>
      <c r="AO20" s="21">
        <f>'8-25-31, 2025'!AO24</f>
        <v>2325</v>
      </c>
      <c r="AP20" s="21">
        <f>'8-25-31, 2025'!AP24</f>
        <v>0</v>
      </c>
      <c r="AQ20" s="21">
        <f>'8-25-31,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>
        <v>27300</v>
      </c>
      <c r="AC21" s="22">
        <f>AB21/91*25</f>
        <v>7500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>
        <v>3000</v>
      </c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44863</v>
      </c>
      <c r="AC22" s="34">
        <f>AC20+AC21</f>
        <v>12325</v>
      </c>
      <c r="AD22" s="34">
        <f t="shared" ref="AD22" si="3">AD20+AD21</f>
        <v>19600</v>
      </c>
      <c r="AE22" s="34">
        <f>AE20+AE21</f>
        <v>2450</v>
      </c>
      <c r="AF22" s="34">
        <f t="shared" si="0"/>
        <v>1050</v>
      </c>
      <c r="AG22" s="34" t="e">
        <f t="shared" si="0"/>
        <v>#REF!</v>
      </c>
      <c r="AH22" s="34">
        <f t="shared" si="0"/>
        <v>1900</v>
      </c>
      <c r="AI22" s="34">
        <f t="shared" si="0"/>
        <v>1237</v>
      </c>
      <c r="AJ22" s="34">
        <f t="shared" si="0"/>
        <v>0</v>
      </c>
      <c r="AK22" s="34">
        <f t="shared" si="0"/>
        <v>2273</v>
      </c>
      <c r="AL22" s="34">
        <f t="shared" si="0"/>
        <v>14683</v>
      </c>
      <c r="AM22" s="34">
        <f t="shared" si="0"/>
        <v>0</v>
      </c>
      <c r="AN22" s="34">
        <f t="shared" si="0"/>
        <v>14039</v>
      </c>
      <c r="AO22" s="34">
        <f t="shared" si="0"/>
        <v>5325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3731</v>
      </c>
      <c r="AC23" s="22">
        <f>AB23/91*25</f>
        <v>1025</v>
      </c>
      <c r="AD23" s="30">
        <v>0</v>
      </c>
      <c r="AE23" s="22">
        <f>AD23/200*25</f>
        <v>0</v>
      </c>
      <c r="AF23" s="30">
        <v>700</v>
      </c>
      <c r="AG23" s="30"/>
      <c r="AH23" s="36">
        <v>70</v>
      </c>
      <c r="AI23" s="22">
        <v>28</v>
      </c>
      <c r="AJ23" s="22"/>
      <c r="AK23" s="30">
        <v>0</v>
      </c>
      <c r="AL23" s="30">
        <v>381</v>
      </c>
      <c r="AM23" s="30"/>
      <c r="AN23" s="30">
        <v>477</v>
      </c>
      <c r="AO23" s="30">
        <v>375</v>
      </c>
      <c r="AP23" s="22"/>
      <c r="AQ23" s="38">
        <v>0</v>
      </c>
    </row>
    <row r="24" spans="2:54" s="3" customFormat="1" ht="100.5" customHeight="1" thickBot="1" x14ac:dyDescent="0.25">
      <c r="B24" s="39">
        <v>45907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41132</v>
      </c>
      <c r="AC24" s="40">
        <f>AC22-AC23</f>
        <v>11300</v>
      </c>
      <c r="AD24" s="40">
        <f>AD22-AD23</f>
        <v>19600</v>
      </c>
      <c r="AE24" s="40">
        <f>AE22-AE23</f>
        <v>2450</v>
      </c>
      <c r="AF24" s="41">
        <f>AF22-AF23</f>
        <v>350</v>
      </c>
      <c r="AG24" s="41" t="e">
        <f t="shared" si="4"/>
        <v>#REF!</v>
      </c>
      <c r="AH24" s="93">
        <f>AH22-AH23</f>
        <v>1830</v>
      </c>
      <c r="AI24" s="40">
        <f t="shared" si="4"/>
        <v>1209</v>
      </c>
      <c r="AJ24" s="40">
        <f t="shared" si="4"/>
        <v>0</v>
      </c>
      <c r="AK24" s="41">
        <f t="shared" si="4"/>
        <v>2273</v>
      </c>
      <c r="AL24" s="41">
        <f t="shared" si="4"/>
        <v>14302</v>
      </c>
      <c r="AM24" s="41">
        <f t="shared" si="4"/>
        <v>0</v>
      </c>
      <c r="AN24" s="41">
        <f>AN22-AN23</f>
        <v>13562</v>
      </c>
      <c r="AO24" s="41">
        <f t="shared" si="4"/>
        <v>4950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3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35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36"/>
      <c r="AL18" s="236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45908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'9-1-7, 2025'!S24</f>
        <v>0</v>
      </c>
      <c r="T20" s="21">
        <f>'9-1-7, 2025'!T24</f>
        <v>0</v>
      </c>
      <c r="U20" s="21">
        <f>'9-1-7, 2025'!U24</f>
        <v>0</v>
      </c>
      <c r="V20" s="21">
        <f>'9-1-7, 2025'!V24</f>
        <v>0</v>
      </c>
      <c r="W20" s="21">
        <f>'9-1-7, 2025'!W24</f>
        <v>0</v>
      </c>
      <c r="X20" s="21">
        <f>'9-1-7, 2025'!X24</f>
        <v>0</v>
      </c>
      <c r="Y20" s="21">
        <f>'9-1-7, 2025'!Y24</f>
        <v>0</v>
      </c>
      <c r="Z20" s="21">
        <f>'9-1-7, 2025'!Z24</f>
        <v>0</v>
      </c>
      <c r="AA20" s="21" t="e">
        <f>'9-1-7, 2025'!AA24</f>
        <v>#REF!</v>
      </c>
      <c r="AB20" s="21">
        <f>'9-1-7, 2025'!AB24</f>
        <v>41132</v>
      </c>
      <c r="AC20" s="21">
        <f>'9-1-7, 2025'!AC24</f>
        <v>11300</v>
      </c>
      <c r="AD20" s="21">
        <f>'9-1-7, 2025'!AD24</f>
        <v>19600</v>
      </c>
      <c r="AE20" s="21">
        <f>'9-1-7, 2025'!AE24</f>
        <v>2450</v>
      </c>
      <c r="AF20" s="21">
        <f>'9-1-7, 2025'!AF24</f>
        <v>350</v>
      </c>
      <c r="AG20" s="21" t="e">
        <f>'9-1-7, 2025'!AG24</f>
        <v>#REF!</v>
      </c>
      <c r="AH20" s="21">
        <f>'9-1-7, 2025'!AH24</f>
        <v>1830</v>
      </c>
      <c r="AI20" s="21">
        <f>'9-1-7, 2025'!AI24</f>
        <v>1209</v>
      </c>
      <c r="AJ20" s="21">
        <f>'9-1-7, 2025'!AJ24</f>
        <v>0</v>
      </c>
      <c r="AK20" s="21">
        <f>'9-1-7, 2025'!AK24</f>
        <v>2273</v>
      </c>
      <c r="AL20" s="21">
        <f>'9-1-7, 2025'!AL24</f>
        <v>14302</v>
      </c>
      <c r="AM20" s="21">
        <f>'9-1-7, 2025'!AM24</f>
        <v>0</v>
      </c>
      <c r="AN20" s="21">
        <f>'9-1-7, 2025'!AN24</f>
        <v>13562</v>
      </c>
      <c r="AO20" s="21">
        <f>'9-1-7, 2025'!AO24</f>
        <v>4950</v>
      </c>
      <c r="AP20" s="21">
        <f>'9-1-7, 2025'!AP24</f>
        <v>0</v>
      </c>
      <c r="AQ20" s="21">
        <f>'9-1-7,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>
        <v>1750</v>
      </c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41132</v>
      </c>
      <c r="AC22" s="34">
        <f>AC20+AC21</f>
        <v>11300</v>
      </c>
      <c r="AD22" s="34">
        <f t="shared" ref="AD22" si="3">AD20+AD21</f>
        <v>19600</v>
      </c>
      <c r="AE22" s="34">
        <f>AE20+AE21</f>
        <v>2450</v>
      </c>
      <c r="AF22" s="34">
        <f t="shared" si="0"/>
        <v>2100</v>
      </c>
      <c r="AG22" s="34" t="e">
        <f t="shared" si="0"/>
        <v>#REF!</v>
      </c>
      <c r="AH22" s="34">
        <f t="shared" si="0"/>
        <v>1830</v>
      </c>
      <c r="AI22" s="34">
        <f t="shared" si="0"/>
        <v>1209</v>
      </c>
      <c r="AJ22" s="34">
        <f t="shared" si="0"/>
        <v>0</v>
      </c>
      <c r="AK22" s="34">
        <f t="shared" si="0"/>
        <v>2273</v>
      </c>
      <c r="AL22" s="34">
        <f t="shared" si="0"/>
        <v>14302</v>
      </c>
      <c r="AM22" s="34">
        <f t="shared" si="0"/>
        <v>0</v>
      </c>
      <c r="AN22" s="34">
        <f t="shared" si="0"/>
        <v>13562</v>
      </c>
      <c r="AO22" s="34">
        <f t="shared" si="0"/>
        <v>4950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6734</v>
      </c>
      <c r="AC23" s="22">
        <f>AB23/91*25</f>
        <v>1850</v>
      </c>
      <c r="AD23" s="30">
        <v>0</v>
      </c>
      <c r="AE23" s="22">
        <f>AD23/200*25</f>
        <v>0</v>
      </c>
      <c r="AF23" s="30">
        <v>850</v>
      </c>
      <c r="AG23" s="30"/>
      <c r="AH23" s="36">
        <v>133</v>
      </c>
      <c r="AI23" s="22">
        <v>62</v>
      </c>
      <c r="AJ23" s="22"/>
      <c r="AK23" s="30">
        <v>0</v>
      </c>
      <c r="AL23" s="30">
        <v>628</v>
      </c>
      <c r="AM23" s="30"/>
      <c r="AN23" s="30">
        <v>1044</v>
      </c>
      <c r="AO23" s="30">
        <v>525</v>
      </c>
      <c r="AP23" s="22"/>
      <c r="AQ23" s="38">
        <v>0</v>
      </c>
    </row>
    <row r="24" spans="2:54" s="3" customFormat="1" ht="100.5" customHeight="1" thickBot="1" x14ac:dyDescent="0.25">
      <c r="B24" s="39">
        <v>45914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34398</v>
      </c>
      <c r="AC24" s="40">
        <f>AC22-AC23</f>
        <v>9450</v>
      </c>
      <c r="AD24" s="40">
        <f>AD22-AD23</f>
        <v>19600</v>
      </c>
      <c r="AE24" s="40">
        <f>AE22-AE23</f>
        <v>2450</v>
      </c>
      <c r="AF24" s="41">
        <f>AF22-AF23</f>
        <v>1250</v>
      </c>
      <c r="AG24" s="41" t="e">
        <f t="shared" si="4"/>
        <v>#REF!</v>
      </c>
      <c r="AH24" s="93">
        <f>AH22-AH23</f>
        <v>1697</v>
      </c>
      <c r="AI24" s="40">
        <f t="shared" si="4"/>
        <v>1147</v>
      </c>
      <c r="AJ24" s="40">
        <f t="shared" si="4"/>
        <v>0</v>
      </c>
      <c r="AK24" s="41">
        <f t="shared" si="4"/>
        <v>2273</v>
      </c>
      <c r="AL24" s="41">
        <f t="shared" si="4"/>
        <v>13674</v>
      </c>
      <c r="AM24" s="41">
        <f t="shared" si="4"/>
        <v>0</v>
      </c>
      <c r="AN24" s="41">
        <f>AN22-AN23</f>
        <v>12518</v>
      </c>
      <c r="AO24" s="41">
        <f t="shared" si="4"/>
        <v>4425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4" zoomScale="70" zoomScaleNormal="70" workbookViewId="0">
      <selection activeCell="AB21" sqref="AB21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37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38"/>
      <c r="AL18" s="238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45915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'9-8-14, 2025'!S24</f>
        <v>0</v>
      </c>
      <c r="T20" s="21">
        <f>'9-8-14, 2025'!T24</f>
        <v>0</v>
      </c>
      <c r="U20" s="21">
        <f>'9-8-14, 2025'!U24</f>
        <v>0</v>
      </c>
      <c r="V20" s="21">
        <f>'9-8-14, 2025'!V24</f>
        <v>0</v>
      </c>
      <c r="W20" s="21">
        <f>'9-8-14, 2025'!W24</f>
        <v>0</v>
      </c>
      <c r="X20" s="21">
        <f>'9-8-14, 2025'!X24</f>
        <v>0</v>
      </c>
      <c r="Y20" s="21">
        <f>'9-8-14, 2025'!Y24</f>
        <v>0</v>
      </c>
      <c r="Z20" s="21">
        <f>'9-8-14, 2025'!Z24</f>
        <v>0</v>
      </c>
      <c r="AA20" s="21" t="e">
        <f>'9-8-14, 2025'!AA24</f>
        <v>#REF!</v>
      </c>
      <c r="AB20" s="21">
        <f>'9-8-14, 2025'!AB24</f>
        <v>34398</v>
      </c>
      <c r="AC20" s="21">
        <f>'9-8-14, 2025'!AC24</f>
        <v>9450</v>
      </c>
      <c r="AD20" s="21">
        <f>'9-8-14, 2025'!AD24</f>
        <v>19600</v>
      </c>
      <c r="AE20" s="21">
        <f>'9-8-14, 2025'!AE24</f>
        <v>2450</v>
      </c>
      <c r="AF20" s="21">
        <f>'9-8-14, 2025'!AF24</f>
        <v>1250</v>
      </c>
      <c r="AG20" s="21" t="e">
        <f>'9-8-14, 2025'!AG24</f>
        <v>#REF!</v>
      </c>
      <c r="AH20" s="21">
        <f>'9-8-14, 2025'!AH24</f>
        <v>1697</v>
      </c>
      <c r="AI20" s="21">
        <f>'9-8-14, 2025'!AI24</f>
        <v>1147</v>
      </c>
      <c r="AJ20" s="21">
        <f>'9-8-14, 2025'!AJ24</f>
        <v>0</v>
      </c>
      <c r="AK20" s="21">
        <f>'9-8-14, 2025'!AK24</f>
        <v>2273</v>
      </c>
      <c r="AL20" s="21">
        <f>'9-8-14, 2025'!AL24</f>
        <v>13674</v>
      </c>
      <c r="AM20" s="21">
        <f>'9-8-14, 2025'!AM24</f>
        <v>0</v>
      </c>
      <c r="AN20" s="21">
        <f>'9-8-14, 2025'!AN24</f>
        <v>12518</v>
      </c>
      <c r="AO20" s="21">
        <f>'9-8-14, 2025'!AO24</f>
        <v>4425</v>
      </c>
      <c r="AP20" s="21">
        <f>'9-8-14, 2025'!AP24</f>
        <v>0</v>
      </c>
      <c r="AQ20" s="21">
        <f>'9-8-14,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34398</v>
      </c>
      <c r="AC22" s="34">
        <f>AC20+AC21</f>
        <v>9450</v>
      </c>
      <c r="AD22" s="34">
        <f t="shared" ref="AD22" si="3">AD20+AD21</f>
        <v>19600</v>
      </c>
      <c r="AE22" s="34">
        <f>AE20+AE21</f>
        <v>2450</v>
      </c>
      <c r="AF22" s="34">
        <f t="shared" si="0"/>
        <v>1250</v>
      </c>
      <c r="AG22" s="34" t="e">
        <f t="shared" si="0"/>
        <v>#REF!</v>
      </c>
      <c r="AH22" s="34">
        <f t="shared" si="0"/>
        <v>1697</v>
      </c>
      <c r="AI22" s="34">
        <f t="shared" si="0"/>
        <v>1147</v>
      </c>
      <c r="AJ22" s="34">
        <f t="shared" si="0"/>
        <v>0</v>
      </c>
      <c r="AK22" s="34">
        <f t="shared" si="0"/>
        <v>2273</v>
      </c>
      <c r="AL22" s="34">
        <f t="shared" si="0"/>
        <v>13674</v>
      </c>
      <c r="AM22" s="34">
        <f t="shared" si="0"/>
        <v>0</v>
      </c>
      <c r="AN22" s="34">
        <f t="shared" si="0"/>
        <v>12518</v>
      </c>
      <c r="AO22" s="34">
        <f t="shared" si="0"/>
        <v>4425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6006</v>
      </c>
      <c r="AC23" s="22">
        <f>AB23/91*25</f>
        <v>1650</v>
      </c>
      <c r="AD23" s="30">
        <v>0</v>
      </c>
      <c r="AE23" s="22">
        <f>AD23/200*25</f>
        <v>0</v>
      </c>
      <c r="AF23" s="30">
        <v>650</v>
      </c>
      <c r="AG23" s="30"/>
      <c r="AH23" s="36">
        <v>122</v>
      </c>
      <c r="AI23" s="22">
        <v>46</v>
      </c>
      <c r="AJ23" s="22"/>
      <c r="AK23" s="30">
        <v>0</v>
      </c>
      <c r="AL23" s="30">
        <v>596</v>
      </c>
      <c r="AM23" s="30"/>
      <c r="AN23" s="30">
        <v>850</v>
      </c>
      <c r="AO23" s="30">
        <v>675</v>
      </c>
      <c r="AP23" s="22"/>
      <c r="AQ23" s="38">
        <v>0</v>
      </c>
    </row>
    <row r="24" spans="2:54" s="3" customFormat="1" ht="100.5" customHeight="1" thickBot="1" x14ac:dyDescent="0.25">
      <c r="B24" s="39">
        <v>45921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28392</v>
      </c>
      <c r="AC24" s="40">
        <f>AC22-AC23</f>
        <v>7800</v>
      </c>
      <c r="AD24" s="40">
        <f>AD22-AD23</f>
        <v>19600</v>
      </c>
      <c r="AE24" s="40">
        <f>AE22-AE23</f>
        <v>2450</v>
      </c>
      <c r="AF24" s="41">
        <f>AF22-AF23</f>
        <v>600</v>
      </c>
      <c r="AG24" s="41" t="e">
        <f t="shared" si="4"/>
        <v>#REF!</v>
      </c>
      <c r="AH24" s="93">
        <f>AH22-AH23</f>
        <v>1575</v>
      </c>
      <c r="AI24" s="40">
        <f t="shared" si="4"/>
        <v>1101</v>
      </c>
      <c r="AJ24" s="40">
        <f t="shared" si="4"/>
        <v>0</v>
      </c>
      <c r="AK24" s="41">
        <f t="shared" si="4"/>
        <v>2273</v>
      </c>
      <c r="AL24" s="41">
        <f t="shared" si="4"/>
        <v>13078</v>
      </c>
      <c r="AM24" s="41">
        <f t="shared" si="4"/>
        <v>0</v>
      </c>
      <c r="AN24" s="41">
        <f>AN22-AN23</f>
        <v>11668</v>
      </c>
      <c r="AO24" s="41">
        <f t="shared" si="4"/>
        <v>3750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5" orientation="landscape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4" zoomScale="70" zoomScaleNormal="70" workbookViewId="0">
      <selection activeCell="AD24" sqref="AD24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39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40"/>
      <c r="AL18" s="240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45922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'9-15-21, 2025'!S24</f>
        <v>0</v>
      </c>
      <c r="T20" s="21">
        <f>'9-15-21, 2025'!T24</f>
        <v>0</v>
      </c>
      <c r="U20" s="21">
        <f>'9-15-21, 2025'!U24</f>
        <v>0</v>
      </c>
      <c r="V20" s="21">
        <f>'9-15-21, 2025'!V24</f>
        <v>0</v>
      </c>
      <c r="W20" s="21">
        <f>'9-15-21, 2025'!W24</f>
        <v>0</v>
      </c>
      <c r="X20" s="21">
        <f>'9-15-21, 2025'!X24</f>
        <v>0</v>
      </c>
      <c r="Y20" s="21">
        <f>'9-15-21, 2025'!Y24</f>
        <v>0</v>
      </c>
      <c r="Z20" s="21">
        <f>'9-15-21, 2025'!Z24</f>
        <v>0</v>
      </c>
      <c r="AA20" s="21" t="e">
        <f>'9-15-21, 2025'!AA24</f>
        <v>#REF!</v>
      </c>
      <c r="AB20" s="21">
        <f>'9-15-21, 2025'!AB24</f>
        <v>28392</v>
      </c>
      <c r="AC20" s="21">
        <f>'9-15-21, 2025'!AC24</f>
        <v>7800</v>
      </c>
      <c r="AD20" s="21">
        <f>'9-15-21, 2025'!AD24</f>
        <v>19600</v>
      </c>
      <c r="AE20" s="21">
        <f>'9-15-21, 2025'!AE24</f>
        <v>2450</v>
      </c>
      <c r="AF20" s="21">
        <f>'9-15-21, 2025'!AF24</f>
        <v>600</v>
      </c>
      <c r="AG20" s="21" t="e">
        <f>'9-15-21, 2025'!AG24</f>
        <v>#REF!</v>
      </c>
      <c r="AH20" s="21">
        <f>'9-15-21, 2025'!AH24</f>
        <v>1575</v>
      </c>
      <c r="AI20" s="21">
        <f>'9-15-21, 2025'!AI24</f>
        <v>1101</v>
      </c>
      <c r="AJ20" s="21">
        <f>'9-15-21, 2025'!AJ24</f>
        <v>0</v>
      </c>
      <c r="AK20" s="21">
        <f>'9-15-21, 2025'!AK24</f>
        <v>2273</v>
      </c>
      <c r="AL20" s="21">
        <f>'9-15-21, 2025'!AL24</f>
        <v>13078</v>
      </c>
      <c r="AM20" s="21">
        <f>'9-15-21, 2025'!AM24</f>
        <v>0</v>
      </c>
      <c r="AN20" s="21">
        <f>'9-15-21, 2025'!AN24</f>
        <v>11668</v>
      </c>
      <c r="AO20" s="21">
        <f>'9-15-21, 2025'!AO24</f>
        <v>3750</v>
      </c>
      <c r="AP20" s="21">
        <f>'9-15-21, 2025'!AP24</f>
        <v>0</v>
      </c>
      <c r="AQ20" s="21">
        <f>'9-15-21,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>
        <v>2500</v>
      </c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28392</v>
      </c>
      <c r="AC22" s="34">
        <f>AC20+AC21</f>
        <v>7800</v>
      </c>
      <c r="AD22" s="34">
        <f t="shared" ref="AD22" si="3">AD20+AD21</f>
        <v>19600</v>
      </c>
      <c r="AE22" s="34">
        <f>AE20+AE21</f>
        <v>2450</v>
      </c>
      <c r="AF22" s="34">
        <f t="shared" si="0"/>
        <v>3100</v>
      </c>
      <c r="AG22" s="34" t="e">
        <f t="shared" si="0"/>
        <v>#REF!</v>
      </c>
      <c r="AH22" s="34">
        <f t="shared" si="0"/>
        <v>1575</v>
      </c>
      <c r="AI22" s="34">
        <f t="shared" si="0"/>
        <v>1101</v>
      </c>
      <c r="AJ22" s="34">
        <f t="shared" si="0"/>
        <v>0</v>
      </c>
      <c r="AK22" s="34">
        <f t="shared" si="0"/>
        <v>2273</v>
      </c>
      <c r="AL22" s="34">
        <f t="shared" si="0"/>
        <v>13078</v>
      </c>
      <c r="AM22" s="34">
        <f t="shared" si="0"/>
        <v>0</v>
      </c>
      <c r="AN22" s="34">
        <f t="shared" si="0"/>
        <v>11668</v>
      </c>
      <c r="AO22" s="34">
        <f t="shared" si="0"/>
        <v>3750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4459</v>
      </c>
      <c r="AC23" s="22">
        <f>AB23/91*25</f>
        <v>1225</v>
      </c>
      <c r="AD23" s="30">
        <v>400</v>
      </c>
      <c r="AE23" s="22">
        <f>AD23/200*25</f>
        <v>50</v>
      </c>
      <c r="AF23" s="30">
        <v>1200</v>
      </c>
      <c r="AG23" s="30"/>
      <c r="AH23" s="36">
        <v>91</v>
      </c>
      <c r="AI23" s="22">
        <v>43</v>
      </c>
      <c r="AJ23" s="22"/>
      <c r="AK23" s="30">
        <v>32</v>
      </c>
      <c r="AL23" s="30">
        <v>539</v>
      </c>
      <c r="AM23" s="30"/>
      <c r="AN23" s="30">
        <v>707</v>
      </c>
      <c r="AO23" s="30">
        <v>600</v>
      </c>
      <c r="AP23" s="22"/>
      <c r="AQ23" s="38">
        <v>0</v>
      </c>
    </row>
    <row r="24" spans="2:54" s="3" customFormat="1" ht="100.5" customHeight="1" thickBot="1" x14ac:dyDescent="0.25">
      <c r="B24" s="39">
        <v>45928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23933</v>
      </c>
      <c r="AC24" s="40">
        <f>AC22-AC23</f>
        <v>6575</v>
      </c>
      <c r="AD24" s="40">
        <f>AD22-AD23</f>
        <v>19200</v>
      </c>
      <c r="AE24" s="40">
        <f>AE22-AE23</f>
        <v>2400</v>
      </c>
      <c r="AF24" s="41">
        <f>AF22-AF23</f>
        <v>1900</v>
      </c>
      <c r="AG24" s="41" t="e">
        <f t="shared" si="4"/>
        <v>#REF!</v>
      </c>
      <c r="AH24" s="93">
        <f>AH22-AH23</f>
        <v>1484</v>
      </c>
      <c r="AI24" s="40">
        <f t="shared" si="4"/>
        <v>1058</v>
      </c>
      <c r="AJ24" s="40">
        <f t="shared" si="4"/>
        <v>0</v>
      </c>
      <c r="AK24" s="41">
        <f t="shared" si="4"/>
        <v>2241</v>
      </c>
      <c r="AL24" s="41">
        <f t="shared" si="4"/>
        <v>12539</v>
      </c>
      <c r="AM24" s="41">
        <f t="shared" si="4"/>
        <v>0</v>
      </c>
      <c r="AN24" s="41">
        <f>AN22-AN23</f>
        <v>10961</v>
      </c>
      <c r="AO24" s="41">
        <f t="shared" si="4"/>
        <v>3150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7" zoomScale="70" zoomScaleNormal="70" workbookViewId="0">
      <selection activeCell="AD30" sqref="AD30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41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42"/>
      <c r="AL18" s="242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45929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'9-22-28, 2025'!S24</f>
        <v>0</v>
      </c>
      <c r="T20" s="21">
        <f>'9-22-28, 2025'!T24</f>
        <v>0</v>
      </c>
      <c r="U20" s="21">
        <f>'9-22-28, 2025'!U24</f>
        <v>0</v>
      </c>
      <c r="V20" s="21">
        <f>'9-22-28, 2025'!V24</f>
        <v>0</v>
      </c>
      <c r="W20" s="21">
        <f>'9-22-28, 2025'!W24</f>
        <v>0</v>
      </c>
      <c r="X20" s="21">
        <f>'9-22-28, 2025'!X24</f>
        <v>0</v>
      </c>
      <c r="Y20" s="21">
        <f>'9-22-28, 2025'!Y24</f>
        <v>0</v>
      </c>
      <c r="Z20" s="21">
        <f>'9-22-28, 2025'!Z24</f>
        <v>0</v>
      </c>
      <c r="AA20" s="21" t="e">
        <f>'9-22-28, 2025'!AA24</f>
        <v>#REF!</v>
      </c>
      <c r="AB20" s="21">
        <f>'9-22-28, 2025'!AB24</f>
        <v>23933</v>
      </c>
      <c r="AC20" s="21">
        <f>'9-22-28, 2025'!AC24</f>
        <v>6575</v>
      </c>
      <c r="AD20" s="21">
        <f>'9-22-28, 2025'!AD24</f>
        <v>19200</v>
      </c>
      <c r="AE20" s="21">
        <f>'9-22-28, 2025'!AE24</f>
        <v>2400</v>
      </c>
      <c r="AF20" s="21">
        <f>'9-22-28, 2025'!AF24</f>
        <v>1900</v>
      </c>
      <c r="AG20" s="21" t="e">
        <f>'9-22-28, 2025'!AG24</f>
        <v>#REF!</v>
      </c>
      <c r="AH20" s="21">
        <f>'9-22-28, 2025'!AH24</f>
        <v>1484</v>
      </c>
      <c r="AI20" s="21">
        <f>'9-22-28, 2025'!AI24</f>
        <v>1058</v>
      </c>
      <c r="AJ20" s="21">
        <f>'9-22-28, 2025'!AJ24</f>
        <v>0</v>
      </c>
      <c r="AK20" s="21">
        <f>'9-22-28, 2025'!AK24</f>
        <v>2241</v>
      </c>
      <c r="AL20" s="21">
        <f>'9-22-28, 2025'!AL24</f>
        <v>12539</v>
      </c>
      <c r="AM20" s="21">
        <f>'9-22-28, 2025'!AM24</f>
        <v>0</v>
      </c>
      <c r="AN20" s="21">
        <f>'9-22-28, 2025'!AN24</f>
        <v>10961</v>
      </c>
      <c r="AO20" s="21">
        <f>'9-22-28, 2025'!AO24</f>
        <v>3150</v>
      </c>
      <c r="AP20" s="21">
        <f>'9-22-28, 2025'!AP24</f>
        <v>0</v>
      </c>
      <c r="AQ20" s="21">
        <f>'9-22-28,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23933</v>
      </c>
      <c r="AC22" s="34">
        <f>AC20+AC21</f>
        <v>6575</v>
      </c>
      <c r="AD22" s="34">
        <f t="shared" ref="AD22" si="3">AD20+AD21</f>
        <v>19200</v>
      </c>
      <c r="AE22" s="34">
        <f>AE20+AE21</f>
        <v>2400</v>
      </c>
      <c r="AF22" s="34">
        <f t="shared" si="0"/>
        <v>1900</v>
      </c>
      <c r="AG22" s="34" t="e">
        <f t="shared" si="0"/>
        <v>#REF!</v>
      </c>
      <c r="AH22" s="34">
        <f t="shared" si="0"/>
        <v>1484</v>
      </c>
      <c r="AI22" s="34">
        <f t="shared" si="0"/>
        <v>1058</v>
      </c>
      <c r="AJ22" s="34">
        <f t="shared" si="0"/>
        <v>0</v>
      </c>
      <c r="AK22" s="34">
        <f t="shared" si="0"/>
        <v>2241</v>
      </c>
      <c r="AL22" s="34">
        <f t="shared" si="0"/>
        <v>12539</v>
      </c>
      <c r="AM22" s="34">
        <f t="shared" si="0"/>
        <v>0</v>
      </c>
      <c r="AN22" s="34">
        <f t="shared" si="0"/>
        <v>10961</v>
      </c>
      <c r="AO22" s="34">
        <f t="shared" si="0"/>
        <v>3150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5005</v>
      </c>
      <c r="AC23" s="22">
        <f>AB23/91*25</f>
        <v>1375</v>
      </c>
      <c r="AD23" s="30">
        <v>400</v>
      </c>
      <c r="AE23" s="22">
        <f>AD23/200*25</f>
        <v>50</v>
      </c>
      <c r="AF23" s="30">
        <v>1025</v>
      </c>
      <c r="AG23" s="30"/>
      <c r="AH23" s="36">
        <f>33+74</f>
        <v>107</v>
      </c>
      <c r="AI23" s="22">
        <f>14+32</f>
        <v>46</v>
      </c>
      <c r="AJ23" s="22"/>
      <c r="AK23" s="30">
        <v>38</v>
      </c>
      <c r="AL23" s="30">
        <f>414+157</f>
        <v>571</v>
      </c>
      <c r="AM23" s="30"/>
      <c r="AN23" s="30">
        <f>309+545</f>
        <v>854</v>
      </c>
      <c r="AO23" s="30">
        <f>450+150</f>
        <v>600</v>
      </c>
      <c r="AP23" s="22"/>
      <c r="AQ23" s="38"/>
    </row>
    <row r="24" spans="2:54" s="3" customFormat="1" ht="100.5" customHeight="1" thickBot="1" x14ac:dyDescent="0.25">
      <c r="B24" s="39">
        <v>45935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18928</v>
      </c>
      <c r="AC24" s="40">
        <f>AC22-AC23</f>
        <v>5200</v>
      </c>
      <c r="AD24" s="40">
        <f>AD22-AD23</f>
        <v>18800</v>
      </c>
      <c r="AE24" s="40">
        <f>AE22-AE23</f>
        <v>2350</v>
      </c>
      <c r="AF24" s="41">
        <f>AF22-AF23</f>
        <v>875</v>
      </c>
      <c r="AG24" s="41" t="e">
        <f t="shared" si="4"/>
        <v>#REF!</v>
      </c>
      <c r="AH24" s="93">
        <f>AH22-AH23</f>
        <v>1377</v>
      </c>
      <c r="AI24" s="40">
        <f t="shared" si="4"/>
        <v>1012</v>
      </c>
      <c r="AJ24" s="40">
        <f t="shared" si="4"/>
        <v>0</v>
      </c>
      <c r="AK24" s="41">
        <f t="shared" si="4"/>
        <v>2203</v>
      </c>
      <c r="AL24" s="41">
        <f t="shared" si="4"/>
        <v>11968</v>
      </c>
      <c r="AM24" s="41">
        <f t="shared" si="4"/>
        <v>0</v>
      </c>
      <c r="AN24" s="41">
        <f>AN22-AN23</f>
        <v>10107</v>
      </c>
      <c r="AO24" s="41">
        <f t="shared" si="4"/>
        <v>2550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43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44"/>
      <c r="AL18" s="244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45936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'9-29-10-5, 2025'!S24</f>
        <v>0</v>
      </c>
      <c r="T20" s="21">
        <f>'9-29-10-5, 2025'!T24</f>
        <v>0</v>
      </c>
      <c r="U20" s="21">
        <f>'9-29-10-5, 2025'!U24</f>
        <v>0</v>
      </c>
      <c r="V20" s="21">
        <f>'9-29-10-5, 2025'!V24</f>
        <v>0</v>
      </c>
      <c r="W20" s="21">
        <f>'9-29-10-5, 2025'!W24</f>
        <v>0</v>
      </c>
      <c r="X20" s="21">
        <f>'9-29-10-5, 2025'!X24</f>
        <v>0</v>
      </c>
      <c r="Y20" s="21">
        <f>'9-29-10-5, 2025'!Y24</f>
        <v>0</v>
      </c>
      <c r="Z20" s="21">
        <f>'9-29-10-5, 2025'!Z24</f>
        <v>0</v>
      </c>
      <c r="AA20" s="21" t="e">
        <f>'9-29-10-5, 2025'!AA24</f>
        <v>#REF!</v>
      </c>
      <c r="AB20" s="21">
        <f>'9-29-10-5, 2025'!AB24</f>
        <v>18928</v>
      </c>
      <c r="AC20" s="21">
        <f>'9-29-10-5, 2025'!AC24</f>
        <v>5200</v>
      </c>
      <c r="AD20" s="21">
        <f>'9-29-10-5, 2025'!AD24</f>
        <v>18800</v>
      </c>
      <c r="AE20" s="21">
        <f>'9-29-10-5, 2025'!AE24</f>
        <v>2350</v>
      </c>
      <c r="AF20" s="21">
        <f>'9-29-10-5, 2025'!AF24</f>
        <v>875</v>
      </c>
      <c r="AG20" s="21" t="e">
        <f>'9-29-10-5, 2025'!AG24</f>
        <v>#REF!</v>
      </c>
      <c r="AH20" s="21">
        <f>'9-29-10-5, 2025'!AH24</f>
        <v>1377</v>
      </c>
      <c r="AI20" s="21">
        <f>'9-29-10-5, 2025'!AI24</f>
        <v>1012</v>
      </c>
      <c r="AJ20" s="21">
        <f>'9-29-10-5, 2025'!AJ24</f>
        <v>0</v>
      </c>
      <c r="AK20" s="21">
        <f>'9-29-10-5, 2025'!AK24</f>
        <v>2203</v>
      </c>
      <c r="AL20" s="21">
        <f>'9-29-10-5, 2025'!AL24</f>
        <v>11968</v>
      </c>
      <c r="AM20" s="21">
        <f>'9-29-10-5, 2025'!AM24</f>
        <v>0</v>
      </c>
      <c r="AN20" s="21">
        <f>'9-29-10-5, 2025'!AN24</f>
        <v>10107</v>
      </c>
      <c r="AO20" s="21">
        <f>'9-29-10-5, 2025'!AO24</f>
        <v>2550</v>
      </c>
      <c r="AP20" s="21">
        <f>'9-29-10-5, 2025'!AP24</f>
        <v>0</v>
      </c>
      <c r="AQ20" s="21">
        <f>'9-29-10-5,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18928</v>
      </c>
      <c r="AC22" s="34">
        <f>AC20+AC21</f>
        <v>5200</v>
      </c>
      <c r="AD22" s="34">
        <f t="shared" ref="AD22" si="3">AD20+AD21</f>
        <v>18800</v>
      </c>
      <c r="AE22" s="34">
        <f>AE20+AE21</f>
        <v>2350</v>
      </c>
      <c r="AF22" s="34">
        <f t="shared" si="0"/>
        <v>875</v>
      </c>
      <c r="AG22" s="34" t="e">
        <f t="shared" si="0"/>
        <v>#REF!</v>
      </c>
      <c r="AH22" s="34">
        <f t="shared" si="0"/>
        <v>1377</v>
      </c>
      <c r="AI22" s="34">
        <f t="shared" si="0"/>
        <v>1012</v>
      </c>
      <c r="AJ22" s="34">
        <f t="shared" si="0"/>
        <v>0</v>
      </c>
      <c r="AK22" s="34">
        <f t="shared" si="0"/>
        <v>2203</v>
      </c>
      <c r="AL22" s="34">
        <f t="shared" si="0"/>
        <v>11968</v>
      </c>
      <c r="AM22" s="34">
        <f t="shared" si="0"/>
        <v>0</v>
      </c>
      <c r="AN22" s="34">
        <f t="shared" si="0"/>
        <v>10107</v>
      </c>
      <c r="AO22" s="34">
        <f t="shared" si="0"/>
        <v>2550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4641</v>
      </c>
      <c r="AC23" s="22">
        <f>AB23/91*25</f>
        <v>1275</v>
      </c>
      <c r="AD23" s="30">
        <v>600</v>
      </c>
      <c r="AE23" s="22">
        <f>AD23/200*25</f>
        <v>75</v>
      </c>
      <c r="AF23" s="30">
        <v>775</v>
      </c>
      <c r="AG23" s="30"/>
      <c r="AH23" s="36">
        <v>89</v>
      </c>
      <c r="AI23" s="22">
        <v>37</v>
      </c>
      <c r="AJ23" s="22"/>
      <c r="AK23" s="30">
        <v>82</v>
      </c>
      <c r="AL23" s="30">
        <v>441</v>
      </c>
      <c r="AM23" s="30"/>
      <c r="AN23" s="30">
        <v>800</v>
      </c>
      <c r="AO23" s="30">
        <v>525</v>
      </c>
      <c r="AP23" s="22"/>
      <c r="AQ23" s="38"/>
    </row>
    <row r="24" spans="2:54" s="3" customFormat="1" ht="100.5" customHeight="1" thickBot="1" x14ac:dyDescent="0.25">
      <c r="B24" s="39">
        <v>45942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14287</v>
      </c>
      <c r="AC24" s="40">
        <f>AC22-AC23</f>
        <v>3925</v>
      </c>
      <c r="AD24" s="40">
        <f>AD22-AD23</f>
        <v>18200</v>
      </c>
      <c r="AE24" s="40">
        <f>AE22-AE23</f>
        <v>2275</v>
      </c>
      <c r="AF24" s="41">
        <f>AF22-AF23</f>
        <v>100</v>
      </c>
      <c r="AG24" s="41" t="e">
        <f t="shared" si="4"/>
        <v>#REF!</v>
      </c>
      <c r="AH24" s="93">
        <f>AH22-AH23</f>
        <v>1288</v>
      </c>
      <c r="AI24" s="40">
        <f t="shared" si="4"/>
        <v>975</v>
      </c>
      <c r="AJ24" s="40">
        <f t="shared" si="4"/>
        <v>0</v>
      </c>
      <c r="AK24" s="41">
        <f t="shared" si="4"/>
        <v>2121</v>
      </c>
      <c r="AL24" s="41">
        <f t="shared" si="4"/>
        <v>11527</v>
      </c>
      <c r="AM24" s="41">
        <f t="shared" si="4"/>
        <v>0</v>
      </c>
      <c r="AN24" s="41">
        <f>AN22-AN23</f>
        <v>9307</v>
      </c>
      <c r="AO24" s="41">
        <f t="shared" si="4"/>
        <v>2025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zoomScale="70" zoomScaleNormal="70" workbookViewId="0">
      <selection activeCell="AD23" sqref="AD2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189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45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46"/>
      <c r="AL18" s="246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45943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'10-6-12, 2025'!S24</f>
        <v>0</v>
      </c>
      <c r="T20" s="21">
        <f>'10-6-12, 2025'!T24</f>
        <v>0</v>
      </c>
      <c r="U20" s="21">
        <f>'10-6-12, 2025'!U24</f>
        <v>0</v>
      </c>
      <c r="V20" s="21">
        <f>'10-6-12, 2025'!V24</f>
        <v>0</v>
      </c>
      <c r="W20" s="21">
        <f>'10-6-12, 2025'!W24</f>
        <v>0</v>
      </c>
      <c r="X20" s="21">
        <f>'10-6-12, 2025'!X24</f>
        <v>0</v>
      </c>
      <c r="Y20" s="21">
        <f>'10-6-12, 2025'!Y24</f>
        <v>0</v>
      </c>
      <c r="Z20" s="21">
        <f>'10-6-12, 2025'!Z24</f>
        <v>0</v>
      </c>
      <c r="AA20" s="21" t="e">
        <f>'10-6-12, 2025'!AA24</f>
        <v>#REF!</v>
      </c>
      <c r="AB20" s="21">
        <f>'10-6-12, 2025'!AB24</f>
        <v>14287</v>
      </c>
      <c r="AC20" s="21">
        <f>'10-6-12, 2025'!AC24</f>
        <v>3925</v>
      </c>
      <c r="AD20" s="21">
        <f>'10-6-12, 2025'!AD24</f>
        <v>18200</v>
      </c>
      <c r="AE20" s="21">
        <f>'10-6-12, 2025'!AE24</f>
        <v>2275</v>
      </c>
      <c r="AF20" s="21">
        <f>'10-6-12, 2025'!AF24</f>
        <v>100</v>
      </c>
      <c r="AG20" s="21" t="e">
        <f>'10-6-12, 2025'!AG24</f>
        <v>#REF!</v>
      </c>
      <c r="AH20" s="21">
        <f>'10-6-12, 2025'!AH24</f>
        <v>1288</v>
      </c>
      <c r="AI20" s="21">
        <f>'10-6-12, 2025'!AI24</f>
        <v>975</v>
      </c>
      <c r="AJ20" s="21">
        <f>'10-6-12, 2025'!AJ24</f>
        <v>0</v>
      </c>
      <c r="AK20" s="21">
        <f>'10-6-12, 2025'!AK24</f>
        <v>2121</v>
      </c>
      <c r="AL20" s="21">
        <f>'10-6-12, 2025'!AL24</f>
        <v>11527</v>
      </c>
      <c r="AM20" s="21">
        <f>'10-6-12, 2025'!AM24</f>
        <v>0</v>
      </c>
      <c r="AN20" s="21">
        <f>'10-6-12, 2025'!AN24</f>
        <v>9307</v>
      </c>
      <c r="AO20" s="21">
        <f>'10-6-12, 2025'!AO24</f>
        <v>2025</v>
      </c>
      <c r="AP20" s="21">
        <f>'10-6-12, 2025'!AP24</f>
        <v>0</v>
      </c>
      <c r="AQ20" s="21">
        <f>'10-6-12,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>
        <v>9100</v>
      </c>
      <c r="AC21" s="22">
        <f>AB21/91*25</f>
        <v>2500</v>
      </c>
      <c r="AD21" s="23"/>
      <c r="AE21" s="22">
        <f>AD21/91*25</f>
        <v>0</v>
      </c>
      <c r="AF21" s="23">
        <v>5000</v>
      </c>
      <c r="AG21" s="23"/>
      <c r="AH21" s="23"/>
      <c r="AI21" s="23"/>
      <c r="AJ21" s="23"/>
      <c r="AK21" s="23"/>
      <c r="AL21" s="23"/>
      <c r="AM21" s="31"/>
      <c r="AN21" s="31"/>
      <c r="AO21" s="31">
        <v>3000</v>
      </c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23387</v>
      </c>
      <c r="AC22" s="34">
        <f>AC20+AC21</f>
        <v>6425</v>
      </c>
      <c r="AD22" s="34">
        <f t="shared" ref="AD22" si="3">AD20+AD21</f>
        <v>18200</v>
      </c>
      <c r="AE22" s="34">
        <f>AE20+AE21</f>
        <v>2275</v>
      </c>
      <c r="AF22" s="34">
        <f t="shared" si="0"/>
        <v>5100</v>
      </c>
      <c r="AG22" s="34" t="e">
        <f t="shared" si="0"/>
        <v>#REF!</v>
      </c>
      <c r="AH22" s="34">
        <f t="shared" si="0"/>
        <v>1288</v>
      </c>
      <c r="AI22" s="34">
        <f t="shared" si="0"/>
        <v>975</v>
      </c>
      <c r="AJ22" s="34">
        <f t="shared" si="0"/>
        <v>0</v>
      </c>
      <c r="AK22" s="34">
        <f t="shared" si="0"/>
        <v>2121</v>
      </c>
      <c r="AL22" s="34">
        <f t="shared" si="0"/>
        <v>11527</v>
      </c>
      <c r="AM22" s="34">
        <f t="shared" si="0"/>
        <v>0</v>
      </c>
      <c r="AN22" s="34">
        <f t="shared" si="0"/>
        <v>9307</v>
      </c>
      <c r="AO22" s="34">
        <f t="shared" si="0"/>
        <v>5025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5096</v>
      </c>
      <c r="AC23" s="22">
        <f>AB23/91*25</f>
        <v>1400</v>
      </c>
      <c r="AD23" s="30">
        <v>600</v>
      </c>
      <c r="AE23" s="22">
        <f>AD23/200*25</f>
        <v>75</v>
      </c>
      <c r="AF23" s="30">
        <v>375</v>
      </c>
      <c r="AG23" s="30"/>
      <c r="AH23" s="36">
        <v>79</v>
      </c>
      <c r="AI23" s="22">
        <v>40</v>
      </c>
      <c r="AJ23" s="22"/>
      <c r="AK23" s="30">
        <v>76</v>
      </c>
      <c r="AL23" s="30">
        <v>481</v>
      </c>
      <c r="AM23" s="30"/>
      <c r="AN23" s="30">
        <v>635</v>
      </c>
      <c r="AO23" s="30">
        <v>450</v>
      </c>
      <c r="AP23" s="22"/>
      <c r="AQ23" s="38"/>
    </row>
    <row r="24" spans="2:54" s="3" customFormat="1" ht="100.5" customHeight="1" thickBot="1" x14ac:dyDescent="0.25">
      <c r="B24" s="39">
        <v>45949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18291</v>
      </c>
      <c r="AC24" s="40">
        <f>AC22-AC23</f>
        <v>5025</v>
      </c>
      <c r="AD24" s="40">
        <f>AD22-AD23</f>
        <v>17600</v>
      </c>
      <c r="AE24" s="40">
        <f>AE22-AE23</f>
        <v>2200</v>
      </c>
      <c r="AF24" s="41">
        <f>AF22-AF23</f>
        <v>4725</v>
      </c>
      <c r="AG24" s="41" t="e">
        <f t="shared" si="4"/>
        <v>#REF!</v>
      </c>
      <c r="AH24" s="93">
        <f>AH22-AH23</f>
        <v>1209</v>
      </c>
      <c r="AI24" s="40">
        <f t="shared" si="4"/>
        <v>935</v>
      </c>
      <c r="AJ24" s="40">
        <f t="shared" si="4"/>
        <v>0</v>
      </c>
      <c r="AK24" s="41">
        <f t="shared" si="4"/>
        <v>2045</v>
      </c>
      <c r="AL24" s="41">
        <f t="shared" si="4"/>
        <v>11046</v>
      </c>
      <c r="AM24" s="41">
        <f t="shared" si="4"/>
        <v>0</v>
      </c>
      <c r="AN24" s="41">
        <f>AN22-AN23</f>
        <v>8672</v>
      </c>
      <c r="AO24" s="41">
        <f t="shared" si="4"/>
        <v>4575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0" zoomScale="70" zoomScaleNormal="70" workbookViewId="0">
      <selection activeCell="AI27" sqref="AI27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47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48"/>
      <c r="AL18" s="248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45950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'10-13-19, 2025'!S24</f>
        <v>0</v>
      </c>
      <c r="T20" s="21">
        <f>'10-13-19, 2025'!T24</f>
        <v>0</v>
      </c>
      <c r="U20" s="21">
        <f>'10-13-19, 2025'!U24</f>
        <v>0</v>
      </c>
      <c r="V20" s="21">
        <f>'10-13-19, 2025'!V24</f>
        <v>0</v>
      </c>
      <c r="W20" s="21">
        <f>'10-13-19, 2025'!W24</f>
        <v>0</v>
      </c>
      <c r="X20" s="21">
        <f>'10-13-19, 2025'!X24</f>
        <v>0</v>
      </c>
      <c r="Y20" s="21">
        <f>'10-13-19, 2025'!Y24</f>
        <v>0</v>
      </c>
      <c r="Z20" s="21">
        <f>'10-13-19, 2025'!Z24</f>
        <v>0</v>
      </c>
      <c r="AA20" s="21" t="e">
        <f>'10-13-19, 2025'!AA24</f>
        <v>#REF!</v>
      </c>
      <c r="AB20" s="21">
        <f>'10-13-19, 2025'!AB24</f>
        <v>18291</v>
      </c>
      <c r="AC20" s="21">
        <f>'10-13-19, 2025'!AC24</f>
        <v>5025</v>
      </c>
      <c r="AD20" s="21">
        <f>'10-13-19, 2025'!AD24</f>
        <v>17600</v>
      </c>
      <c r="AE20" s="21">
        <f>'10-13-19, 2025'!AE24</f>
        <v>2200</v>
      </c>
      <c r="AF20" s="21">
        <f>'10-13-19, 2025'!AF24</f>
        <v>4725</v>
      </c>
      <c r="AG20" s="21" t="e">
        <f>'10-13-19, 2025'!AG24</f>
        <v>#REF!</v>
      </c>
      <c r="AH20" s="21">
        <f>'10-13-19, 2025'!AH24</f>
        <v>1209</v>
      </c>
      <c r="AI20" s="21">
        <f>'10-13-19, 2025'!AI24</f>
        <v>935</v>
      </c>
      <c r="AJ20" s="21">
        <f>'10-13-19, 2025'!AJ24</f>
        <v>0</v>
      </c>
      <c r="AK20" s="21">
        <f>'10-13-19, 2025'!AK24</f>
        <v>2045</v>
      </c>
      <c r="AL20" s="21">
        <f>'10-13-19, 2025'!AL24</f>
        <v>11046</v>
      </c>
      <c r="AM20" s="21">
        <f>'10-13-19, 2025'!AM24</f>
        <v>0</v>
      </c>
      <c r="AN20" s="21">
        <f>'10-13-19, 2025'!AN24</f>
        <v>8672</v>
      </c>
      <c r="AO20" s="21">
        <f>'10-13-19, 2025'!AO24</f>
        <v>4575</v>
      </c>
      <c r="AP20" s="21">
        <f>'10-13-19, 2025'!AP24</f>
        <v>0</v>
      </c>
      <c r="AQ20" s="21">
        <f>'10-13-19,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18291</v>
      </c>
      <c r="AC22" s="34">
        <f>AC20+AC21</f>
        <v>5025</v>
      </c>
      <c r="AD22" s="34">
        <f t="shared" ref="AD22" si="3">AD20+AD21</f>
        <v>17600</v>
      </c>
      <c r="AE22" s="34">
        <f>AE20+AE21</f>
        <v>2200</v>
      </c>
      <c r="AF22" s="34">
        <f t="shared" si="0"/>
        <v>4725</v>
      </c>
      <c r="AG22" s="34" t="e">
        <f t="shared" si="0"/>
        <v>#REF!</v>
      </c>
      <c r="AH22" s="34">
        <f t="shared" si="0"/>
        <v>1209</v>
      </c>
      <c r="AI22" s="34">
        <f t="shared" si="0"/>
        <v>935</v>
      </c>
      <c r="AJ22" s="34">
        <f t="shared" si="0"/>
        <v>0</v>
      </c>
      <c r="AK22" s="34">
        <f t="shared" si="0"/>
        <v>2045</v>
      </c>
      <c r="AL22" s="34">
        <f t="shared" si="0"/>
        <v>11046</v>
      </c>
      <c r="AM22" s="34">
        <f t="shared" si="0"/>
        <v>0</v>
      </c>
      <c r="AN22" s="34">
        <f t="shared" si="0"/>
        <v>8672</v>
      </c>
      <c r="AO22" s="34">
        <f t="shared" si="0"/>
        <v>4575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2821</v>
      </c>
      <c r="AC23" s="22">
        <f>AB23/91*25</f>
        <v>775</v>
      </c>
      <c r="AD23" s="30">
        <v>1000</v>
      </c>
      <c r="AE23" s="22">
        <f>AD23/200*25</f>
        <v>125</v>
      </c>
      <c r="AF23" s="30">
        <v>1000</v>
      </c>
      <c r="AG23" s="30"/>
      <c r="AH23" s="36">
        <v>73</v>
      </c>
      <c r="AI23" s="22">
        <v>48</v>
      </c>
      <c r="AJ23" s="22"/>
      <c r="AK23" s="30">
        <v>133</v>
      </c>
      <c r="AL23" s="30">
        <v>329</v>
      </c>
      <c r="AM23" s="30"/>
      <c r="AN23" s="30">
        <v>672</v>
      </c>
      <c r="AO23" s="30">
        <v>375</v>
      </c>
      <c r="AP23" s="22"/>
      <c r="AQ23" s="38"/>
    </row>
    <row r="24" spans="2:54" s="3" customFormat="1" ht="100.5" customHeight="1" thickBot="1" x14ac:dyDescent="0.25">
      <c r="B24" s="39">
        <v>45956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15470</v>
      </c>
      <c r="AC24" s="40">
        <f>AC22-AC23</f>
        <v>4250</v>
      </c>
      <c r="AD24" s="40">
        <f>AD22-AD23</f>
        <v>16600</v>
      </c>
      <c r="AE24" s="40">
        <f>AE22-AE23</f>
        <v>2075</v>
      </c>
      <c r="AF24" s="41">
        <f>AF22-AF23</f>
        <v>3725</v>
      </c>
      <c r="AG24" s="41" t="e">
        <f t="shared" si="4"/>
        <v>#REF!</v>
      </c>
      <c r="AH24" s="93">
        <f>AH22-AH23</f>
        <v>1136</v>
      </c>
      <c r="AI24" s="40">
        <f t="shared" si="4"/>
        <v>887</v>
      </c>
      <c r="AJ24" s="40">
        <f t="shared" si="4"/>
        <v>0</v>
      </c>
      <c r="AK24" s="41">
        <f t="shared" si="4"/>
        <v>1912</v>
      </c>
      <c r="AL24" s="41">
        <f t="shared" si="4"/>
        <v>10717</v>
      </c>
      <c r="AM24" s="41">
        <f t="shared" si="4"/>
        <v>0</v>
      </c>
      <c r="AN24" s="41">
        <f>AN22-AN23</f>
        <v>8000</v>
      </c>
      <c r="AO24" s="41">
        <f t="shared" si="4"/>
        <v>4200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0" zoomScale="70" zoomScaleNormal="70" workbookViewId="0">
      <selection activeCell="AO26" sqref="AO26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49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50"/>
      <c r="AL18" s="250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45957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'10-20-26, 2025'!S24</f>
        <v>0</v>
      </c>
      <c r="T20" s="21">
        <f>'10-20-26, 2025'!T24</f>
        <v>0</v>
      </c>
      <c r="U20" s="21">
        <f>'10-20-26, 2025'!U24</f>
        <v>0</v>
      </c>
      <c r="V20" s="21">
        <f>'10-20-26, 2025'!V24</f>
        <v>0</v>
      </c>
      <c r="W20" s="21">
        <f>'10-20-26, 2025'!W24</f>
        <v>0</v>
      </c>
      <c r="X20" s="21">
        <f>'10-20-26, 2025'!X24</f>
        <v>0</v>
      </c>
      <c r="Y20" s="21">
        <f>'10-20-26, 2025'!Y24</f>
        <v>0</v>
      </c>
      <c r="Z20" s="21">
        <f>'10-20-26, 2025'!Z24</f>
        <v>0</v>
      </c>
      <c r="AA20" s="21" t="e">
        <f>'10-20-26, 2025'!AA24</f>
        <v>#REF!</v>
      </c>
      <c r="AB20" s="21">
        <f>'10-20-26, 2025'!AB24</f>
        <v>15470</v>
      </c>
      <c r="AC20" s="21">
        <f>'10-20-26, 2025'!AC24</f>
        <v>4250</v>
      </c>
      <c r="AD20" s="21">
        <f>'10-20-26, 2025'!AD24</f>
        <v>16600</v>
      </c>
      <c r="AE20" s="21">
        <f>'10-20-26, 2025'!AE24</f>
        <v>2075</v>
      </c>
      <c r="AF20" s="21">
        <f>'10-20-26, 2025'!AF24</f>
        <v>3725</v>
      </c>
      <c r="AG20" s="21" t="e">
        <f>'10-20-26, 2025'!AG24</f>
        <v>#REF!</v>
      </c>
      <c r="AH20" s="21">
        <f>'10-20-26, 2025'!AH24</f>
        <v>1136</v>
      </c>
      <c r="AI20" s="21">
        <f>'10-20-26, 2025'!AI24</f>
        <v>887</v>
      </c>
      <c r="AJ20" s="21">
        <f>'10-20-26, 2025'!AJ24</f>
        <v>0</v>
      </c>
      <c r="AK20" s="21">
        <f>'10-20-26, 2025'!AK24</f>
        <v>1912</v>
      </c>
      <c r="AL20" s="21">
        <f>'10-20-26, 2025'!AL24</f>
        <v>10717</v>
      </c>
      <c r="AM20" s="21">
        <f>'10-20-26, 2025'!AM24</f>
        <v>0</v>
      </c>
      <c r="AN20" s="21">
        <f>'10-20-26, 2025'!AN24</f>
        <v>8000</v>
      </c>
      <c r="AO20" s="21">
        <f>'10-20-26, 2025'!AO24</f>
        <v>4200</v>
      </c>
      <c r="AP20" s="21">
        <f>'10-20-26, 2025'!AP24</f>
        <v>0</v>
      </c>
      <c r="AQ20" s="21">
        <f>'10-20-26,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15470</v>
      </c>
      <c r="AC22" s="34">
        <f>AC20+AC21</f>
        <v>4250</v>
      </c>
      <c r="AD22" s="34">
        <f t="shared" ref="AD22" si="3">AD20+AD21</f>
        <v>16600</v>
      </c>
      <c r="AE22" s="34">
        <f>AE20+AE21</f>
        <v>2075</v>
      </c>
      <c r="AF22" s="34">
        <f t="shared" si="0"/>
        <v>3725</v>
      </c>
      <c r="AG22" s="34" t="e">
        <f t="shared" si="0"/>
        <v>#REF!</v>
      </c>
      <c r="AH22" s="34">
        <f t="shared" si="0"/>
        <v>1136</v>
      </c>
      <c r="AI22" s="34">
        <f t="shared" si="0"/>
        <v>887</v>
      </c>
      <c r="AJ22" s="34">
        <f t="shared" si="0"/>
        <v>0</v>
      </c>
      <c r="AK22" s="34">
        <f t="shared" si="0"/>
        <v>1912</v>
      </c>
      <c r="AL22" s="34">
        <f t="shared" si="0"/>
        <v>10717</v>
      </c>
      <c r="AM22" s="34">
        <f t="shared" si="0"/>
        <v>0</v>
      </c>
      <c r="AN22" s="34">
        <f t="shared" si="0"/>
        <v>8000</v>
      </c>
      <c r="AO22" s="34">
        <f t="shared" si="0"/>
        <v>4200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f>1820+3185</f>
        <v>5005</v>
      </c>
      <c r="AC23" s="22">
        <f>AB23/91*25</f>
        <v>1375</v>
      </c>
      <c r="AD23" s="30">
        <v>0</v>
      </c>
      <c r="AE23" s="22">
        <f>AD23/200*25</f>
        <v>0</v>
      </c>
      <c r="AF23" s="30">
        <f>800+175</f>
        <v>975</v>
      </c>
      <c r="AG23" s="30"/>
      <c r="AH23" s="36">
        <v>70</v>
      </c>
      <c r="AI23" s="22">
        <f>25+14</f>
        <v>39</v>
      </c>
      <c r="AJ23" s="22"/>
      <c r="AK23" s="30">
        <v>0</v>
      </c>
      <c r="AL23" s="30">
        <f>321+159</f>
        <v>480</v>
      </c>
      <c r="AM23" s="30"/>
      <c r="AN23" s="30">
        <f>481+266</f>
        <v>747</v>
      </c>
      <c r="AO23" s="30">
        <f>375+150</f>
        <v>525</v>
      </c>
      <c r="AP23" s="22"/>
      <c r="AQ23" s="38">
        <v>0</v>
      </c>
    </row>
    <row r="24" spans="2:54" s="3" customFormat="1" ht="100.5" customHeight="1" thickBot="1" x14ac:dyDescent="0.25">
      <c r="B24" s="39">
        <v>45963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10465</v>
      </c>
      <c r="AC24" s="40">
        <f>AC22-AC23</f>
        <v>2875</v>
      </c>
      <c r="AD24" s="40">
        <f>AD22-AD23</f>
        <v>16600</v>
      </c>
      <c r="AE24" s="40">
        <f>AE22-AE23</f>
        <v>2075</v>
      </c>
      <c r="AF24" s="41">
        <f>AF22-AF23</f>
        <v>2750</v>
      </c>
      <c r="AG24" s="41" t="e">
        <f t="shared" si="4"/>
        <v>#REF!</v>
      </c>
      <c r="AH24" s="93">
        <f>AH22-AH23</f>
        <v>1066</v>
      </c>
      <c r="AI24" s="40">
        <f t="shared" si="4"/>
        <v>848</v>
      </c>
      <c r="AJ24" s="40">
        <f t="shared" si="4"/>
        <v>0</v>
      </c>
      <c r="AK24" s="41">
        <f t="shared" si="4"/>
        <v>1912</v>
      </c>
      <c r="AL24" s="41">
        <f t="shared" si="4"/>
        <v>10237</v>
      </c>
      <c r="AM24" s="41">
        <f t="shared" si="4"/>
        <v>0</v>
      </c>
      <c r="AN24" s="41">
        <f>AN22-AN23</f>
        <v>7253</v>
      </c>
      <c r="AO24" s="41">
        <f t="shared" si="4"/>
        <v>3675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9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51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52"/>
      <c r="AL18" s="252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45964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'10-27-11-2, 2025'!S24</f>
        <v>0</v>
      </c>
      <c r="T20" s="21">
        <f>'10-27-11-2, 2025'!T24</f>
        <v>0</v>
      </c>
      <c r="U20" s="21">
        <f>'10-27-11-2, 2025'!U24</f>
        <v>0</v>
      </c>
      <c r="V20" s="21">
        <f>'10-27-11-2, 2025'!V24</f>
        <v>0</v>
      </c>
      <c r="W20" s="21">
        <f>'10-27-11-2, 2025'!W24</f>
        <v>0</v>
      </c>
      <c r="X20" s="21">
        <f>'10-27-11-2, 2025'!X24</f>
        <v>0</v>
      </c>
      <c r="Y20" s="21">
        <f>'10-27-11-2, 2025'!Y24</f>
        <v>0</v>
      </c>
      <c r="Z20" s="21">
        <f>'10-27-11-2, 2025'!Z24</f>
        <v>0</v>
      </c>
      <c r="AA20" s="21" t="e">
        <f>'10-27-11-2, 2025'!AA24</f>
        <v>#REF!</v>
      </c>
      <c r="AB20" s="21">
        <f>'10-27-11-2, 2025'!AB24</f>
        <v>10465</v>
      </c>
      <c r="AC20" s="21">
        <f>'10-27-11-2, 2025'!AC24</f>
        <v>2875</v>
      </c>
      <c r="AD20" s="21">
        <f>'10-27-11-2, 2025'!AD24</f>
        <v>16600</v>
      </c>
      <c r="AE20" s="21">
        <f>'10-27-11-2, 2025'!AE24</f>
        <v>2075</v>
      </c>
      <c r="AF20" s="21">
        <f>'10-27-11-2, 2025'!AF24</f>
        <v>2750</v>
      </c>
      <c r="AG20" s="21" t="e">
        <f>'10-27-11-2, 2025'!AG24</f>
        <v>#REF!</v>
      </c>
      <c r="AH20" s="21">
        <f>'10-27-11-2, 2025'!AH24</f>
        <v>1066</v>
      </c>
      <c r="AI20" s="21">
        <f>'10-27-11-2, 2025'!AI24</f>
        <v>848</v>
      </c>
      <c r="AJ20" s="21">
        <f>'10-27-11-2, 2025'!AJ24</f>
        <v>0</v>
      </c>
      <c r="AK20" s="21">
        <f>'10-27-11-2, 2025'!AK24</f>
        <v>1912</v>
      </c>
      <c r="AL20" s="21">
        <f>'10-27-11-2, 2025'!AL24</f>
        <v>10237</v>
      </c>
      <c r="AM20" s="21">
        <f>'10-27-11-2, 2025'!AM24</f>
        <v>0</v>
      </c>
      <c r="AN20" s="21">
        <f>'10-27-11-2, 2025'!AN24</f>
        <v>7253</v>
      </c>
      <c r="AO20" s="21">
        <f>'10-27-11-2, 2025'!AO24</f>
        <v>3675</v>
      </c>
      <c r="AP20" s="21">
        <f>'10-27-11-2, 2025'!AP24</f>
        <v>0</v>
      </c>
      <c r="AQ20" s="21">
        <f>'10-27-11-2,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10465</v>
      </c>
      <c r="AC22" s="34">
        <f>AC20+AC21</f>
        <v>2875</v>
      </c>
      <c r="AD22" s="34">
        <f t="shared" ref="AD22" si="3">AD20+AD21</f>
        <v>16600</v>
      </c>
      <c r="AE22" s="34">
        <f>AE20+AE21</f>
        <v>2075</v>
      </c>
      <c r="AF22" s="34">
        <f t="shared" si="0"/>
        <v>2750</v>
      </c>
      <c r="AG22" s="34" t="e">
        <f t="shared" si="0"/>
        <v>#REF!</v>
      </c>
      <c r="AH22" s="34">
        <f t="shared" si="0"/>
        <v>1066</v>
      </c>
      <c r="AI22" s="34">
        <f t="shared" si="0"/>
        <v>848</v>
      </c>
      <c r="AJ22" s="34">
        <f t="shared" si="0"/>
        <v>0</v>
      </c>
      <c r="AK22" s="34">
        <f t="shared" si="0"/>
        <v>1912</v>
      </c>
      <c r="AL22" s="34">
        <f t="shared" si="0"/>
        <v>10237</v>
      </c>
      <c r="AM22" s="34">
        <f t="shared" si="0"/>
        <v>0</v>
      </c>
      <c r="AN22" s="34">
        <f t="shared" si="0"/>
        <v>7253</v>
      </c>
      <c r="AO22" s="34">
        <f t="shared" si="0"/>
        <v>3675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4004</v>
      </c>
      <c r="AC23" s="22">
        <f>AB23/91*25</f>
        <v>1100</v>
      </c>
      <c r="AD23" s="30">
        <v>0</v>
      </c>
      <c r="AE23" s="22">
        <f>AD23/200*25</f>
        <v>0</v>
      </c>
      <c r="AF23" s="30">
        <v>1000</v>
      </c>
      <c r="AG23" s="30"/>
      <c r="AH23" s="36">
        <v>61</v>
      </c>
      <c r="AI23" s="22">
        <v>39</v>
      </c>
      <c r="AJ23" s="22"/>
      <c r="AK23" s="30">
        <v>0</v>
      </c>
      <c r="AL23" s="30">
        <v>404</v>
      </c>
      <c r="AM23" s="30"/>
      <c r="AN23" s="30">
        <v>634</v>
      </c>
      <c r="AO23" s="30">
        <v>375</v>
      </c>
      <c r="AP23" s="22"/>
      <c r="AQ23" s="38">
        <v>0</v>
      </c>
    </row>
    <row r="24" spans="2:54" s="3" customFormat="1" ht="100.5" customHeight="1" thickBot="1" x14ac:dyDescent="0.25">
      <c r="B24" s="39">
        <v>45970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6461</v>
      </c>
      <c r="AC24" s="40">
        <f>AC22-AC23</f>
        <v>1775</v>
      </c>
      <c r="AD24" s="40">
        <f>AD22-AD23</f>
        <v>16600</v>
      </c>
      <c r="AE24" s="40">
        <f>AE22-AE23</f>
        <v>2075</v>
      </c>
      <c r="AF24" s="41">
        <f>AF22-AF23</f>
        <v>1750</v>
      </c>
      <c r="AG24" s="41" t="e">
        <f t="shared" si="4"/>
        <v>#REF!</v>
      </c>
      <c r="AH24" s="93">
        <f>AH22-AH23</f>
        <v>1005</v>
      </c>
      <c r="AI24" s="40">
        <f t="shared" si="4"/>
        <v>809</v>
      </c>
      <c r="AJ24" s="40">
        <f t="shared" si="4"/>
        <v>0</v>
      </c>
      <c r="AK24" s="41">
        <f t="shared" si="4"/>
        <v>1912</v>
      </c>
      <c r="AL24" s="41">
        <f t="shared" si="4"/>
        <v>9833</v>
      </c>
      <c r="AM24" s="41">
        <f t="shared" si="4"/>
        <v>0</v>
      </c>
      <c r="AN24" s="41">
        <f>AN22-AN23</f>
        <v>6619</v>
      </c>
      <c r="AO24" s="41">
        <f t="shared" si="4"/>
        <v>3300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22" zoomScale="70" zoomScaleNormal="70" workbookViewId="0">
      <selection activeCell="AB24" sqref="AB24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53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54"/>
      <c r="AL18" s="254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45971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'11-3-9, 2025'!S24</f>
        <v>0</v>
      </c>
      <c r="T20" s="21">
        <f>'11-3-9, 2025'!T24</f>
        <v>0</v>
      </c>
      <c r="U20" s="21">
        <f>'11-3-9, 2025'!U24</f>
        <v>0</v>
      </c>
      <c r="V20" s="21">
        <f>'11-3-9, 2025'!V24</f>
        <v>0</v>
      </c>
      <c r="W20" s="21">
        <f>'11-3-9, 2025'!W24</f>
        <v>0</v>
      </c>
      <c r="X20" s="21">
        <f>'11-3-9, 2025'!X24</f>
        <v>0</v>
      </c>
      <c r="Y20" s="21">
        <f>'11-3-9, 2025'!Y24</f>
        <v>0</v>
      </c>
      <c r="Z20" s="21">
        <f>'11-3-9, 2025'!Z24</f>
        <v>0</v>
      </c>
      <c r="AA20" s="21" t="e">
        <f>'11-3-9, 2025'!AA24</f>
        <v>#REF!</v>
      </c>
      <c r="AB20" s="21">
        <f>'11-3-9, 2025'!AB24</f>
        <v>6461</v>
      </c>
      <c r="AC20" s="21">
        <f>'11-3-9, 2025'!AC24</f>
        <v>1775</v>
      </c>
      <c r="AD20" s="21">
        <f>'11-3-9, 2025'!AD24</f>
        <v>16600</v>
      </c>
      <c r="AE20" s="21">
        <f>'11-3-9, 2025'!AE24</f>
        <v>2075</v>
      </c>
      <c r="AF20" s="21">
        <f>'11-3-9, 2025'!AF24</f>
        <v>1750</v>
      </c>
      <c r="AG20" s="21" t="e">
        <f>'11-3-9, 2025'!AG24</f>
        <v>#REF!</v>
      </c>
      <c r="AH20" s="21">
        <f>'11-3-9, 2025'!AH24</f>
        <v>1005</v>
      </c>
      <c r="AI20" s="21">
        <f>'11-3-9, 2025'!AI24</f>
        <v>809</v>
      </c>
      <c r="AJ20" s="21">
        <f>'11-3-9, 2025'!AJ24</f>
        <v>0</v>
      </c>
      <c r="AK20" s="21">
        <f>'11-3-9, 2025'!AK24</f>
        <v>1912</v>
      </c>
      <c r="AL20" s="21">
        <f>'11-3-9, 2025'!AL24</f>
        <v>9833</v>
      </c>
      <c r="AM20" s="21">
        <f>'11-3-9, 2025'!AM24</f>
        <v>0</v>
      </c>
      <c r="AN20" s="21">
        <f>'11-3-9, 2025'!AN24</f>
        <v>6619</v>
      </c>
      <c r="AO20" s="21">
        <f>'11-3-9, 2025'!AO24</f>
        <v>3300</v>
      </c>
      <c r="AP20" s="21">
        <f>'11-3-9, 2025'!AP24</f>
        <v>0</v>
      </c>
      <c r="AQ20" s="21">
        <f>'11-3-9,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>
        <v>45500</v>
      </c>
      <c r="AC21" s="22">
        <f>AB21/91*25</f>
        <v>12500</v>
      </c>
      <c r="AD21" s="23"/>
      <c r="AE21" s="22">
        <f>AD21/91*25</f>
        <v>0</v>
      </c>
      <c r="AF21" s="23">
        <v>7500</v>
      </c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51961</v>
      </c>
      <c r="AC22" s="34">
        <f>AC20+AC21</f>
        <v>14275</v>
      </c>
      <c r="AD22" s="34">
        <f t="shared" ref="AD22" si="3">AD20+AD21</f>
        <v>16600</v>
      </c>
      <c r="AE22" s="34">
        <f>AE20+AE21</f>
        <v>2075</v>
      </c>
      <c r="AF22" s="34">
        <f t="shared" si="0"/>
        <v>9250</v>
      </c>
      <c r="AG22" s="34" t="e">
        <f t="shared" si="0"/>
        <v>#REF!</v>
      </c>
      <c r="AH22" s="34">
        <f t="shared" si="0"/>
        <v>1005</v>
      </c>
      <c r="AI22" s="34">
        <f t="shared" si="0"/>
        <v>809</v>
      </c>
      <c r="AJ22" s="34">
        <f t="shared" si="0"/>
        <v>0</v>
      </c>
      <c r="AK22" s="34">
        <f t="shared" si="0"/>
        <v>1912</v>
      </c>
      <c r="AL22" s="34">
        <f t="shared" si="0"/>
        <v>9833</v>
      </c>
      <c r="AM22" s="34">
        <f t="shared" si="0"/>
        <v>0</v>
      </c>
      <c r="AN22" s="34">
        <f t="shared" si="0"/>
        <v>6619</v>
      </c>
      <c r="AO22" s="34">
        <f t="shared" si="0"/>
        <v>3300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4732</v>
      </c>
      <c r="AC23" s="22">
        <f>AB23/91*25</f>
        <v>1300</v>
      </c>
      <c r="AD23" s="30">
        <v>0</v>
      </c>
      <c r="AE23" s="22">
        <f>AD23/200*25</f>
        <v>0</v>
      </c>
      <c r="AF23" s="30">
        <v>650</v>
      </c>
      <c r="AG23" s="30"/>
      <c r="AH23" s="36">
        <v>40</v>
      </c>
      <c r="AI23" s="22">
        <v>32</v>
      </c>
      <c r="AJ23" s="22"/>
      <c r="AK23" s="30">
        <v>0</v>
      </c>
      <c r="AL23" s="30">
        <v>412</v>
      </c>
      <c r="AM23" s="30"/>
      <c r="AN23" s="30">
        <v>601</v>
      </c>
      <c r="AO23" s="30">
        <v>300</v>
      </c>
      <c r="AP23" s="22"/>
      <c r="AQ23" s="38">
        <v>0</v>
      </c>
    </row>
    <row r="24" spans="2:54" s="3" customFormat="1" ht="100.5" customHeight="1" thickBot="1" x14ac:dyDescent="0.25">
      <c r="B24" s="39">
        <v>45977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47229</v>
      </c>
      <c r="AC24" s="40">
        <f>AC22-AC23</f>
        <v>12975</v>
      </c>
      <c r="AD24" s="40">
        <f>AD22-AD23</f>
        <v>16600</v>
      </c>
      <c r="AE24" s="40">
        <f>AE22-AE23</f>
        <v>2075</v>
      </c>
      <c r="AF24" s="41">
        <f>AF22-AF23</f>
        <v>8600</v>
      </c>
      <c r="AG24" s="41" t="e">
        <f t="shared" si="4"/>
        <v>#REF!</v>
      </c>
      <c r="AH24" s="93">
        <f>AH22-AH23</f>
        <v>965</v>
      </c>
      <c r="AI24" s="40">
        <f t="shared" si="4"/>
        <v>777</v>
      </c>
      <c r="AJ24" s="40">
        <f t="shared" si="4"/>
        <v>0</v>
      </c>
      <c r="AK24" s="41">
        <f t="shared" si="4"/>
        <v>1912</v>
      </c>
      <c r="AL24" s="41">
        <f t="shared" si="4"/>
        <v>9421</v>
      </c>
      <c r="AM24" s="41">
        <f t="shared" si="4"/>
        <v>0</v>
      </c>
      <c r="AN24" s="41">
        <f>AN22-AN23</f>
        <v>6018</v>
      </c>
      <c r="AO24" s="41">
        <f t="shared" si="4"/>
        <v>3000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3" zoomScale="70" zoomScaleNormal="70" workbookViewId="0">
      <selection activeCell="AE31" sqref="AE31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55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56"/>
      <c r="AL18" s="256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45978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'11-10-16, 2025'!S24</f>
        <v>0</v>
      </c>
      <c r="T20" s="21">
        <f>'11-10-16, 2025'!T24</f>
        <v>0</v>
      </c>
      <c r="U20" s="21">
        <f>'11-10-16, 2025'!U24</f>
        <v>0</v>
      </c>
      <c r="V20" s="21">
        <f>'11-10-16, 2025'!V24</f>
        <v>0</v>
      </c>
      <c r="W20" s="21">
        <f>'11-10-16, 2025'!W24</f>
        <v>0</v>
      </c>
      <c r="X20" s="21">
        <f>'11-10-16, 2025'!X24</f>
        <v>0</v>
      </c>
      <c r="Y20" s="21">
        <f>'11-10-16, 2025'!Y24</f>
        <v>0</v>
      </c>
      <c r="Z20" s="21">
        <f>'11-10-16, 2025'!Z24</f>
        <v>0</v>
      </c>
      <c r="AA20" s="21" t="e">
        <f>'11-10-16, 2025'!AA24</f>
        <v>#REF!</v>
      </c>
      <c r="AB20" s="21">
        <f>'11-10-16, 2025'!AB24</f>
        <v>47229</v>
      </c>
      <c r="AC20" s="21">
        <f>'11-10-16, 2025'!AC24</f>
        <v>12975</v>
      </c>
      <c r="AD20" s="21">
        <f>'11-10-16, 2025'!AD24</f>
        <v>16600</v>
      </c>
      <c r="AE20" s="21">
        <f>'11-10-16, 2025'!AE24</f>
        <v>2075</v>
      </c>
      <c r="AF20" s="21">
        <f>'11-10-16, 2025'!AF24</f>
        <v>8600</v>
      </c>
      <c r="AG20" s="21" t="e">
        <f>'11-10-16, 2025'!AG24</f>
        <v>#REF!</v>
      </c>
      <c r="AH20" s="21">
        <f>'11-10-16, 2025'!AH24</f>
        <v>965</v>
      </c>
      <c r="AI20" s="21">
        <f>'11-10-16, 2025'!AI24</f>
        <v>777</v>
      </c>
      <c r="AJ20" s="21">
        <f>'11-10-16, 2025'!AJ24</f>
        <v>0</v>
      </c>
      <c r="AK20" s="21">
        <f>'11-10-16, 2025'!AK24</f>
        <v>1912</v>
      </c>
      <c r="AL20" s="21">
        <f>'11-10-16, 2025'!AL24</f>
        <v>9421</v>
      </c>
      <c r="AM20" s="21">
        <f>'11-10-16, 2025'!AM24</f>
        <v>0</v>
      </c>
      <c r="AN20" s="21">
        <f>'11-10-16, 2025'!AN24</f>
        <v>6018</v>
      </c>
      <c r="AO20" s="21">
        <f>'11-10-16, 2025'!AO24</f>
        <v>3000</v>
      </c>
      <c r="AP20" s="21">
        <f>'11-10-16, 2025'!AP24</f>
        <v>0</v>
      </c>
      <c r="AQ20" s="21">
        <f>'11-10-16,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47229</v>
      </c>
      <c r="AC22" s="34">
        <f>AC20+AC21</f>
        <v>12975</v>
      </c>
      <c r="AD22" s="34">
        <f t="shared" ref="AD22" si="3">AD20+AD21</f>
        <v>16600</v>
      </c>
      <c r="AE22" s="34">
        <f>AE20+AE21</f>
        <v>2075</v>
      </c>
      <c r="AF22" s="34">
        <f t="shared" si="0"/>
        <v>8600</v>
      </c>
      <c r="AG22" s="34" t="e">
        <f t="shared" si="0"/>
        <v>#REF!</v>
      </c>
      <c r="AH22" s="34">
        <f t="shared" si="0"/>
        <v>965</v>
      </c>
      <c r="AI22" s="34">
        <f t="shared" si="0"/>
        <v>777</v>
      </c>
      <c r="AJ22" s="34">
        <f t="shared" si="0"/>
        <v>0</v>
      </c>
      <c r="AK22" s="34">
        <f t="shared" si="0"/>
        <v>1912</v>
      </c>
      <c r="AL22" s="34">
        <f t="shared" si="0"/>
        <v>9421</v>
      </c>
      <c r="AM22" s="34">
        <f t="shared" si="0"/>
        <v>0</v>
      </c>
      <c r="AN22" s="34">
        <f t="shared" si="0"/>
        <v>6018</v>
      </c>
      <c r="AO22" s="34">
        <f t="shared" si="0"/>
        <v>3000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2821</v>
      </c>
      <c r="AC23" s="22">
        <f>AB23/91*25</f>
        <v>775</v>
      </c>
      <c r="AD23" s="30">
        <v>0</v>
      </c>
      <c r="AE23" s="22">
        <f>AD23/200*25</f>
        <v>0</v>
      </c>
      <c r="AF23" s="30">
        <v>600</v>
      </c>
      <c r="AG23" s="30"/>
      <c r="AH23" s="36">
        <v>38</v>
      </c>
      <c r="AI23" s="22">
        <v>29</v>
      </c>
      <c r="AJ23" s="22"/>
      <c r="AK23" s="30">
        <v>0</v>
      </c>
      <c r="AL23" s="30">
        <v>282</v>
      </c>
      <c r="AM23" s="30"/>
      <c r="AN23" s="30">
        <v>420</v>
      </c>
      <c r="AO23" s="30">
        <v>225</v>
      </c>
      <c r="AP23" s="22"/>
      <c r="AQ23" s="38">
        <v>0</v>
      </c>
    </row>
    <row r="24" spans="2:54" s="3" customFormat="1" ht="100.5" customHeight="1" thickBot="1" x14ac:dyDescent="0.25">
      <c r="B24" s="39">
        <v>45984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44408</v>
      </c>
      <c r="AC24" s="40">
        <f>AC22-AC23</f>
        <v>12200</v>
      </c>
      <c r="AD24" s="40">
        <f>AD22-AD23</f>
        <v>16600</v>
      </c>
      <c r="AE24" s="40">
        <f>AE22-AE23</f>
        <v>2075</v>
      </c>
      <c r="AF24" s="41">
        <f>AF22-AF23</f>
        <v>8000</v>
      </c>
      <c r="AG24" s="41" t="e">
        <f t="shared" si="4"/>
        <v>#REF!</v>
      </c>
      <c r="AH24" s="93">
        <f>AH22-AH23</f>
        <v>927</v>
      </c>
      <c r="AI24" s="40">
        <f t="shared" si="4"/>
        <v>748</v>
      </c>
      <c r="AJ24" s="40">
        <f t="shared" si="4"/>
        <v>0</v>
      </c>
      <c r="AK24" s="41">
        <f t="shared" si="4"/>
        <v>1912</v>
      </c>
      <c r="AL24" s="41">
        <f t="shared" si="4"/>
        <v>9139</v>
      </c>
      <c r="AM24" s="41">
        <f t="shared" si="4"/>
        <v>0</v>
      </c>
      <c r="AN24" s="41">
        <f>AN22-AN23</f>
        <v>5598</v>
      </c>
      <c r="AO24" s="41">
        <f t="shared" si="4"/>
        <v>2775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0" zoomScale="70" zoomScaleNormal="70" workbookViewId="0">
      <selection activeCell="AE24" sqref="AE24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57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58"/>
      <c r="AL18" s="258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45985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'11-17-23, 2025'!S24</f>
        <v>0</v>
      </c>
      <c r="T20" s="21">
        <f>'11-17-23, 2025'!T24</f>
        <v>0</v>
      </c>
      <c r="U20" s="21">
        <f>'11-17-23, 2025'!U24</f>
        <v>0</v>
      </c>
      <c r="V20" s="21">
        <f>'11-17-23, 2025'!V24</f>
        <v>0</v>
      </c>
      <c r="W20" s="21">
        <f>'11-17-23, 2025'!W24</f>
        <v>0</v>
      </c>
      <c r="X20" s="21">
        <f>'11-17-23, 2025'!X24</f>
        <v>0</v>
      </c>
      <c r="Y20" s="21">
        <f>'11-17-23, 2025'!Y24</f>
        <v>0</v>
      </c>
      <c r="Z20" s="21">
        <f>'11-17-23, 2025'!Z24</f>
        <v>0</v>
      </c>
      <c r="AA20" s="21" t="e">
        <f>'11-17-23, 2025'!AA24</f>
        <v>#REF!</v>
      </c>
      <c r="AB20" s="21">
        <f>'11-17-23, 2025'!AB24</f>
        <v>44408</v>
      </c>
      <c r="AC20" s="21">
        <f>'11-17-23, 2025'!AC24</f>
        <v>12200</v>
      </c>
      <c r="AD20" s="21">
        <f>'11-17-23, 2025'!AD24</f>
        <v>16600</v>
      </c>
      <c r="AE20" s="21">
        <f>'11-17-23, 2025'!AE24</f>
        <v>2075</v>
      </c>
      <c r="AF20" s="21">
        <f>'11-17-23, 2025'!AF24</f>
        <v>8000</v>
      </c>
      <c r="AG20" s="21" t="e">
        <f>'11-17-23, 2025'!AG24</f>
        <v>#REF!</v>
      </c>
      <c r="AH20" s="21">
        <f>'11-17-23, 2025'!AH24</f>
        <v>927</v>
      </c>
      <c r="AI20" s="21">
        <f>'11-17-23, 2025'!AI24</f>
        <v>748</v>
      </c>
      <c r="AJ20" s="21">
        <f>'11-17-23, 2025'!AJ24</f>
        <v>0</v>
      </c>
      <c r="AK20" s="21">
        <f>'11-17-23, 2025'!AK24</f>
        <v>1912</v>
      </c>
      <c r="AL20" s="21">
        <f>'11-17-23, 2025'!AL24</f>
        <v>9139</v>
      </c>
      <c r="AM20" s="21">
        <f>'11-17-23, 2025'!AM24</f>
        <v>0</v>
      </c>
      <c r="AN20" s="21">
        <f>'11-17-23, 2025'!AN24</f>
        <v>5598</v>
      </c>
      <c r="AO20" s="21">
        <f>'11-17-23, 2025'!AO24</f>
        <v>2775</v>
      </c>
      <c r="AP20" s="21">
        <f>'11-17-23, 2025'!AP24</f>
        <v>0</v>
      </c>
      <c r="AQ20" s="21">
        <f>'11-17-23,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44408</v>
      </c>
      <c r="AC22" s="34">
        <f>AC20+AC21</f>
        <v>12200</v>
      </c>
      <c r="AD22" s="34">
        <f t="shared" ref="AD22" si="3">AD20+AD21</f>
        <v>16600</v>
      </c>
      <c r="AE22" s="34">
        <f>AE20+AE21</f>
        <v>2075</v>
      </c>
      <c r="AF22" s="34">
        <f t="shared" si="0"/>
        <v>8000</v>
      </c>
      <c r="AG22" s="34" t="e">
        <f t="shared" si="0"/>
        <v>#REF!</v>
      </c>
      <c r="AH22" s="34">
        <f t="shared" si="0"/>
        <v>927</v>
      </c>
      <c r="AI22" s="34">
        <f t="shared" si="0"/>
        <v>748</v>
      </c>
      <c r="AJ22" s="34">
        <f t="shared" si="0"/>
        <v>0</v>
      </c>
      <c r="AK22" s="34">
        <f t="shared" si="0"/>
        <v>1912</v>
      </c>
      <c r="AL22" s="34">
        <f t="shared" si="0"/>
        <v>9139</v>
      </c>
      <c r="AM22" s="34">
        <f t="shared" si="0"/>
        <v>0</v>
      </c>
      <c r="AN22" s="34">
        <f t="shared" si="0"/>
        <v>5598</v>
      </c>
      <c r="AO22" s="34">
        <f t="shared" si="0"/>
        <v>2775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2912</v>
      </c>
      <c r="AC23" s="22">
        <f>AB23/91*25</f>
        <v>800</v>
      </c>
      <c r="AD23" s="30">
        <v>0</v>
      </c>
      <c r="AE23" s="22">
        <f>AD23/200*25</f>
        <v>0</v>
      </c>
      <c r="AF23" s="30">
        <v>650</v>
      </c>
      <c r="AG23" s="30"/>
      <c r="AH23" s="36">
        <v>32</v>
      </c>
      <c r="AI23" s="22">
        <v>24</v>
      </c>
      <c r="AJ23" s="22"/>
      <c r="AK23" s="30">
        <v>0</v>
      </c>
      <c r="AL23" s="30">
        <v>256</v>
      </c>
      <c r="AM23" s="30"/>
      <c r="AN23" s="30">
        <v>550</v>
      </c>
      <c r="AO23" s="30">
        <v>225</v>
      </c>
      <c r="AP23" s="22"/>
      <c r="AQ23" s="38">
        <v>0</v>
      </c>
    </row>
    <row r="24" spans="2:54" s="3" customFormat="1" ht="100.5" customHeight="1" thickBot="1" x14ac:dyDescent="0.25">
      <c r="B24" s="39">
        <v>45991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41496</v>
      </c>
      <c r="AC24" s="40">
        <f>AC22-AC23</f>
        <v>11400</v>
      </c>
      <c r="AD24" s="40">
        <f>AD22-AD23</f>
        <v>16600</v>
      </c>
      <c r="AE24" s="40">
        <f>AE22-AE23</f>
        <v>2075</v>
      </c>
      <c r="AF24" s="41">
        <f>AF22-AF23</f>
        <v>7350</v>
      </c>
      <c r="AG24" s="41" t="e">
        <f t="shared" si="4"/>
        <v>#REF!</v>
      </c>
      <c r="AH24" s="93">
        <f>AH22-AH23</f>
        <v>895</v>
      </c>
      <c r="AI24" s="40">
        <f t="shared" si="4"/>
        <v>724</v>
      </c>
      <c r="AJ24" s="40">
        <f t="shared" si="4"/>
        <v>0</v>
      </c>
      <c r="AK24" s="41">
        <f t="shared" si="4"/>
        <v>1912</v>
      </c>
      <c r="AL24" s="41">
        <f t="shared" si="4"/>
        <v>8883</v>
      </c>
      <c r="AM24" s="41">
        <f t="shared" si="4"/>
        <v>0</v>
      </c>
      <c r="AN24" s="41">
        <f>AN22-AN23</f>
        <v>5048</v>
      </c>
      <c r="AO24" s="41">
        <f t="shared" si="4"/>
        <v>2550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0" zoomScale="70" zoomScaleNormal="70" workbookViewId="0">
      <selection activeCell="AF21" sqref="AF21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59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60"/>
      <c r="AL18" s="260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45992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'11-24-30, 2025'!S24</f>
        <v>0</v>
      </c>
      <c r="T20" s="21">
        <f>'11-24-30, 2025'!T24</f>
        <v>0</v>
      </c>
      <c r="U20" s="21">
        <f>'11-24-30, 2025'!U24</f>
        <v>0</v>
      </c>
      <c r="V20" s="21">
        <f>'11-24-30, 2025'!V24</f>
        <v>0</v>
      </c>
      <c r="W20" s="21">
        <f>'11-24-30, 2025'!W24</f>
        <v>0</v>
      </c>
      <c r="X20" s="21">
        <f>'11-24-30, 2025'!X24</f>
        <v>0</v>
      </c>
      <c r="Y20" s="21">
        <f>'11-24-30, 2025'!Y24</f>
        <v>0</v>
      </c>
      <c r="Z20" s="21">
        <f>'11-24-30, 2025'!Z24</f>
        <v>0</v>
      </c>
      <c r="AA20" s="21" t="e">
        <f>'11-24-30, 2025'!AA24</f>
        <v>#REF!</v>
      </c>
      <c r="AB20" s="21">
        <f>'11-24-30, 2025'!AB24</f>
        <v>41496</v>
      </c>
      <c r="AC20" s="21">
        <f>'11-24-30, 2025'!AC24</f>
        <v>11400</v>
      </c>
      <c r="AD20" s="21">
        <f>'11-24-30, 2025'!AD24</f>
        <v>16600</v>
      </c>
      <c r="AE20" s="21">
        <f>'11-24-30, 2025'!AE24</f>
        <v>2075</v>
      </c>
      <c r="AF20" s="21">
        <f>'11-24-30, 2025'!AF24</f>
        <v>7350</v>
      </c>
      <c r="AG20" s="21" t="e">
        <f>'11-24-30, 2025'!AG24</f>
        <v>#REF!</v>
      </c>
      <c r="AH20" s="21">
        <f>'11-24-30, 2025'!AH24</f>
        <v>895</v>
      </c>
      <c r="AI20" s="21">
        <f>'11-24-30, 2025'!AI24</f>
        <v>724</v>
      </c>
      <c r="AJ20" s="21">
        <f>'11-24-30, 2025'!AJ24</f>
        <v>0</v>
      </c>
      <c r="AK20" s="21">
        <f>'11-24-30, 2025'!AK24</f>
        <v>1912</v>
      </c>
      <c r="AL20" s="21">
        <f>'11-24-30, 2025'!AL24</f>
        <v>8883</v>
      </c>
      <c r="AM20" s="21">
        <f>'11-24-30, 2025'!AM24</f>
        <v>0</v>
      </c>
      <c r="AN20" s="21">
        <f>'11-24-30, 2025'!AN24</f>
        <v>5048</v>
      </c>
      <c r="AO20" s="21">
        <f>'11-24-30, 2025'!AO24</f>
        <v>2550</v>
      </c>
      <c r="AP20" s="21">
        <f>'11-24-30, 2025'!AP24</f>
        <v>0</v>
      </c>
      <c r="AQ20" s="21">
        <f>'11-24-30,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41496</v>
      </c>
      <c r="AC22" s="34">
        <f>AC20+AC21</f>
        <v>11400</v>
      </c>
      <c r="AD22" s="34">
        <f t="shared" ref="AD22" si="3">AD20+AD21</f>
        <v>16600</v>
      </c>
      <c r="AE22" s="34">
        <f>AE20+AE21</f>
        <v>2075</v>
      </c>
      <c r="AF22" s="34">
        <f t="shared" si="0"/>
        <v>7350</v>
      </c>
      <c r="AG22" s="34" t="e">
        <f t="shared" si="0"/>
        <v>#REF!</v>
      </c>
      <c r="AH22" s="34">
        <f t="shared" si="0"/>
        <v>895</v>
      </c>
      <c r="AI22" s="34">
        <f t="shared" si="0"/>
        <v>724</v>
      </c>
      <c r="AJ22" s="34">
        <f t="shared" si="0"/>
        <v>0</v>
      </c>
      <c r="AK22" s="34">
        <f t="shared" si="0"/>
        <v>1912</v>
      </c>
      <c r="AL22" s="34">
        <f t="shared" si="0"/>
        <v>8883</v>
      </c>
      <c r="AM22" s="34">
        <f t="shared" si="0"/>
        <v>0</v>
      </c>
      <c r="AN22" s="34">
        <f t="shared" si="0"/>
        <v>5048</v>
      </c>
      <c r="AO22" s="34">
        <f t="shared" si="0"/>
        <v>2550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3549</v>
      </c>
      <c r="AC23" s="22">
        <f>AB23/91*25</f>
        <v>975</v>
      </c>
      <c r="AD23" s="30">
        <v>800</v>
      </c>
      <c r="AE23" s="22">
        <f>AD23/200*25</f>
        <v>100</v>
      </c>
      <c r="AF23" s="30">
        <v>1025</v>
      </c>
      <c r="AG23" s="30"/>
      <c r="AH23" s="36">
        <v>80</v>
      </c>
      <c r="AI23" s="22">
        <v>40</v>
      </c>
      <c r="AJ23" s="22"/>
      <c r="AK23" s="30">
        <v>80</v>
      </c>
      <c r="AL23" s="30">
        <v>416</v>
      </c>
      <c r="AM23" s="30"/>
      <c r="AN23" s="30">
        <v>510</v>
      </c>
      <c r="AO23" s="30">
        <v>450</v>
      </c>
      <c r="AP23" s="22"/>
      <c r="AQ23" s="38">
        <v>0</v>
      </c>
    </row>
    <row r="24" spans="2:54" s="3" customFormat="1" ht="100.5" customHeight="1" thickBot="1" x14ac:dyDescent="0.25">
      <c r="B24" s="39">
        <v>45998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37947</v>
      </c>
      <c r="AC24" s="40">
        <f>AC22-AC23</f>
        <v>10425</v>
      </c>
      <c r="AD24" s="40">
        <f>AD22-AD23</f>
        <v>15800</v>
      </c>
      <c r="AE24" s="40">
        <f>AE22-AE23</f>
        <v>1975</v>
      </c>
      <c r="AF24" s="41">
        <f>AF22-AF23</f>
        <v>6325</v>
      </c>
      <c r="AG24" s="41" t="e">
        <f t="shared" si="4"/>
        <v>#REF!</v>
      </c>
      <c r="AH24" s="93">
        <f>AH22-AH23</f>
        <v>815</v>
      </c>
      <c r="AI24" s="40">
        <f t="shared" si="4"/>
        <v>684</v>
      </c>
      <c r="AJ24" s="40">
        <f t="shared" si="4"/>
        <v>0</v>
      </c>
      <c r="AK24" s="41">
        <f t="shared" si="4"/>
        <v>1832</v>
      </c>
      <c r="AL24" s="41">
        <f t="shared" si="4"/>
        <v>8467</v>
      </c>
      <c r="AM24" s="41">
        <f t="shared" si="4"/>
        <v>0</v>
      </c>
      <c r="AN24" s="41">
        <f>AN22-AN23</f>
        <v>4538</v>
      </c>
      <c r="AO24" s="41">
        <f t="shared" si="4"/>
        <v>2100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3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61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62"/>
      <c r="AL18" s="262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45999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'12-1-7, 2025'!S24</f>
        <v>0</v>
      </c>
      <c r="T20" s="21">
        <f>'12-1-7, 2025'!T24</f>
        <v>0</v>
      </c>
      <c r="U20" s="21">
        <f>'12-1-7, 2025'!U24</f>
        <v>0</v>
      </c>
      <c r="V20" s="21">
        <f>'12-1-7, 2025'!V24</f>
        <v>0</v>
      </c>
      <c r="W20" s="21">
        <f>'12-1-7, 2025'!W24</f>
        <v>0</v>
      </c>
      <c r="X20" s="21">
        <f>'12-1-7, 2025'!X24</f>
        <v>0</v>
      </c>
      <c r="Y20" s="21">
        <f>'12-1-7, 2025'!Y24</f>
        <v>0</v>
      </c>
      <c r="Z20" s="21">
        <f>'12-1-7, 2025'!Z24</f>
        <v>0</v>
      </c>
      <c r="AA20" s="21" t="e">
        <f>'12-1-7, 2025'!AA24</f>
        <v>#REF!</v>
      </c>
      <c r="AB20" s="21">
        <f>'12-1-7, 2025'!AB24</f>
        <v>37947</v>
      </c>
      <c r="AC20" s="21">
        <f>'12-1-7, 2025'!AC24</f>
        <v>10425</v>
      </c>
      <c r="AD20" s="21">
        <f>'12-1-7, 2025'!AD24</f>
        <v>15800</v>
      </c>
      <c r="AE20" s="21">
        <f>'12-1-7, 2025'!AE24</f>
        <v>1975</v>
      </c>
      <c r="AF20" s="21">
        <f>'12-1-7, 2025'!AF24</f>
        <v>6325</v>
      </c>
      <c r="AG20" s="21" t="e">
        <f>'12-1-7, 2025'!AG24</f>
        <v>#REF!</v>
      </c>
      <c r="AH20" s="21">
        <f>'12-1-7, 2025'!AH24</f>
        <v>815</v>
      </c>
      <c r="AI20" s="21">
        <f>'12-1-7, 2025'!AI24</f>
        <v>684</v>
      </c>
      <c r="AJ20" s="21">
        <f>'12-1-7, 2025'!AJ24</f>
        <v>0</v>
      </c>
      <c r="AK20" s="21">
        <f>'12-1-7, 2025'!AK24</f>
        <v>1832</v>
      </c>
      <c r="AL20" s="21">
        <f>'12-1-7, 2025'!AL24</f>
        <v>8467</v>
      </c>
      <c r="AM20" s="21">
        <f>'12-1-7, 2025'!AM24</f>
        <v>0</v>
      </c>
      <c r="AN20" s="21">
        <f>'12-1-7, 2025'!AN24</f>
        <v>4538</v>
      </c>
      <c r="AO20" s="21">
        <f>'12-1-7, 2025'!AO24</f>
        <v>2100</v>
      </c>
      <c r="AP20" s="21">
        <f>'12-1-7, 2025'!AP24</f>
        <v>0</v>
      </c>
      <c r="AQ20" s="21">
        <f>'12-1-7,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37947</v>
      </c>
      <c r="AC22" s="34">
        <f>AC20+AC21</f>
        <v>10425</v>
      </c>
      <c r="AD22" s="34">
        <f t="shared" ref="AD22" si="3">AD20+AD21</f>
        <v>15800</v>
      </c>
      <c r="AE22" s="34">
        <f>AE20+AE21</f>
        <v>1975</v>
      </c>
      <c r="AF22" s="34">
        <f t="shared" si="0"/>
        <v>6325</v>
      </c>
      <c r="AG22" s="34" t="e">
        <f t="shared" si="0"/>
        <v>#REF!</v>
      </c>
      <c r="AH22" s="34">
        <f t="shared" si="0"/>
        <v>815</v>
      </c>
      <c r="AI22" s="34">
        <f t="shared" si="0"/>
        <v>684</v>
      </c>
      <c r="AJ22" s="34">
        <f t="shared" si="0"/>
        <v>0</v>
      </c>
      <c r="AK22" s="34">
        <f t="shared" si="0"/>
        <v>1832</v>
      </c>
      <c r="AL22" s="34">
        <f t="shared" si="0"/>
        <v>8467</v>
      </c>
      <c r="AM22" s="34">
        <f t="shared" si="0"/>
        <v>0</v>
      </c>
      <c r="AN22" s="34">
        <f t="shared" si="0"/>
        <v>4538</v>
      </c>
      <c r="AO22" s="34">
        <f t="shared" si="0"/>
        <v>2100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1729</v>
      </c>
      <c r="AC23" s="22">
        <f>AB23/91*25</f>
        <v>475</v>
      </c>
      <c r="AD23" s="30">
        <v>0</v>
      </c>
      <c r="AE23" s="22">
        <f>AD23/200*25</f>
        <v>0</v>
      </c>
      <c r="AF23" s="30">
        <v>525</v>
      </c>
      <c r="AG23" s="30"/>
      <c r="AH23" s="36">
        <v>30</v>
      </c>
      <c r="AI23" s="22">
        <v>19</v>
      </c>
      <c r="AJ23" s="22"/>
      <c r="AK23" s="30">
        <v>0</v>
      </c>
      <c r="AL23" s="30">
        <v>192</v>
      </c>
      <c r="AM23" s="30"/>
      <c r="AN23" s="30">
        <v>215</v>
      </c>
      <c r="AO23" s="30">
        <v>225</v>
      </c>
      <c r="AP23" s="22"/>
      <c r="AQ23" s="38">
        <v>0</v>
      </c>
    </row>
    <row r="24" spans="2:54" s="3" customFormat="1" ht="100.5" customHeight="1" thickBot="1" x14ac:dyDescent="0.25">
      <c r="B24" s="39">
        <v>46005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36218</v>
      </c>
      <c r="AC24" s="40">
        <f>AC22-AC23</f>
        <v>9950</v>
      </c>
      <c r="AD24" s="40">
        <f>AD22-AD23</f>
        <v>15800</v>
      </c>
      <c r="AE24" s="40">
        <f>AE22-AE23</f>
        <v>1975</v>
      </c>
      <c r="AF24" s="41">
        <f>AF22-AF23</f>
        <v>5800</v>
      </c>
      <c r="AG24" s="41" t="e">
        <f t="shared" si="4"/>
        <v>#REF!</v>
      </c>
      <c r="AH24" s="93">
        <f>AH22-AH23</f>
        <v>785</v>
      </c>
      <c r="AI24" s="40">
        <f t="shared" si="4"/>
        <v>665</v>
      </c>
      <c r="AJ24" s="40">
        <f t="shared" si="4"/>
        <v>0</v>
      </c>
      <c r="AK24" s="41">
        <f t="shared" si="4"/>
        <v>1832</v>
      </c>
      <c r="AL24" s="41">
        <f t="shared" si="4"/>
        <v>8275</v>
      </c>
      <c r="AM24" s="41">
        <f t="shared" si="4"/>
        <v>0</v>
      </c>
      <c r="AN24" s="41">
        <f>AN22-AN23</f>
        <v>4323</v>
      </c>
      <c r="AO24" s="41">
        <f t="shared" si="4"/>
        <v>1875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0" zoomScale="70" zoomScaleNormal="70" workbookViewId="0">
      <selection activeCell="AD25" sqref="AD25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63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64"/>
      <c r="AL18" s="264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46006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'12-8-14, 2025'!S24</f>
        <v>0</v>
      </c>
      <c r="T20" s="21">
        <f>'12-8-14, 2025'!T24</f>
        <v>0</v>
      </c>
      <c r="U20" s="21">
        <f>'12-8-14, 2025'!U24</f>
        <v>0</v>
      </c>
      <c r="V20" s="21">
        <f>'12-8-14, 2025'!V24</f>
        <v>0</v>
      </c>
      <c r="W20" s="21">
        <f>'12-8-14, 2025'!W24</f>
        <v>0</v>
      </c>
      <c r="X20" s="21">
        <f>'12-8-14, 2025'!X24</f>
        <v>0</v>
      </c>
      <c r="Y20" s="21">
        <f>'12-8-14, 2025'!Y24</f>
        <v>0</v>
      </c>
      <c r="Z20" s="21">
        <f>'12-8-14, 2025'!Z24</f>
        <v>0</v>
      </c>
      <c r="AA20" s="21" t="e">
        <f>'12-8-14, 2025'!AA24</f>
        <v>#REF!</v>
      </c>
      <c r="AB20" s="21">
        <f>'12-8-14, 2025'!AB24</f>
        <v>36218</v>
      </c>
      <c r="AC20" s="21">
        <f>'12-8-14, 2025'!AC24</f>
        <v>9950</v>
      </c>
      <c r="AD20" s="21">
        <f>'12-8-14, 2025'!AD24</f>
        <v>15800</v>
      </c>
      <c r="AE20" s="21">
        <f>'12-8-14, 2025'!AE24</f>
        <v>1975</v>
      </c>
      <c r="AF20" s="21">
        <f>'12-8-14, 2025'!AF24</f>
        <v>5800</v>
      </c>
      <c r="AG20" s="21" t="e">
        <f>'12-8-14, 2025'!AG24</f>
        <v>#REF!</v>
      </c>
      <c r="AH20" s="21">
        <f>'12-8-14, 2025'!AH24</f>
        <v>785</v>
      </c>
      <c r="AI20" s="21">
        <f>'12-8-14, 2025'!AI24</f>
        <v>665</v>
      </c>
      <c r="AJ20" s="21">
        <f>'12-8-14, 2025'!AJ24</f>
        <v>0</v>
      </c>
      <c r="AK20" s="21">
        <f>'12-8-14, 2025'!AK24</f>
        <v>1832</v>
      </c>
      <c r="AL20" s="21">
        <f>'12-8-14, 2025'!AL24</f>
        <v>8275</v>
      </c>
      <c r="AM20" s="21">
        <f>'12-8-14, 2025'!AM24</f>
        <v>0</v>
      </c>
      <c r="AN20" s="21">
        <f>'12-8-14, 2025'!AN24</f>
        <v>4323</v>
      </c>
      <c r="AO20" s="21">
        <f>'12-8-14, 2025'!AO24</f>
        <v>1875</v>
      </c>
      <c r="AP20" s="21">
        <f>'12-8-14, 2025'!AP24</f>
        <v>0</v>
      </c>
      <c r="AQ20" s="21">
        <f>'12-8-14,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36218</v>
      </c>
      <c r="AC22" s="34">
        <f>AC20+AC21</f>
        <v>9950</v>
      </c>
      <c r="AD22" s="34">
        <f t="shared" ref="AD22" si="3">AD20+AD21</f>
        <v>15800</v>
      </c>
      <c r="AE22" s="34">
        <f>AE20+AE21</f>
        <v>1975</v>
      </c>
      <c r="AF22" s="34">
        <f t="shared" si="0"/>
        <v>5800</v>
      </c>
      <c r="AG22" s="34" t="e">
        <f t="shared" si="0"/>
        <v>#REF!</v>
      </c>
      <c r="AH22" s="34">
        <f t="shared" si="0"/>
        <v>785</v>
      </c>
      <c r="AI22" s="34">
        <f t="shared" si="0"/>
        <v>665</v>
      </c>
      <c r="AJ22" s="34">
        <f t="shared" si="0"/>
        <v>0</v>
      </c>
      <c r="AK22" s="34">
        <f t="shared" si="0"/>
        <v>1832</v>
      </c>
      <c r="AL22" s="34">
        <f t="shared" si="0"/>
        <v>8275</v>
      </c>
      <c r="AM22" s="34">
        <f t="shared" si="0"/>
        <v>0</v>
      </c>
      <c r="AN22" s="34">
        <f t="shared" si="0"/>
        <v>4323</v>
      </c>
      <c r="AO22" s="34">
        <f t="shared" si="0"/>
        <v>1875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1820</v>
      </c>
      <c r="AC23" s="22">
        <f>AB23/91*25</f>
        <v>500</v>
      </c>
      <c r="AD23" s="30">
        <v>0</v>
      </c>
      <c r="AE23" s="22">
        <f>AD23/200*25</f>
        <v>0</v>
      </c>
      <c r="AF23" s="30">
        <v>525</v>
      </c>
      <c r="AG23" s="30"/>
      <c r="AH23" s="36">
        <v>30</v>
      </c>
      <c r="AI23" s="22">
        <v>15</v>
      </c>
      <c r="AJ23" s="22"/>
      <c r="AK23" s="30">
        <v>0</v>
      </c>
      <c r="AL23" s="30">
        <v>207</v>
      </c>
      <c r="AM23" s="30"/>
      <c r="AN23" s="30">
        <v>195</v>
      </c>
      <c r="AO23" s="30">
        <v>225</v>
      </c>
      <c r="AP23" s="22"/>
      <c r="AQ23" s="38">
        <v>0</v>
      </c>
    </row>
    <row r="24" spans="2:54" s="3" customFormat="1" ht="100.5" customHeight="1" thickBot="1" x14ac:dyDescent="0.25">
      <c r="B24" s="39">
        <v>46012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34398</v>
      </c>
      <c r="AC24" s="40">
        <f>AC22-AC23</f>
        <v>9450</v>
      </c>
      <c r="AD24" s="40">
        <f>AD22-AD23</f>
        <v>15800</v>
      </c>
      <c r="AE24" s="40">
        <f>AE22-AE23</f>
        <v>1975</v>
      </c>
      <c r="AF24" s="41">
        <f>AF22-AF23</f>
        <v>5275</v>
      </c>
      <c r="AG24" s="41" t="e">
        <f t="shared" si="4"/>
        <v>#REF!</v>
      </c>
      <c r="AH24" s="93">
        <f>AH22-AH23</f>
        <v>755</v>
      </c>
      <c r="AI24" s="40">
        <f t="shared" si="4"/>
        <v>650</v>
      </c>
      <c r="AJ24" s="40">
        <f t="shared" si="4"/>
        <v>0</v>
      </c>
      <c r="AK24" s="41">
        <f t="shared" si="4"/>
        <v>1832</v>
      </c>
      <c r="AL24" s="41">
        <f t="shared" si="4"/>
        <v>8068</v>
      </c>
      <c r="AM24" s="41">
        <f t="shared" si="4"/>
        <v>0</v>
      </c>
      <c r="AN24" s="41">
        <f>AN22-AN23</f>
        <v>4128</v>
      </c>
      <c r="AO24" s="41">
        <f t="shared" si="4"/>
        <v>1650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W30" sqref="W30:AD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199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65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66"/>
      <c r="AL18" s="266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46013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'12-15-21, 2025'!S24</f>
        <v>0</v>
      </c>
      <c r="T20" s="21">
        <f>'12-15-21, 2025'!T24</f>
        <v>0</v>
      </c>
      <c r="U20" s="21">
        <f>'12-15-21, 2025'!U24</f>
        <v>0</v>
      </c>
      <c r="V20" s="21">
        <f>'12-15-21, 2025'!V24</f>
        <v>0</v>
      </c>
      <c r="W20" s="21">
        <f>'12-15-21, 2025'!W24</f>
        <v>0</v>
      </c>
      <c r="X20" s="21">
        <f>'12-15-21, 2025'!X24</f>
        <v>0</v>
      </c>
      <c r="Y20" s="21">
        <f>'12-15-21, 2025'!Y24</f>
        <v>0</v>
      </c>
      <c r="Z20" s="21">
        <f>'12-15-21, 2025'!Z24</f>
        <v>0</v>
      </c>
      <c r="AA20" s="21" t="e">
        <f>'12-15-21, 2025'!AA24</f>
        <v>#REF!</v>
      </c>
      <c r="AB20" s="21">
        <f>'12-15-21, 2025'!AB24</f>
        <v>34398</v>
      </c>
      <c r="AC20" s="21">
        <f>'12-15-21, 2025'!AC24</f>
        <v>9450</v>
      </c>
      <c r="AD20" s="21">
        <f>'12-15-21, 2025'!AD24</f>
        <v>15800</v>
      </c>
      <c r="AE20" s="21">
        <f>'12-15-21, 2025'!AE24</f>
        <v>1975</v>
      </c>
      <c r="AF20" s="21">
        <f>'12-15-21, 2025'!AF24</f>
        <v>5275</v>
      </c>
      <c r="AG20" s="21" t="e">
        <f>'12-15-21, 2025'!AG24</f>
        <v>#REF!</v>
      </c>
      <c r="AH20" s="21">
        <f>'12-15-21, 2025'!AH24</f>
        <v>755</v>
      </c>
      <c r="AI20" s="21">
        <f>'12-15-21, 2025'!AI24</f>
        <v>650</v>
      </c>
      <c r="AJ20" s="21">
        <f>'12-15-21, 2025'!AJ24</f>
        <v>0</v>
      </c>
      <c r="AK20" s="21">
        <f>'12-15-21, 2025'!AK24</f>
        <v>1832</v>
      </c>
      <c r="AL20" s="21">
        <f>'12-15-21, 2025'!AL24</f>
        <v>8068</v>
      </c>
      <c r="AM20" s="21">
        <f>'12-15-21, 2025'!AM24</f>
        <v>0</v>
      </c>
      <c r="AN20" s="21">
        <f>'12-15-21, 2025'!AN24</f>
        <v>4128</v>
      </c>
      <c r="AO20" s="21">
        <f>'12-15-21, 2025'!AO24</f>
        <v>1650</v>
      </c>
      <c r="AP20" s="21">
        <f>'12-15-21, 2025'!AP24</f>
        <v>0</v>
      </c>
      <c r="AQ20" s="21">
        <f>'12-15-21,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34398</v>
      </c>
      <c r="AC22" s="34">
        <f>AC20+AC21</f>
        <v>9450</v>
      </c>
      <c r="AD22" s="34">
        <f t="shared" ref="AD22" si="3">AD20+AD21</f>
        <v>15800</v>
      </c>
      <c r="AE22" s="34">
        <f>AE20+AE21</f>
        <v>1975</v>
      </c>
      <c r="AF22" s="34">
        <f t="shared" si="0"/>
        <v>5275</v>
      </c>
      <c r="AG22" s="34" t="e">
        <f t="shared" si="0"/>
        <v>#REF!</v>
      </c>
      <c r="AH22" s="34">
        <f t="shared" si="0"/>
        <v>755</v>
      </c>
      <c r="AI22" s="34">
        <f t="shared" si="0"/>
        <v>650</v>
      </c>
      <c r="AJ22" s="34">
        <f t="shared" si="0"/>
        <v>0</v>
      </c>
      <c r="AK22" s="34">
        <f t="shared" si="0"/>
        <v>1832</v>
      </c>
      <c r="AL22" s="34">
        <f t="shared" si="0"/>
        <v>8068</v>
      </c>
      <c r="AM22" s="34">
        <f t="shared" si="0"/>
        <v>0</v>
      </c>
      <c r="AN22" s="34">
        <f t="shared" si="0"/>
        <v>4128</v>
      </c>
      <c r="AO22" s="34">
        <f t="shared" si="0"/>
        <v>1650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1729</v>
      </c>
      <c r="AC23" s="22">
        <f>AB23/91*25</f>
        <v>475</v>
      </c>
      <c r="AD23" s="30">
        <v>0</v>
      </c>
      <c r="AE23" s="22">
        <f>AD23/200*25</f>
        <v>0</v>
      </c>
      <c r="AF23" s="30">
        <v>525</v>
      </c>
      <c r="AG23" s="30"/>
      <c r="AH23" s="36">
        <v>30</v>
      </c>
      <c r="AI23" s="22">
        <v>15</v>
      </c>
      <c r="AJ23" s="22"/>
      <c r="AK23" s="30">
        <v>0</v>
      </c>
      <c r="AL23" s="30">
        <v>203</v>
      </c>
      <c r="AM23" s="30"/>
      <c r="AN23" s="30">
        <v>370</v>
      </c>
      <c r="AO23" s="30">
        <v>225</v>
      </c>
      <c r="AP23" s="22"/>
      <c r="AQ23" s="38">
        <v>0</v>
      </c>
    </row>
    <row r="24" spans="2:54" s="3" customFormat="1" ht="100.5" customHeight="1" thickBot="1" x14ac:dyDescent="0.25">
      <c r="B24" s="39">
        <v>46019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32669</v>
      </c>
      <c r="AC24" s="40">
        <f>AC22-AC23</f>
        <v>8975</v>
      </c>
      <c r="AD24" s="40">
        <f>AD22-AD23</f>
        <v>15800</v>
      </c>
      <c r="AE24" s="40">
        <f>AE22-AE23</f>
        <v>1975</v>
      </c>
      <c r="AF24" s="41">
        <f>AF22-AF23</f>
        <v>4750</v>
      </c>
      <c r="AG24" s="41" t="e">
        <f t="shared" si="4"/>
        <v>#REF!</v>
      </c>
      <c r="AH24" s="93">
        <f>AH22-AH23</f>
        <v>725</v>
      </c>
      <c r="AI24" s="40">
        <f t="shared" si="4"/>
        <v>635</v>
      </c>
      <c r="AJ24" s="40">
        <f t="shared" si="4"/>
        <v>0</v>
      </c>
      <c r="AK24" s="41">
        <f t="shared" si="4"/>
        <v>1832</v>
      </c>
      <c r="AL24" s="41">
        <f t="shared" si="4"/>
        <v>7865</v>
      </c>
      <c r="AM24" s="41">
        <f t="shared" si="4"/>
        <v>0</v>
      </c>
      <c r="AN24" s="41">
        <f>AN22-AN23</f>
        <v>3758</v>
      </c>
      <c r="AO24" s="41">
        <f t="shared" si="4"/>
        <v>1425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0" zoomScale="70" zoomScaleNormal="70" workbookViewId="0">
      <selection activeCell="AD27" sqref="AD27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200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67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68"/>
      <c r="AL18" s="268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46020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'12-22-28, 2025'!S24</f>
        <v>0</v>
      </c>
      <c r="T20" s="21">
        <f>'12-22-28, 2025'!T24</f>
        <v>0</v>
      </c>
      <c r="U20" s="21">
        <f>'12-22-28, 2025'!U24</f>
        <v>0</v>
      </c>
      <c r="V20" s="21">
        <f>'12-22-28, 2025'!V24</f>
        <v>0</v>
      </c>
      <c r="W20" s="21">
        <f>'12-22-28, 2025'!W24</f>
        <v>0</v>
      </c>
      <c r="X20" s="21">
        <f>'12-22-28, 2025'!X24</f>
        <v>0</v>
      </c>
      <c r="Y20" s="21">
        <f>'12-22-28, 2025'!Y24</f>
        <v>0</v>
      </c>
      <c r="Z20" s="21">
        <f>'12-22-28, 2025'!Z24</f>
        <v>0</v>
      </c>
      <c r="AA20" s="21" t="e">
        <f>'12-22-28, 2025'!AA24</f>
        <v>#REF!</v>
      </c>
      <c r="AB20" s="21">
        <f>'12-22-28, 2025'!AB24</f>
        <v>32669</v>
      </c>
      <c r="AC20" s="21">
        <f>'12-22-28, 2025'!AC24</f>
        <v>8975</v>
      </c>
      <c r="AD20" s="21">
        <f>'12-22-28, 2025'!AD24</f>
        <v>15800</v>
      </c>
      <c r="AE20" s="21">
        <f>'12-22-28, 2025'!AE24</f>
        <v>1975</v>
      </c>
      <c r="AF20" s="21">
        <f>'12-22-28, 2025'!AF24</f>
        <v>4750</v>
      </c>
      <c r="AG20" s="21" t="e">
        <f>'12-22-28, 2025'!AG24</f>
        <v>#REF!</v>
      </c>
      <c r="AH20" s="21">
        <f>'12-22-28, 2025'!AH24</f>
        <v>725</v>
      </c>
      <c r="AI20" s="21">
        <f>'12-22-28, 2025'!AI24</f>
        <v>635</v>
      </c>
      <c r="AJ20" s="21">
        <f>'12-22-28, 2025'!AJ24</f>
        <v>0</v>
      </c>
      <c r="AK20" s="21">
        <f>'12-22-28, 2025'!AK24</f>
        <v>1832</v>
      </c>
      <c r="AL20" s="21">
        <f>'12-22-28, 2025'!AL24</f>
        <v>7865</v>
      </c>
      <c r="AM20" s="21">
        <f>'12-22-28, 2025'!AM24</f>
        <v>0</v>
      </c>
      <c r="AN20" s="21">
        <f>'12-22-28, 2025'!AN24</f>
        <v>3758</v>
      </c>
      <c r="AO20" s="21">
        <f>'12-22-28, 2025'!AO24</f>
        <v>1425</v>
      </c>
      <c r="AP20" s="21">
        <f>'12-22-28, 2025'!AP24</f>
        <v>0</v>
      </c>
      <c r="AQ20" s="21">
        <f>'12-22-28, 2025'!AQ24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32669</v>
      </c>
      <c r="AC22" s="34">
        <f>AC20+AC21</f>
        <v>8975</v>
      </c>
      <c r="AD22" s="34">
        <f t="shared" ref="AD22" si="3">AD20+AD21</f>
        <v>15800</v>
      </c>
      <c r="AE22" s="34">
        <f>AE20+AE21</f>
        <v>1975</v>
      </c>
      <c r="AF22" s="34">
        <f t="shared" si="0"/>
        <v>4750</v>
      </c>
      <c r="AG22" s="34" t="e">
        <f t="shared" si="0"/>
        <v>#REF!</v>
      </c>
      <c r="AH22" s="34">
        <f t="shared" si="0"/>
        <v>725</v>
      </c>
      <c r="AI22" s="34">
        <f t="shared" si="0"/>
        <v>635</v>
      </c>
      <c r="AJ22" s="34">
        <f t="shared" si="0"/>
        <v>0</v>
      </c>
      <c r="AK22" s="34">
        <f t="shared" si="0"/>
        <v>1832</v>
      </c>
      <c r="AL22" s="34">
        <f t="shared" si="0"/>
        <v>7865</v>
      </c>
      <c r="AM22" s="34">
        <f t="shared" si="0"/>
        <v>0</v>
      </c>
      <c r="AN22" s="34">
        <f t="shared" si="0"/>
        <v>3758</v>
      </c>
      <c r="AO22" s="34">
        <f t="shared" si="0"/>
        <v>1425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1638</v>
      </c>
      <c r="AC23" s="22">
        <f>AB23/91*25</f>
        <v>450</v>
      </c>
      <c r="AD23" s="30">
        <v>0</v>
      </c>
      <c r="AE23" s="22">
        <f>AD23/200*25</f>
        <v>0</v>
      </c>
      <c r="AF23" s="30">
        <v>550</v>
      </c>
      <c r="AG23" s="30"/>
      <c r="AH23" s="36">
        <v>24</v>
      </c>
      <c r="AI23" s="22">
        <v>15</v>
      </c>
      <c r="AJ23" s="22"/>
      <c r="AK23" s="30">
        <v>0</v>
      </c>
      <c r="AL23" s="30">
        <v>204</v>
      </c>
      <c r="AM23" s="30"/>
      <c r="AN23" s="30">
        <v>110</v>
      </c>
      <c r="AO23" s="30">
        <v>225</v>
      </c>
      <c r="AP23" s="22"/>
      <c r="AQ23" s="38">
        <v>0</v>
      </c>
    </row>
    <row r="24" spans="2:54" s="3" customFormat="1" ht="100.5" customHeight="1" thickBot="1" x14ac:dyDescent="0.25">
      <c r="B24" s="39">
        <v>46026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31031</v>
      </c>
      <c r="AC24" s="40">
        <f>AC22-AC23</f>
        <v>8525</v>
      </c>
      <c r="AD24" s="40">
        <f>AD22-AD23</f>
        <v>15800</v>
      </c>
      <c r="AE24" s="40">
        <f>AE22-AE23</f>
        <v>1975</v>
      </c>
      <c r="AF24" s="41">
        <f>AF22-AF23</f>
        <v>4200</v>
      </c>
      <c r="AG24" s="41" t="e">
        <f t="shared" si="4"/>
        <v>#REF!</v>
      </c>
      <c r="AH24" s="93">
        <f>AH22-AH23</f>
        <v>701</v>
      </c>
      <c r="AI24" s="40">
        <f t="shared" si="4"/>
        <v>620</v>
      </c>
      <c r="AJ24" s="40">
        <f t="shared" si="4"/>
        <v>0</v>
      </c>
      <c r="AK24" s="41">
        <f t="shared" si="4"/>
        <v>1832</v>
      </c>
      <c r="AL24" s="41">
        <f t="shared" si="4"/>
        <v>7661</v>
      </c>
      <c r="AM24" s="41">
        <f t="shared" si="4"/>
        <v>0</v>
      </c>
      <c r="AN24" s="41">
        <f>AN22-AN23</f>
        <v>3648</v>
      </c>
      <c r="AO24" s="41">
        <f t="shared" si="4"/>
        <v>1200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W33" sqref="W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201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69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70"/>
      <c r="AL18" s="270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46027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'12-29-1-4, 2026'!S24</f>
        <v>0</v>
      </c>
      <c r="T20" s="21">
        <f>'12-29-1-4, 2026'!T24</f>
        <v>0</v>
      </c>
      <c r="U20" s="21">
        <f>'12-29-1-4, 2026'!U24</f>
        <v>0</v>
      </c>
      <c r="V20" s="21">
        <f>'12-29-1-4, 2026'!V24</f>
        <v>0</v>
      </c>
      <c r="W20" s="21">
        <f>'12-29-1-4, 2026'!W24</f>
        <v>0</v>
      </c>
      <c r="X20" s="21">
        <f>'12-29-1-4, 2026'!X24</f>
        <v>0</v>
      </c>
      <c r="Y20" s="21">
        <f>'12-29-1-4, 2026'!Y24</f>
        <v>0</v>
      </c>
      <c r="Z20" s="21">
        <f>'12-29-1-4, 2026'!Z24</f>
        <v>0</v>
      </c>
      <c r="AA20" s="21" t="e">
        <f>'12-29-1-4, 2026'!AA24</f>
        <v>#REF!</v>
      </c>
      <c r="AB20" s="21">
        <f>'12-29-1-4, 2026'!AB24</f>
        <v>31031</v>
      </c>
      <c r="AC20" s="21">
        <f>'12-29-1-4, 2026'!AC24</f>
        <v>8525</v>
      </c>
      <c r="AD20" s="21">
        <f>'12-29-1-4, 2026'!AD24</f>
        <v>15800</v>
      </c>
      <c r="AE20" s="21">
        <f>'12-29-1-4, 2026'!AE24</f>
        <v>1975</v>
      </c>
      <c r="AF20" s="21">
        <f>'12-29-1-4, 2026'!AF24</f>
        <v>4200</v>
      </c>
      <c r="AG20" s="21" t="e">
        <f>'12-29-1-4, 2026'!AG24</f>
        <v>#REF!</v>
      </c>
      <c r="AH20" s="21">
        <f>'12-29-1-4, 2026'!AH24</f>
        <v>701</v>
      </c>
      <c r="AI20" s="21">
        <f>'12-29-1-4, 2026'!AI24</f>
        <v>620</v>
      </c>
      <c r="AJ20" s="21">
        <f>'12-29-1-4, 2026'!AJ24</f>
        <v>0</v>
      </c>
      <c r="AK20" s="21">
        <f>'12-29-1-4, 2026'!AK24</f>
        <v>1832</v>
      </c>
      <c r="AL20" s="21">
        <f>'12-29-1-4, 2026'!AL24</f>
        <v>7661</v>
      </c>
      <c r="AM20" s="21">
        <f>'12-29-1-4, 2026'!AM24</f>
        <v>0</v>
      </c>
      <c r="AN20" s="21">
        <f>'12-29-1-4, 2026'!AN24</f>
        <v>3648</v>
      </c>
      <c r="AO20" s="21">
        <f>'12-29-1-4, 2026'!AO24</f>
        <v>1200</v>
      </c>
      <c r="AP20" s="21">
        <f>'12-29-1-4, 2026'!AP24</f>
        <v>0</v>
      </c>
      <c r="AQ20" s="21">
        <f>'12-29-1-4, 2026'!AQ24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31031</v>
      </c>
      <c r="AC22" s="34">
        <f>AC20+AC21</f>
        <v>8525</v>
      </c>
      <c r="AD22" s="34">
        <f t="shared" ref="AD22" si="3">AD20+AD21</f>
        <v>15800</v>
      </c>
      <c r="AE22" s="34">
        <f>AE20+AE21</f>
        <v>1975</v>
      </c>
      <c r="AF22" s="34">
        <f t="shared" si="0"/>
        <v>4200</v>
      </c>
      <c r="AG22" s="34" t="e">
        <f t="shared" si="0"/>
        <v>#REF!</v>
      </c>
      <c r="AH22" s="34">
        <f t="shared" si="0"/>
        <v>701</v>
      </c>
      <c r="AI22" s="34">
        <f t="shared" si="0"/>
        <v>620</v>
      </c>
      <c r="AJ22" s="34">
        <f t="shared" si="0"/>
        <v>0</v>
      </c>
      <c r="AK22" s="34">
        <f t="shared" si="0"/>
        <v>1832</v>
      </c>
      <c r="AL22" s="34">
        <f t="shared" si="0"/>
        <v>7661</v>
      </c>
      <c r="AM22" s="34">
        <f t="shared" si="0"/>
        <v>0</v>
      </c>
      <c r="AN22" s="34">
        <f t="shared" si="0"/>
        <v>3648</v>
      </c>
      <c r="AO22" s="34">
        <f t="shared" si="0"/>
        <v>1200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3640</v>
      </c>
      <c r="AC23" s="22">
        <f>AB23/91*25</f>
        <v>1000</v>
      </c>
      <c r="AD23" s="30">
        <v>0</v>
      </c>
      <c r="AE23" s="22">
        <f>AD23/200*25</f>
        <v>0</v>
      </c>
      <c r="AF23" s="30">
        <v>525</v>
      </c>
      <c r="AG23" s="30"/>
      <c r="AH23" s="36">
        <v>60</v>
      </c>
      <c r="AI23" s="22">
        <v>35</v>
      </c>
      <c r="AJ23" s="22"/>
      <c r="AK23" s="30">
        <v>0</v>
      </c>
      <c r="AL23" s="30">
        <v>349</v>
      </c>
      <c r="AM23" s="30"/>
      <c r="AN23" s="30">
        <v>275</v>
      </c>
      <c r="AO23" s="30">
        <v>225</v>
      </c>
      <c r="AP23" s="22"/>
      <c r="AQ23" s="38">
        <v>0</v>
      </c>
    </row>
    <row r="24" spans="2:54" s="3" customFormat="1" ht="100.5" customHeight="1" thickBot="1" x14ac:dyDescent="0.25">
      <c r="B24" s="39">
        <v>46033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27391</v>
      </c>
      <c r="AC24" s="40">
        <f>AC22-AC23</f>
        <v>7525</v>
      </c>
      <c r="AD24" s="40">
        <f>AD22-AD23</f>
        <v>15800</v>
      </c>
      <c r="AE24" s="40">
        <f>AE22-AE23</f>
        <v>1975</v>
      </c>
      <c r="AF24" s="41">
        <f>AF22-AF23</f>
        <v>3675</v>
      </c>
      <c r="AG24" s="41" t="e">
        <f t="shared" si="4"/>
        <v>#REF!</v>
      </c>
      <c r="AH24" s="93">
        <f>AH22-AH23</f>
        <v>641</v>
      </c>
      <c r="AI24" s="40">
        <f t="shared" si="4"/>
        <v>585</v>
      </c>
      <c r="AJ24" s="40">
        <f t="shared" si="4"/>
        <v>0</v>
      </c>
      <c r="AK24" s="41">
        <f t="shared" si="4"/>
        <v>1832</v>
      </c>
      <c r="AL24" s="41">
        <f t="shared" si="4"/>
        <v>7312</v>
      </c>
      <c r="AM24" s="41">
        <f t="shared" si="4"/>
        <v>0</v>
      </c>
      <c r="AN24" s="41">
        <f>AN22-AN23</f>
        <v>3373</v>
      </c>
      <c r="AO24" s="41">
        <f t="shared" si="4"/>
        <v>975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22" zoomScale="70" zoomScaleNormal="70" workbookViewId="0">
      <selection activeCell="AD32" sqref="AD32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202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71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72"/>
      <c r="AL18" s="272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46034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'1-5-11, 2026'!S24</f>
        <v>0</v>
      </c>
      <c r="T20" s="21">
        <f>'1-5-11, 2026'!T24</f>
        <v>0</v>
      </c>
      <c r="U20" s="21">
        <f>'1-5-11, 2026'!U24</f>
        <v>0</v>
      </c>
      <c r="V20" s="21">
        <f>'1-5-11, 2026'!V24</f>
        <v>0</v>
      </c>
      <c r="W20" s="21">
        <f>'1-5-11, 2026'!W24</f>
        <v>0</v>
      </c>
      <c r="X20" s="21">
        <f>'1-5-11, 2026'!X24</f>
        <v>0</v>
      </c>
      <c r="Y20" s="21">
        <f>'1-5-11, 2026'!Y24</f>
        <v>0</v>
      </c>
      <c r="Z20" s="21">
        <f>'1-5-11, 2026'!Z24</f>
        <v>0</v>
      </c>
      <c r="AA20" s="21" t="e">
        <f>'1-5-11, 2026'!AA24</f>
        <v>#REF!</v>
      </c>
      <c r="AB20" s="21">
        <f>'1-5-11, 2026'!AB24</f>
        <v>27391</v>
      </c>
      <c r="AC20" s="21">
        <f>'1-5-11, 2026'!AC24</f>
        <v>7525</v>
      </c>
      <c r="AD20" s="21">
        <f>'1-5-11, 2026'!AD24</f>
        <v>15800</v>
      </c>
      <c r="AE20" s="21">
        <f>'1-5-11, 2026'!AE24</f>
        <v>1975</v>
      </c>
      <c r="AF20" s="21">
        <f>'1-5-11, 2026'!AF24</f>
        <v>3675</v>
      </c>
      <c r="AG20" s="21" t="e">
        <f>'1-5-11, 2026'!AG24</f>
        <v>#REF!</v>
      </c>
      <c r="AH20" s="21">
        <f>'1-5-11, 2026'!AH24</f>
        <v>641</v>
      </c>
      <c r="AI20" s="21">
        <f>'1-5-11, 2026'!AI24</f>
        <v>585</v>
      </c>
      <c r="AJ20" s="21">
        <f>'1-5-11, 2026'!AJ24</f>
        <v>0</v>
      </c>
      <c r="AK20" s="21">
        <f>'1-5-11, 2026'!AK24</f>
        <v>1832</v>
      </c>
      <c r="AL20" s="21">
        <f>'1-5-11, 2026'!AL24</f>
        <v>7312</v>
      </c>
      <c r="AM20" s="21">
        <f>'1-5-11, 2026'!AM24</f>
        <v>0</v>
      </c>
      <c r="AN20" s="21">
        <f>'1-5-11, 2026'!AN24</f>
        <v>3373</v>
      </c>
      <c r="AO20" s="21">
        <f>'1-5-11, 2026'!AO24</f>
        <v>975</v>
      </c>
      <c r="AP20" s="21">
        <f>'1-5-11, 2026'!AP24</f>
        <v>0</v>
      </c>
      <c r="AQ20" s="21">
        <f>'1-5-11, 2026'!AQ24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27391</v>
      </c>
      <c r="AC22" s="34">
        <f>AC20+AC21</f>
        <v>7525</v>
      </c>
      <c r="AD22" s="34">
        <f t="shared" ref="AD22" si="3">AD20+AD21</f>
        <v>15800</v>
      </c>
      <c r="AE22" s="34">
        <f>AE20+AE21</f>
        <v>1975</v>
      </c>
      <c r="AF22" s="34">
        <f t="shared" si="0"/>
        <v>3675</v>
      </c>
      <c r="AG22" s="34" t="e">
        <f t="shared" si="0"/>
        <v>#REF!</v>
      </c>
      <c r="AH22" s="34">
        <f t="shared" si="0"/>
        <v>641</v>
      </c>
      <c r="AI22" s="34">
        <f t="shared" si="0"/>
        <v>585</v>
      </c>
      <c r="AJ22" s="34">
        <f t="shared" si="0"/>
        <v>0</v>
      </c>
      <c r="AK22" s="34">
        <f t="shared" si="0"/>
        <v>1832</v>
      </c>
      <c r="AL22" s="34">
        <f t="shared" si="0"/>
        <v>7312</v>
      </c>
      <c r="AM22" s="34">
        <f t="shared" si="0"/>
        <v>0</v>
      </c>
      <c r="AN22" s="34">
        <f t="shared" si="0"/>
        <v>3373</v>
      </c>
      <c r="AO22" s="34">
        <f t="shared" si="0"/>
        <v>975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4368</v>
      </c>
      <c r="AC23" s="22">
        <f>AB23/91*25</f>
        <v>1200</v>
      </c>
      <c r="AD23" s="30">
        <v>0</v>
      </c>
      <c r="AE23" s="22">
        <f>AD23/200*25</f>
        <v>0</v>
      </c>
      <c r="AF23" s="30">
        <v>325</v>
      </c>
      <c r="AG23" s="30"/>
      <c r="AH23" s="36">
        <v>68</v>
      </c>
      <c r="AI23" s="22">
        <v>44</v>
      </c>
      <c r="AJ23" s="22"/>
      <c r="AK23" s="30">
        <v>0</v>
      </c>
      <c r="AL23" s="30">
        <v>472</v>
      </c>
      <c r="AM23" s="30"/>
      <c r="AN23" s="30">
        <v>340</v>
      </c>
      <c r="AO23" s="30">
        <v>150</v>
      </c>
      <c r="AP23" s="22"/>
      <c r="AQ23" s="38">
        <v>0</v>
      </c>
    </row>
    <row r="24" spans="2:54" s="3" customFormat="1" ht="100.5" customHeight="1" thickBot="1" x14ac:dyDescent="0.25">
      <c r="B24" s="39">
        <v>46040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23023</v>
      </c>
      <c r="AC24" s="40">
        <f>AC22-AC23</f>
        <v>6325</v>
      </c>
      <c r="AD24" s="40">
        <f>AD22-AD23</f>
        <v>15800</v>
      </c>
      <c r="AE24" s="40">
        <f>AE22-AE23</f>
        <v>1975</v>
      </c>
      <c r="AF24" s="41">
        <f>AF22-AF23</f>
        <v>3350</v>
      </c>
      <c r="AG24" s="41" t="e">
        <f t="shared" si="4"/>
        <v>#REF!</v>
      </c>
      <c r="AH24" s="93">
        <f>AH22-AH23</f>
        <v>573</v>
      </c>
      <c r="AI24" s="40">
        <f t="shared" si="4"/>
        <v>541</v>
      </c>
      <c r="AJ24" s="40">
        <f t="shared" si="4"/>
        <v>0</v>
      </c>
      <c r="AK24" s="41">
        <f t="shared" si="4"/>
        <v>1832</v>
      </c>
      <c r="AL24" s="41">
        <f t="shared" si="4"/>
        <v>6840</v>
      </c>
      <c r="AM24" s="41">
        <f t="shared" si="4"/>
        <v>0</v>
      </c>
      <c r="AN24" s="41">
        <f>AN22-AN23</f>
        <v>3033</v>
      </c>
      <c r="AO24" s="41">
        <f t="shared" si="4"/>
        <v>825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AB23" sqref="AB2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203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73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74"/>
      <c r="AL18" s="274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46041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'1-12-18, 2026'!S24</f>
        <v>0</v>
      </c>
      <c r="T20" s="21">
        <f>'1-12-18, 2026'!T24</f>
        <v>0</v>
      </c>
      <c r="U20" s="21">
        <f>'1-12-18, 2026'!U24</f>
        <v>0</v>
      </c>
      <c r="V20" s="21">
        <f>'1-12-18, 2026'!V24</f>
        <v>0</v>
      </c>
      <c r="W20" s="21">
        <f>'1-12-18, 2026'!W24</f>
        <v>0</v>
      </c>
      <c r="X20" s="21">
        <f>'1-12-18, 2026'!X24</f>
        <v>0</v>
      </c>
      <c r="Y20" s="21">
        <f>'1-12-18, 2026'!Y24</f>
        <v>0</v>
      </c>
      <c r="Z20" s="21">
        <f>'1-12-18, 2026'!Z24</f>
        <v>0</v>
      </c>
      <c r="AA20" s="21" t="e">
        <f>'1-12-18, 2026'!AA24</f>
        <v>#REF!</v>
      </c>
      <c r="AB20" s="21">
        <f>'1-12-18, 2026'!AB24</f>
        <v>23023</v>
      </c>
      <c r="AC20" s="21">
        <f>'1-12-18, 2026'!AC24</f>
        <v>6325</v>
      </c>
      <c r="AD20" s="21">
        <f>'1-12-18, 2026'!AD24</f>
        <v>15800</v>
      </c>
      <c r="AE20" s="21">
        <f>'1-12-18, 2026'!AE24</f>
        <v>1975</v>
      </c>
      <c r="AF20" s="21">
        <f>'1-12-18, 2026'!AF24</f>
        <v>3350</v>
      </c>
      <c r="AG20" s="21" t="e">
        <f>'1-12-18, 2026'!AG24</f>
        <v>#REF!</v>
      </c>
      <c r="AH20" s="21">
        <f>'1-12-18, 2026'!AH24</f>
        <v>573</v>
      </c>
      <c r="AI20" s="21">
        <f>'1-12-18, 2026'!AI24</f>
        <v>541</v>
      </c>
      <c r="AJ20" s="21">
        <f>'1-12-18, 2026'!AJ24</f>
        <v>0</v>
      </c>
      <c r="AK20" s="21">
        <f>'1-12-18, 2026'!AK24</f>
        <v>1832</v>
      </c>
      <c r="AL20" s="21">
        <f>'1-12-18, 2026'!AL24</f>
        <v>6840</v>
      </c>
      <c r="AM20" s="21">
        <f>'1-12-18, 2026'!AM24</f>
        <v>0</v>
      </c>
      <c r="AN20" s="21">
        <f>'1-12-18, 2026'!AN24</f>
        <v>3033</v>
      </c>
      <c r="AO20" s="21">
        <f>'1-12-18, 2026'!AO24</f>
        <v>825</v>
      </c>
      <c r="AP20" s="21">
        <f>'1-12-18, 2026'!AP24</f>
        <v>0</v>
      </c>
      <c r="AQ20" s="21">
        <f>'1-12-18, 2026'!AQ24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23023</v>
      </c>
      <c r="AC22" s="34">
        <f>AC20+AC21</f>
        <v>6325</v>
      </c>
      <c r="AD22" s="34">
        <f t="shared" ref="AD22" si="3">AD20+AD21</f>
        <v>15800</v>
      </c>
      <c r="AE22" s="34">
        <f>AE20+AE21</f>
        <v>1975</v>
      </c>
      <c r="AF22" s="34">
        <f t="shared" si="0"/>
        <v>3350</v>
      </c>
      <c r="AG22" s="34" t="e">
        <f t="shared" si="0"/>
        <v>#REF!</v>
      </c>
      <c r="AH22" s="34">
        <f t="shared" si="0"/>
        <v>573</v>
      </c>
      <c r="AI22" s="34">
        <f t="shared" si="0"/>
        <v>541</v>
      </c>
      <c r="AJ22" s="34">
        <f t="shared" si="0"/>
        <v>0</v>
      </c>
      <c r="AK22" s="34">
        <f t="shared" si="0"/>
        <v>1832</v>
      </c>
      <c r="AL22" s="34">
        <f t="shared" si="0"/>
        <v>6840</v>
      </c>
      <c r="AM22" s="34">
        <f t="shared" si="0"/>
        <v>0</v>
      </c>
      <c r="AN22" s="34">
        <f t="shared" si="0"/>
        <v>3033</v>
      </c>
      <c r="AO22" s="34">
        <f t="shared" si="0"/>
        <v>825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4823</v>
      </c>
      <c r="AC23" s="22">
        <f>AB23/91*25</f>
        <v>1325</v>
      </c>
      <c r="AD23" s="30">
        <v>0</v>
      </c>
      <c r="AE23" s="22">
        <f>AD23/200*25</f>
        <v>0</v>
      </c>
      <c r="AF23" s="30">
        <v>625</v>
      </c>
      <c r="AG23" s="30"/>
      <c r="AH23" s="36">
        <v>67</v>
      </c>
      <c r="AI23" s="22">
        <v>50</v>
      </c>
      <c r="AJ23" s="22"/>
      <c r="AK23" s="30">
        <v>0</v>
      </c>
      <c r="AL23" s="30">
        <v>501</v>
      </c>
      <c r="AM23" s="30"/>
      <c r="AN23" s="30">
        <v>433</v>
      </c>
      <c r="AO23" s="30">
        <v>300</v>
      </c>
      <c r="AP23" s="22"/>
      <c r="AQ23" s="38">
        <v>0</v>
      </c>
    </row>
    <row r="24" spans="2:54" s="3" customFormat="1" ht="100.5" customHeight="1" thickBot="1" x14ac:dyDescent="0.25">
      <c r="B24" s="39">
        <v>46047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18200</v>
      </c>
      <c r="AC24" s="40">
        <f>AC22-AC23</f>
        <v>5000</v>
      </c>
      <c r="AD24" s="40">
        <f>AD22-AD23</f>
        <v>15800</v>
      </c>
      <c r="AE24" s="40">
        <f>AE22-AE23</f>
        <v>1975</v>
      </c>
      <c r="AF24" s="41">
        <f>AF22-AF23</f>
        <v>2725</v>
      </c>
      <c r="AG24" s="41" t="e">
        <f t="shared" si="4"/>
        <v>#REF!</v>
      </c>
      <c r="AH24" s="93">
        <f>AH22-AH23</f>
        <v>506</v>
      </c>
      <c r="AI24" s="40">
        <f t="shared" si="4"/>
        <v>491</v>
      </c>
      <c r="AJ24" s="40">
        <f t="shared" si="4"/>
        <v>0</v>
      </c>
      <c r="AK24" s="41">
        <f t="shared" si="4"/>
        <v>1832</v>
      </c>
      <c r="AL24" s="41">
        <f t="shared" si="4"/>
        <v>6339</v>
      </c>
      <c r="AM24" s="41">
        <f t="shared" si="4"/>
        <v>0</v>
      </c>
      <c r="AN24" s="41">
        <f>AN22-AN23</f>
        <v>2600</v>
      </c>
      <c r="AO24" s="41">
        <f t="shared" si="4"/>
        <v>525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0" zoomScale="70" zoomScaleNormal="70" workbookViewId="0">
      <selection activeCell="AC24" sqref="AC24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204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4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75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>
        <v>208</v>
      </c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 t="s">
        <v>97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76"/>
      <c r="AL18" s="276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46048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'1-19-25, 2026'!S24</f>
        <v>0</v>
      </c>
      <c r="T20" s="21">
        <f>'1-19-25, 2026'!T24</f>
        <v>0</v>
      </c>
      <c r="U20" s="21">
        <f>'1-19-25, 2026'!U24</f>
        <v>0</v>
      </c>
      <c r="V20" s="21">
        <f>'1-19-25, 2026'!V24</f>
        <v>0</v>
      </c>
      <c r="W20" s="21">
        <f>'1-19-25, 2026'!W24</f>
        <v>0</v>
      </c>
      <c r="X20" s="21">
        <f>'1-19-25, 2026'!X24</f>
        <v>0</v>
      </c>
      <c r="Y20" s="21">
        <f>'1-19-25, 2026'!Y24</f>
        <v>0</v>
      </c>
      <c r="Z20" s="21">
        <f>'1-19-25, 2026'!Z24</f>
        <v>0</v>
      </c>
      <c r="AA20" s="21" t="e">
        <f>'1-19-25, 2026'!AA24</f>
        <v>#REF!</v>
      </c>
      <c r="AB20" s="21">
        <f>'1-19-25, 2026'!AB24</f>
        <v>18200</v>
      </c>
      <c r="AC20" s="21">
        <f>'1-19-25, 2026'!AC24</f>
        <v>5000</v>
      </c>
      <c r="AD20" s="21">
        <f>'1-19-25, 2026'!AD24</f>
        <v>15800</v>
      </c>
      <c r="AE20" s="21">
        <f>'1-19-25, 2026'!AE24</f>
        <v>1975</v>
      </c>
      <c r="AF20" s="21">
        <f>'1-19-25, 2026'!AF24</f>
        <v>2725</v>
      </c>
      <c r="AG20" s="21" t="e">
        <f>'1-19-25, 2026'!AG24</f>
        <v>#REF!</v>
      </c>
      <c r="AH20" s="21">
        <f>'1-19-25, 2026'!AH24</f>
        <v>506</v>
      </c>
      <c r="AI20" s="21">
        <f>'1-19-25, 2026'!AI24</f>
        <v>491</v>
      </c>
      <c r="AJ20" s="21">
        <f>'1-19-25, 2026'!AJ24</f>
        <v>0</v>
      </c>
      <c r="AK20" s="21">
        <f>'1-19-25, 2026'!AK24</f>
        <v>1832</v>
      </c>
      <c r="AL20" s="21">
        <f>'1-19-25, 2026'!AL24</f>
        <v>6339</v>
      </c>
      <c r="AM20" s="21">
        <f>'1-19-25, 2026'!AM24</f>
        <v>0</v>
      </c>
      <c r="AN20" s="21">
        <f>'1-19-25, 2026'!AN24</f>
        <v>2600</v>
      </c>
      <c r="AO20" s="21">
        <f>'1-19-25, 2026'!AO24</f>
        <v>525</v>
      </c>
      <c r="AP20" s="21">
        <f>'1-19-25, 2026'!AP24</f>
        <v>0</v>
      </c>
      <c r="AQ20" s="21">
        <f>'1-19-25, 2026'!AQ24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6"/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0</v>
      </c>
      <c r="X22" s="34">
        <f>X20+X21</f>
        <v>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18200</v>
      </c>
      <c r="AC22" s="34">
        <f>AC20+AC21</f>
        <v>5000</v>
      </c>
      <c r="AD22" s="34">
        <f t="shared" ref="AD22" si="3">AD20+AD21</f>
        <v>15800</v>
      </c>
      <c r="AE22" s="34">
        <f>AE20+AE21</f>
        <v>1975</v>
      </c>
      <c r="AF22" s="34">
        <f t="shared" si="0"/>
        <v>2725</v>
      </c>
      <c r="AG22" s="34" t="e">
        <f t="shared" si="0"/>
        <v>#REF!</v>
      </c>
      <c r="AH22" s="34">
        <f t="shared" si="0"/>
        <v>506</v>
      </c>
      <c r="AI22" s="34">
        <f t="shared" si="0"/>
        <v>491</v>
      </c>
      <c r="AJ22" s="34">
        <f t="shared" si="0"/>
        <v>0</v>
      </c>
      <c r="AK22" s="34">
        <f t="shared" si="0"/>
        <v>1832</v>
      </c>
      <c r="AL22" s="34">
        <f t="shared" si="0"/>
        <v>6339</v>
      </c>
      <c r="AM22" s="34">
        <f t="shared" si="0"/>
        <v>0</v>
      </c>
      <c r="AN22" s="34">
        <f t="shared" si="0"/>
        <v>2600</v>
      </c>
      <c r="AO22" s="34">
        <f t="shared" si="0"/>
        <v>525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/>
      <c r="X23" s="22">
        <f>W23/208*25</f>
        <v>0</v>
      </c>
      <c r="Y23" s="22"/>
      <c r="Z23" s="24"/>
      <c r="AA23" s="30"/>
      <c r="AB23" s="30">
        <v>2457</v>
      </c>
      <c r="AC23" s="22">
        <f>AB23/91*25</f>
        <v>675</v>
      </c>
      <c r="AD23" s="30">
        <v>0</v>
      </c>
      <c r="AE23" s="22">
        <f>AD23/200*25</f>
        <v>0</v>
      </c>
      <c r="AF23" s="30">
        <v>1100</v>
      </c>
      <c r="AG23" s="30"/>
      <c r="AH23" s="36">
        <v>50</v>
      </c>
      <c r="AI23" s="22">
        <v>49</v>
      </c>
      <c r="AJ23" s="22"/>
      <c r="AK23" s="30">
        <v>6</v>
      </c>
      <c r="AL23" s="30">
        <v>359</v>
      </c>
      <c r="AM23" s="30"/>
      <c r="AN23" s="30">
        <v>378</v>
      </c>
      <c r="AO23" s="30">
        <v>525</v>
      </c>
      <c r="AP23" s="22"/>
      <c r="AQ23" s="38">
        <v>0</v>
      </c>
    </row>
    <row r="24" spans="2:54" s="3" customFormat="1" ht="100.5" customHeight="1" thickBot="1" x14ac:dyDescent="0.25">
      <c r="B24" s="39">
        <v>46054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0</v>
      </c>
      <c r="X24" s="40">
        <f>X22-X23</f>
        <v>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15743</v>
      </c>
      <c r="AC24" s="40">
        <f>AC22-AC23</f>
        <v>4325</v>
      </c>
      <c r="AD24" s="40">
        <f>AD22-AD23</f>
        <v>15800</v>
      </c>
      <c r="AE24" s="40">
        <f>AE22-AE23</f>
        <v>1975</v>
      </c>
      <c r="AF24" s="41">
        <f>AF22-AF23</f>
        <v>1625</v>
      </c>
      <c r="AG24" s="41" t="e">
        <f t="shared" si="4"/>
        <v>#REF!</v>
      </c>
      <c r="AH24" s="93">
        <f>AH22-AH23</f>
        <v>456</v>
      </c>
      <c r="AI24" s="40">
        <f t="shared" si="4"/>
        <v>442</v>
      </c>
      <c r="AJ24" s="40">
        <f t="shared" si="4"/>
        <v>0</v>
      </c>
      <c r="AK24" s="41">
        <f t="shared" si="4"/>
        <v>1826</v>
      </c>
      <c r="AL24" s="41">
        <f t="shared" si="4"/>
        <v>5980</v>
      </c>
      <c r="AM24" s="41">
        <f t="shared" si="4"/>
        <v>0</v>
      </c>
      <c r="AN24" s="41">
        <f>AN22-AN23</f>
        <v>2222</v>
      </c>
      <c r="AO24" s="41">
        <f t="shared" si="4"/>
        <v>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0" zoomScale="70" zoomScaleNormal="70" workbookViewId="0">
      <selection activeCell="AH24" sqref="AH24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205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77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78"/>
      <c r="AL18" s="278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46055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'1-26-2-1, 2026'!S24</f>
        <v>0</v>
      </c>
      <c r="T20" s="21">
        <f>'1-26-2-1, 2026'!T24</f>
        <v>0</v>
      </c>
      <c r="U20" s="21">
        <f>'1-26-2-1, 2026'!U24</f>
        <v>0</v>
      </c>
      <c r="V20" s="21">
        <f>'1-26-2-1, 2026'!V24</f>
        <v>0</v>
      </c>
      <c r="W20" s="21">
        <f>'1-26-2-1, 2026'!W24</f>
        <v>0</v>
      </c>
      <c r="X20" s="21">
        <f>'1-26-2-1, 2026'!X24</f>
        <v>0</v>
      </c>
      <c r="Y20" s="21">
        <f>'1-26-2-1, 2026'!Y24</f>
        <v>0</v>
      </c>
      <c r="Z20" s="21">
        <f>'1-26-2-1, 2026'!Z24</f>
        <v>0</v>
      </c>
      <c r="AA20" s="21" t="e">
        <f>'1-26-2-1, 2026'!AA24</f>
        <v>#REF!</v>
      </c>
      <c r="AB20" s="21">
        <f>'1-26-2-1, 2026'!AB24</f>
        <v>15743</v>
      </c>
      <c r="AC20" s="21">
        <f>'1-26-2-1, 2026'!AC24</f>
        <v>4325</v>
      </c>
      <c r="AD20" s="21">
        <f>'1-26-2-1, 2026'!AD24</f>
        <v>15800</v>
      </c>
      <c r="AE20" s="21">
        <f>'1-26-2-1, 2026'!AE24</f>
        <v>1975</v>
      </c>
      <c r="AF20" s="21">
        <f>'1-26-2-1, 2026'!AF24</f>
        <v>1625</v>
      </c>
      <c r="AG20" s="21" t="e">
        <f>'1-26-2-1, 2026'!AG24</f>
        <v>#REF!</v>
      </c>
      <c r="AH20" s="21">
        <f>'1-26-2-1, 2026'!AH24</f>
        <v>456</v>
      </c>
      <c r="AI20" s="21">
        <f>'1-26-2-1, 2026'!AI24</f>
        <v>442</v>
      </c>
      <c r="AJ20" s="21">
        <f>'1-26-2-1, 2026'!AJ24</f>
        <v>0</v>
      </c>
      <c r="AK20" s="21">
        <f>'1-26-2-1, 2026'!AK24</f>
        <v>1826</v>
      </c>
      <c r="AL20" s="21">
        <f>'1-26-2-1, 2026'!AL24</f>
        <v>5980</v>
      </c>
      <c r="AM20" s="21">
        <f>'1-26-2-1, 2026'!AM24</f>
        <v>0</v>
      </c>
      <c r="AN20" s="21">
        <f>'1-26-2-1, 2026'!AN24</f>
        <v>2222</v>
      </c>
      <c r="AO20" s="21">
        <f>'1-26-2-1, 2026'!AO24</f>
        <v>0</v>
      </c>
      <c r="AP20" s="21">
        <f>'1-26-2-1, 2026'!AP24</f>
        <v>0</v>
      </c>
      <c r="AQ20" s="21">
        <f>'1-26-2-1, 2026'!AQ24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>
        <v>25110</v>
      </c>
      <c r="X21" s="22">
        <f>W21/93*25</f>
        <v>6750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>
        <v>1000</v>
      </c>
      <c r="AG21" s="23"/>
      <c r="AH21" s="23">
        <v>1000</v>
      </c>
      <c r="AI21" s="23">
        <v>500</v>
      </c>
      <c r="AJ21" s="23"/>
      <c r="AK21" s="23"/>
      <c r="AL21" s="23">
        <v>5280</v>
      </c>
      <c r="AM21" s="31"/>
      <c r="AN21" s="31"/>
      <c r="AO21" s="31">
        <v>3000</v>
      </c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25110</v>
      </c>
      <c r="X22" s="34">
        <f>X20+X21</f>
        <v>6750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15743</v>
      </c>
      <c r="AC22" s="34">
        <f>AC20+AC21</f>
        <v>4325</v>
      </c>
      <c r="AD22" s="34">
        <f t="shared" ref="AD22" si="3">AD20+AD21</f>
        <v>15800</v>
      </c>
      <c r="AE22" s="34">
        <f>AE20+AE21</f>
        <v>1975</v>
      </c>
      <c r="AF22" s="34">
        <f t="shared" si="0"/>
        <v>2625</v>
      </c>
      <c r="AG22" s="34" t="e">
        <f t="shared" si="0"/>
        <v>#REF!</v>
      </c>
      <c r="AH22" s="34">
        <f t="shared" si="0"/>
        <v>1456</v>
      </c>
      <c r="AI22" s="34">
        <f t="shared" si="0"/>
        <v>942</v>
      </c>
      <c r="AJ22" s="34">
        <f t="shared" si="0"/>
        <v>0</v>
      </c>
      <c r="AK22" s="34">
        <f t="shared" si="0"/>
        <v>1826</v>
      </c>
      <c r="AL22" s="34">
        <f t="shared" si="0"/>
        <v>11260</v>
      </c>
      <c r="AM22" s="34">
        <f t="shared" si="0"/>
        <v>0</v>
      </c>
      <c r="AN22" s="34">
        <f t="shared" si="0"/>
        <v>2222</v>
      </c>
      <c r="AO22" s="34">
        <f t="shared" si="0"/>
        <v>3000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1023</v>
      </c>
      <c r="X23" s="22">
        <f>W23/93*25</f>
        <v>275</v>
      </c>
      <c r="Y23" s="22"/>
      <c r="Z23" s="24"/>
      <c r="AA23" s="30"/>
      <c r="AB23" s="30">
        <v>1001</v>
      </c>
      <c r="AC23" s="22">
        <f>AB23/91*25</f>
        <v>275</v>
      </c>
      <c r="AD23" s="30">
        <v>0</v>
      </c>
      <c r="AE23" s="22">
        <f>AD23/200*25</f>
        <v>0</v>
      </c>
      <c r="AF23" s="30">
        <v>925</v>
      </c>
      <c r="AG23" s="30"/>
      <c r="AH23" s="36">
        <v>32</v>
      </c>
      <c r="AI23" s="22">
        <v>30</v>
      </c>
      <c r="AJ23" s="22"/>
      <c r="AK23" s="30">
        <v>0</v>
      </c>
      <c r="AL23" s="30">
        <v>299</v>
      </c>
      <c r="AM23" s="30"/>
      <c r="AN23" s="30">
        <v>240</v>
      </c>
      <c r="AO23" s="30">
        <v>225</v>
      </c>
      <c r="AP23" s="22"/>
      <c r="AQ23" s="38">
        <v>0</v>
      </c>
    </row>
    <row r="24" spans="2:54" s="3" customFormat="1" ht="100.5" customHeight="1" thickBot="1" x14ac:dyDescent="0.25">
      <c r="B24" s="39">
        <v>46061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24087</v>
      </c>
      <c r="X24" s="40">
        <f>X22-X23</f>
        <v>6475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14742</v>
      </c>
      <c r="AC24" s="40">
        <f>AC22-AC23</f>
        <v>4050</v>
      </c>
      <c r="AD24" s="40">
        <f>AD22-AD23</f>
        <v>15800</v>
      </c>
      <c r="AE24" s="40">
        <f>AE22-AE23</f>
        <v>1975</v>
      </c>
      <c r="AF24" s="41">
        <f>AF22-AF23</f>
        <v>1700</v>
      </c>
      <c r="AG24" s="41" t="e">
        <f t="shared" si="4"/>
        <v>#REF!</v>
      </c>
      <c r="AH24" s="93">
        <f>AH22-AH23</f>
        <v>1424</v>
      </c>
      <c r="AI24" s="40">
        <f t="shared" si="4"/>
        <v>912</v>
      </c>
      <c r="AJ24" s="40">
        <f t="shared" si="4"/>
        <v>0</v>
      </c>
      <c r="AK24" s="41">
        <f t="shared" si="4"/>
        <v>1826</v>
      </c>
      <c r="AL24" s="41">
        <f t="shared" si="4"/>
        <v>10961</v>
      </c>
      <c r="AM24" s="41">
        <f t="shared" si="4"/>
        <v>0</v>
      </c>
      <c r="AN24" s="41">
        <f>AN22-AN23</f>
        <v>1982</v>
      </c>
      <c r="AO24" s="41">
        <f t="shared" si="4"/>
        <v>2775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AC24" sqref="AC24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207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79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80"/>
      <c r="AL18" s="280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46062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'2-2-8, 2026'!S24</f>
        <v>0</v>
      </c>
      <c r="T20" s="21">
        <f>'2-2-8, 2026'!T24</f>
        <v>0</v>
      </c>
      <c r="U20" s="21">
        <f>'2-2-8, 2026'!U24</f>
        <v>0</v>
      </c>
      <c r="V20" s="21">
        <f>'2-2-8, 2026'!V24</f>
        <v>0</v>
      </c>
      <c r="W20" s="21">
        <f>'2-2-8, 2026'!W24</f>
        <v>24087</v>
      </c>
      <c r="X20" s="21">
        <f>'2-2-8, 2026'!X24</f>
        <v>6475</v>
      </c>
      <c r="Y20" s="21">
        <f>'2-2-8, 2026'!Y24</f>
        <v>0</v>
      </c>
      <c r="Z20" s="21">
        <f>'2-2-8, 2026'!Z24</f>
        <v>0</v>
      </c>
      <c r="AA20" s="21" t="e">
        <f>'2-2-8, 2026'!AA24</f>
        <v>#REF!</v>
      </c>
      <c r="AB20" s="21">
        <f>'2-2-8, 2026'!AB24</f>
        <v>14742</v>
      </c>
      <c r="AC20" s="21">
        <f>'2-2-8, 2026'!AC24</f>
        <v>4050</v>
      </c>
      <c r="AD20" s="21">
        <f>'2-2-8, 2026'!AD24</f>
        <v>15800</v>
      </c>
      <c r="AE20" s="21">
        <f>'2-2-8, 2026'!AE24</f>
        <v>1975</v>
      </c>
      <c r="AF20" s="21">
        <f>'2-2-8, 2026'!AF24</f>
        <v>1700</v>
      </c>
      <c r="AG20" s="21" t="e">
        <f>'2-2-8, 2026'!AG24</f>
        <v>#REF!</v>
      </c>
      <c r="AH20" s="21">
        <f>'2-2-8, 2026'!AH24</f>
        <v>1424</v>
      </c>
      <c r="AI20" s="21">
        <f>'2-2-8, 2026'!AI24</f>
        <v>912</v>
      </c>
      <c r="AJ20" s="21">
        <f>'2-2-8, 2026'!AJ24</f>
        <v>0</v>
      </c>
      <c r="AK20" s="21">
        <f>'2-2-8, 2026'!AK24</f>
        <v>1826</v>
      </c>
      <c r="AL20" s="21">
        <f>'2-2-8, 2026'!AL24</f>
        <v>10961</v>
      </c>
      <c r="AM20" s="21">
        <f>'2-2-8, 2026'!AM24</f>
        <v>0</v>
      </c>
      <c r="AN20" s="21">
        <f>'2-2-8, 2026'!AN24</f>
        <v>1982</v>
      </c>
      <c r="AO20" s="21">
        <f>'2-2-8, 2026'!AO24</f>
        <v>2775</v>
      </c>
      <c r="AP20" s="21">
        <f>'2-2-8, 2026'!AP24</f>
        <v>0</v>
      </c>
      <c r="AQ20" s="21">
        <f>'2-2-8, 2026'!AQ24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24087</v>
      </c>
      <c r="X22" s="34">
        <f>X20+X21</f>
        <v>6475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14742</v>
      </c>
      <c r="AC22" s="34">
        <f>AC20+AC21</f>
        <v>4050</v>
      </c>
      <c r="AD22" s="34">
        <f t="shared" ref="AD22" si="3">AD20+AD21</f>
        <v>15800</v>
      </c>
      <c r="AE22" s="34">
        <f>AE20+AE21</f>
        <v>1975</v>
      </c>
      <c r="AF22" s="34">
        <f t="shared" si="0"/>
        <v>1700</v>
      </c>
      <c r="AG22" s="34" t="e">
        <f t="shared" si="0"/>
        <v>#REF!</v>
      </c>
      <c r="AH22" s="34">
        <f t="shared" si="0"/>
        <v>1424</v>
      </c>
      <c r="AI22" s="34">
        <f t="shared" si="0"/>
        <v>912</v>
      </c>
      <c r="AJ22" s="34">
        <f t="shared" si="0"/>
        <v>0</v>
      </c>
      <c r="AK22" s="34">
        <f t="shared" si="0"/>
        <v>1826</v>
      </c>
      <c r="AL22" s="34">
        <f t="shared" si="0"/>
        <v>10961</v>
      </c>
      <c r="AM22" s="34">
        <f t="shared" si="0"/>
        <v>0</v>
      </c>
      <c r="AN22" s="34">
        <f t="shared" si="0"/>
        <v>1982</v>
      </c>
      <c r="AO22" s="34">
        <f t="shared" si="0"/>
        <v>2775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2697</v>
      </c>
      <c r="X23" s="22">
        <f>W23/93*25</f>
        <v>725</v>
      </c>
      <c r="Y23" s="22"/>
      <c r="Z23" s="24"/>
      <c r="AA23" s="30"/>
      <c r="AB23" s="30">
        <v>455</v>
      </c>
      <c r="AC23" s="22">
        <f>AB23/91*25</f>
        <v>125</v>
      </c>
      <c r="AD23" s="30">
        <v>0</v>
      </c>
      <c r="AE23" s="22">
        <f>AD23/200*25</f>
        <v>0</v>
      </c>
      <c r="AF23" s="30">
        <v>1700</v>
      </c>
      <c r="AG23" s="30"/>
      <c r="AH23" s="36">
        <v>31</v>
      </c>
      <c r="AI23" s="22">
        <v>30</v>
      </c>
      <c r="AJ23" s="22"/>
      <c r="AK23" s="30">
        <v>0</v>
      </c>
      <c r="AL23" s="30">
        <v>515</v>
      </c>
      <c r="AM23" s="30"/>
      <c r="AN23" s="30">
        <v>425</v>
      </c>
      <c r="AO23" s="30">
        <v>675</v>
      </c>
      <c r="AP23" s="22">
        <v>0</v>
      </c>
      <c r="AQ23" s="38">
        <v>0</v>
      </c>
    </row>
    <row r="24" spans="2:54" s="3" customFormat="1" ht="100.5" customHeight="1" thickBot="1" x14ac:dyDescent="0.25">
      <c r="B24" s="39">
        <v>46068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21390</v>
      </c>
      <c r="X24" s="40">
        <f>X22-X23</f>
        <v>5750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14287</v>
      </c>
      <c r="AC24" s="40">
        <f>AC22-AC23</f>
        <v>3925</v>
      </c>
      <c r="AD24" s="40">
        <f>AD22-AD23</f>
        <v>15800</v>
      </c>
      <c r="AE24" s="40">
        <f>AE22-AE23</f>
        <v>1975</v>
      </c>
      <c r="AF24" s="41">
        <f>AF22-AF23</f>
        <v>0</v>
      </c>
      <c r="AG24" s="41" t="e">
        <f t="shared" si="4"/>
        <v>#REF!</v>
      </c>
      <c r="AH24" s="93">
        <f>AH22-AH23</f>
        <v>1393</v>
      </c>
      <c r="AI24" s="40">
        <f t="shared" si="4"/>
        <v>882</v>
      </c>
      <c r="AJ24" s="40">
        <f t="shared" si="4"/>
        <v>0</v>
      </c>
      <c r="AK24" s="41">
        <f t="shared" si="4"/>
        <v>1826</v>
      </c>
      <c r="AL24" s="41">
        <f t="shared" si="4"/>
        <v>10446</v>
      </c>
      <c r="AM24" s="41">
        <f t="shared" si="4"/>
        <v>0</v>
      </c>
      <c r="AN24" s="41">
        <f>AN22-AN23</f>
        <v>1557</v>
      </c>
      <c r="AO24" s="41">
        <f t="shared" si="4"/>
        <v>2100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22" zoomScale="70" zoomScaleNormal="70" workbookViewId="0">
      <selection activeCell="AC41" sqref="AC41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208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81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82"/>
      <c r="AL18" s="282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46069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'2-9-15, 2026'!S24</f>
        <v>0</v>
      </c>
      <c r="T20" s="21">
        <f>'2-9-15, 2026'!T24</f>
        <v>0</v>
      </c>
      <c r="U20" s="21">
        <f>'2-9-15, 2026'!U24</f>
        <v>0</v>
      </c>
      <c r="V20" s="21">
        <f>'2-9-15, 2026'!V24</f>
        <v>0</v>
      </c>
      <c r="W20" s="21">
        <f>'2-9-15, 2026'!W24</f>
        <v>21390</v>
      </c>
      <c r="X20" s="21">
        <f>'2-9-15, 2026'!X24</f>
        <v>5750</v>
      </c>
      <c r="Y20" s="21">
        <f>'2-9-15, 2026'!Y24</f>
        <v>0</v>
      </c>
      <c r="Z20" s="21">
        <f>'2-9-15, 2026'!Z24</f>
        <v>0</v>
      </c>
      <c r="AA20" s="21" t="e">
        <f>'2-9-15, 2026'!AA24</f>
        <v>#REF!</v>
      </c>
      <c r="AB20" s="21">
        <f>'2-9-15, 2026'!AB24</f>
        <v>14287</v>
      </c>
      <c r="AC20" s="21">
        <f>'2-9-15, 2026'!AC24</f>
        <v>3925</v>
      </c>
      <c r="AD20" s="21">
        <f>'2-9-15, 2026'!AD24</f>
        <v>15800</v>
      </c>
      <c r="AE20" s="21">
        <f>'2-9-15, 2026'!AE24</f>
        <v>1975</v>
      </c>
      <c r="AF20" s="21">
        <f>'2-9-15, 2026'!AF24</f>
        <v>0</v>
      </c>
      <c r="AG20" s="21" t="e">
        <f>'2-9-15, 2026'!AG24</f>
        <v>#REF!</v>
      </c>
      <c r="AH20" s="21">
        <f>'2-9-15, 2026'!AH24</f>
        <v>1393</v>
      </c>
      <c r="AI20" s="21">
        <f>'2-9-15, 2026'!AI24</f>
        <v>882</v>
      </c>
      <c r="AJ20" s="21">
        <f>'2-9-15, 2026'!AJ24</f>
        <v>0</v>
      </c>
      <c r="AK20" s="21">
        <f>'2-9-15, 2026'!AK24</f>
        <v>1826</v>
      </c>
      <c r="AL20" s="21">
        <f>'2-9-15, 2026'!AL24</f>
        <v>10446</v>
      </c>
      <c r="AM20" s="21">
        <f>'2-9-15, 2026'!AM24</f>
        <v>0</v>
      </c>
      <c r="AN20" s="21">
        <f>'2-9-15, 2026'!AN24</f>
        <v>1557</v>
      </c>
      <c r="AO20" s="21">
        <f>'2-9-15, 2026'!AO24</f>
        <v>2100</v>
      </c>
      <c r="AP20" s="21">
        <f>'2-9-15, 2026'!AP24</f>
        <v>0</v>
      </c>
      <c r="AQ20" s="21">
        <f>'2-9-15, 2026'!AQ24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>
        <v>2000</v>
      </c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21390</v>
      </c>
      <c r="X22" s="34">
        <f>X20+X21</f>
        <v>5750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14287</v>
      </c>
      <c r="AC22" s="34">
        <f>AC20+AC21</f>
        <v>3925</v>
      </c>
      <c r="AD22" s="34">
        <f t="shared" ref="AD22" si="3">AD20+AD21</f>
        <v>15800</v>
      </c>
      <c r="AE22" s="34">
        <f>AE20+AE21</f>
        <v>1975</v>
      </c>
      <c r="AF22" s="34">
        <f t="shared" si="0"/>
        <v>2000</v>
      </c>
      <c r="AG22" s="34" t="e">
        <f t="shared" si="0"/>
        <v>#REF!</v>
      </c>
      <c r="AH22" s="34">
        <f t="shared" si="0"/>
        <v>1393</v>
      </c>
      <c r="AI22" s="34">
        <f t="shared" si="0"/>
        <v>882</v>
      </c>
      <c r="AJ22" s="34">
        <f t="shared" si="0"/>
        <v>0</v>
      </c>
      <c r="AK22" s="34">
        <f t="shared" si="0"/>
        <v>1826</v>
      </c>
      <c r="AL22" s="34">
        <f t="shared" si="0"/>
        <v>10446</v>
      </c>
      <c r="AM22" s="34">
        <f t="shared" si="0"/>
        <v>0</v>
      </c>
      <c r="AN22" s="34">
        <f t="shared" si="0"/>
        <v>1557</v>
      </c>
      <c r="AO22" s="34">
        <f t="shared" si="0"/>
        <v>2100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4929</v>
      </c>
      <c r="X23" s="22">
        <f>W23/93*25</f>
        <v>1325</v>
      </c>
      <c r="Y23" s="22"/>
      <c r="Z23" s="24"/>
      <c r="AA23" s="30"/>
      <c r="AB23" s="30">
        <v>273</v>
      </c>
      <c r="AC23" s="22">
        <f>AB23/91*25</f>
        <v>75</v>
      </c>
      <c r="AD23" s="30">
        <v>0</v>
      </c>
      <c r="AE23" s="22">
        <f>AD23/200*25</f>
        <v>0</v>
      </c>
      <c r="AF23" s="30">
        <v>425</v>
      </c>
      <c r="AG23" s="30"/>
      <c r="AH23" s="36">
        <v>53</v>
      </c>
      <c r="AI23" s="22">
        <v>46</v>
      </c>
      <c r="AJ23" s="22"/>
      <c r="AK23" s="30">
        <v>0</v>
      </c>
      <c r="AL23" s="30">
        <v>497</v>
      </c>
      <c r="AM23" s="30"/>
      <c r="AN23" s="30">
        <v>429</v>
      </c>
      <c r="AO23" s="30">
        <v>525</v>
      </c>
      <c r="AP23" s="22"/>
      <c r="AQ23" s="38">
        <v>0</v>
      </c>
    </row>
    <row r="24" spans="2:54" s="3" customFormat="1" ht="100.5" customHeight="1" thickBot="1" x14ac:dyDescent="0.25">
      <c r="B24" s="39">
        <v>46075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16461</v>
      </c>
      <c r="X24" s="40">
        <f>X22-X23</f>
        <v>4425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14014</v>
      </c>
      <c r="AC24" s="40">
        <f>AC22-AC23</f>
        <v>3850</v>
      </c>
      <c r="AD24" s="40">
        <f>AD22-AD23</f>
        <v>15800</v>
      </c>
      <c r="AE24" s="40">
        <f>AE22-AE23</f>
        <v>1975</v>
      </c>
      <c r="AF24" s="41">
        <f>AF22-AF23</f>
        <v>1575</v>
      </c>
      <c r="AG24" s="41" t="e">
        <f t="shared" si="4"/>
        <v>#REF!</v>
      </c>
      <c r="AH24" s="93">
        <f>AH22-AH23</f>
        <v>1340</v>
      </c>
      <c r="AI24" s="40">
        <f t="shared" si="4"/>
        <v>836</v>
      </c>
      <c r="AJ24" s="40">
        <f t="shared" si="4"/>
        <v>0</v>
      </c>
      <c r="AK24" s="41">
        <f t="shared" si="4"/>
        <v>1826</v>
      </c>
      <c r="AL24" s="41">
        <f t="shared" si="4"/>
        <v>9949</v>
      </c>
      <c r="AM24" s="41">
        <f t="shared" si="4"/>
        <v>0</v>
      </c>
      <c r="AN24" s="41">
        <f>AN22-AN23</f>
        <v>1128</v>
      </c>
      <c r="AO24" s="41">
        <f t="shared" si="4"/>
        <v>1575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W30" sqref="W30:AD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209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83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84"/>
      <c r="AL18" s="284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46076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'2-16-22, 2026'!S24</f>
        <v>0</v>
      </c>
      <c r="T20" s="21">
        <f>'2-16-22, 2026'!T24</f>
        <v>0</v>
      </c>
      <c r="U20" s="21">
        <f>'2-16-22, 2026'!U24</f>
        <v>0</v>
      </c>
      <c r="V20" s="21">
        <f>'2-16-22, 2026'!V24</f>
        <v>0</v>
      </c>
      <c r="W20" s="21">
        <f>'2-16-22, 2026'!W24</f>
        <v>16461</v>
      </c>
      <c r="X20" s="21">
        <f>'2-16-22, 2026'!X24</f>
        <v>4425</v>
      </c>
      <c r="Y20" s="21">
        <f>'2-16-22, 2026'!Y24</f>
        <v>0</v>
      </c>
      <c r="Z20" s="21">
        <f>'2-16-22, 2026'!Z24</f>
        <v>0</v>
      </c>
      <c r="AA20" s="21" t="e">
        <f>'2-16-22, 2026'!AA24</f>
        <v>#REF!</v>
      </c>
      <c r="AB20" s="21">
        <f>'2-16-22, 2026'!AB24</f>
        <v>14014</v>
      </c>
      <c r="AC20" s="21">
        <f>'2-16-22, 2026'!AC24</f>
        <v>3850</v>
      </c>
      <c r="AD20" s="21">
        <f>'2-16-22, 2026'!AD24</f>
        <v>15800</v>
      </c>
      <c r="AE20" s="21">
        <f>'2-16-22, 2026'!AE24</f>
        <v>1975</v>
      </c>
      <c r="AF20" s="21">
        <f>'2-16-22, 2026'!AF24</f>
        <v>1575</v>
      </c>
      <c r="AG20" s="21" t="e">
        <f>'2-16-22, 2026'!AG24</f>
        <v>#REF!</v>
      </c>
      <c r="AH20" s="21">
        <f>'2-16-22, 2026'!AH24</f>
        <v>1340</v>
      </c>
      <c r="AI20" s="21">
        <f>'2-16-22, 2026'!AI24</f>
        <v>836</v>
      </c>
      <c r="AJ20" s="21">
        <f>'2-16-22, 2026'!AJ24</f>
        <v>0</v>
      </c>
      <c r="AK20" s="21">
        <f>'2-16-22, 2026'!AK24</f>
        <v>1826</v>
      </c>
      <c r="AL20" s="21">
        <f>'2-16-22, 2026'!AL24</f>
        <v>9949</v>
      </c>
      <c r="AM20" s="21">
        <f>'2-16-22, 2026'!AM24</f>
        <v>0</v>
      </c>
      <c r="AN20" s="21">
        <f>'2-16-22, 2026'!AN24</f>
        <v>1128</v>
      </c>
      <c r="AO20" s="21">
        <f>'2-16-22, 2026'!AO24</f>
        <v>1575</v>
      </c>
      <c r="AP20" s="21">
        <f>'2-16-22, 2026'!AP24</f>
        <v>0</v>
      </c>
      <c r="AQ20" s="21">
        <f>'2-16-22, 2026'!AQ24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16461</v>
      </c>
      <c r="X22" s="34">
        <f>X20+X21</f>
        <v>4425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14014</v>
      </c>
      <c r="AC22" s="34">
        <f>AC20+AC21</f>
        <v>3850</v>
      </c>
      <c r="AD22" s="34">
        <f t="shared" ref="AD22" si="3">AD20+AD21</f>
        <v>15800</v>
      </c>
      <c r="AE22" s="34">
        <f>AE20+AE21</f>
        <v>1975</v>
      </c>
      <c r="AF22" s="34">
        <f t="shared" si="0"/>
        <v>1575</v>
      </c>
      <c r="AG22" s="34" t="e">
        <f t="shared" si="0"/>
        <v>#REF!</v>
      </c>
      <c r="AH22" s="34">
        <f t="shared" si="0"/>
        <v>1340</v>
      </c>
      <c r="AI22" s="34">
        <f t="shared" si="0"/>
        <v>836</v>
      </c>
      <c r="AJ22" s="34">
        <f t="shared" si="0"/>
        <v>0</v>
      </c>
      <c r="AK22" s="34">
        <f t="shared" si="0"/>
        <v>1826</v>
      </c>
      <c r="AL22" s="34">
        <f t="shared" si="0"/>
        <v>9949</v>
      </c>
      <c r="AM22" s="34">
        <f t="shared" si="0"/>
        <v>0</v>
      </c>
      <c r="AN22" s="34">
        <f t="shared" si="0"/>
        <v>1128</v>
      </c>
      <c r="AO22" s="34">
        <f t="shared" si="0"/>
        <v>1575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3255</v>
      </c>
      <c r="X23" s="22">
        <f>W23/93*25</f>
        <v>875</v>
      </c>
      <c r="Y23" s="22"/>
      <c r="Z23" s="24"/>
      <c r="AA23" s="30"/>
      <c r="AB23" s="30">
        <v>0</v>
      </c>
      <c r="AC23" s="22">
        <f>AB23/91*25</f>
        <v>0</v>
      </c>
      <c r="AD23" s="30">
        <v>0</v>
      </c>
      <c r="AE23" s="22">
        <f>AD23/200*25</f>
        <v>0</v>
      </c>
      <c r="AF23" s="30">
        <v>375</v>
      </c>
      <c r="AG23" s="30"/>
      <c r="AH23" s="36">
        <v>43</v>
      </c>
      <c r="AI23" s="22">
        <v>32</v>
      </c>
      <c r="AJ23" s="22"/>
      <c r="AK23" s="30">
        <v>0</v>
      </c>
      <c r="AL23" s="30">
        <v>330</v>
      </c>
      <c r="AM23" s="30"/>
      <c r="AN23" s="30">
        <v>272</v>
      </c>
      <c r="AO23" s="30">
        <v>75</v>
      </c>
      <c r="AP23" s="22"/>
      <c r="AQ23" s="38">
        <v>0</v>
      </c>
    </row>
    <row r="24" spans="2:54" s="3" customFormat="1" ht="100.5" customHeight="1" thickBot="1" x14ac:dyDescent="0.25">
      <c r="B24" s="39">
        <v>46082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13206</v>
      </c>
      <c r="X24" s="40">
        <f>X22-X23</f>
        <v>3550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14014</v>
      </c>
      <c r="AC24" s="40">
        <f>AC22-AC23</f>
        <v>3850</v>
      </c>
      <c r="AD24" s="40">
        <f>AD22-AD23</f>
        <v>15800</v>
      </c>
      <c r="AE24" s="40">
        <f>AE22-AE23</f>
        <v>1975</v>
      </c>
      <c r="AF24" s="41">
        <f>AF22-AF23</f>
        <v>1200</v>
      </c>
      <c r="AG24" s="41" t="e">
        <f t="shared" si="4"/>
        <v>#REF!</v>
      </c>
      <c r="AH24" s="93">
        <f>AH22-AH23</f>
        <v>1297</v>
      </c>
      <c r="AI24" s="40">
        <f t="shared" si="4"/>
        <v>804</v>
      </c>
      <c r="AJ24" s="40">
        <f t="shared" si="4"/>
        <v>0</v>
      </c>
      <c r="AK24" s="41">
        <f t="shared" si="4"/>
        <v>1826</v>
      </c>
      <c r="AL24" s="41">
        <f t="shared" si="4"/>
        <v>9619</v>
      </c>
      <c r="AM24" s="41">
        <f t="shared" si="4"/>
        <v>0</v>
      </c>
      <c r="AN24" s="41">
        <f>AN22-AN23</f>
        <v>856</v>
      </c>
      <c r="AO24" s="41">
        <f t="shared" si="4"/>
        <v>1500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31</v>
      </c>
      <c r="X30" s="155"/>
      <c r="Y30" s="155"/>
      <c r="Z30" s="153"/>
      <c r="AA30" s="155"/>
      <c r="AC30" s="155"/>
      <c r="AD30" s="153"/>
      <c r="AE30" s="155"/>
      <c r="AF30" s="156" t="s">
        <v>172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64</v>
      </c>
      <c r="X31" s="155"/>
      <c r="Y31" s="155"/>
      <c r="Z31" s="154"/>
      <c r="AA31" s="154"/>
      <c r="AC31" s="155"/>
      <c r="AD31" s="157"/>
      <c r="AE31" s="155"/>
      <c r="AF31" s="154" t="s">
        <v>173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65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B47"/>
  <sheetViews>
    <sheetView topLeftCell="A16" zoomScale="70" zoomScaleNormal="70" workbookViewId="0">
      <selection activeCell="W30" sqref="W30:AD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customWidth="1"/>
    <col min="20" max="20" width="13.7109375" style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2.5703125" style="1" customWidth="1"/>
    <col min="33" max="33" width="7" style="1" hidden="1" customWidth="1"/>
    <col min="34" max="34" width="14.85546875" style="1" customWidth="1"/>
    <col min="35" max="35" width="12.28515625" style="1" customWidth="1"/>
    <col min="36" max="36" width="22.42578125" style="1" hidden="1" customWidth="1"/>
    <col min="37" max="37" width="16.42578125" style="1" customWidth="1"/>
    <col min="38" max="38" width="17.7109375" style="1" customWidth="1"/>
    <col min="39" max="39" width="18.5703125" style="1" hidden="1" customWidth="1"/>
    <col min="40" max="41" width="18.5703125" style="1" customWidth="1"/>
    <col min="42" max="42" width="12.42578125" style="1" bestFit="1" customWidth="1"/>
    <col min="43" max="43" width="11.140625" style="1" customWidth="1"/>
    <col min="44" max="44" width="14.28515625" style="1" bestFit="1" customWidth="1"/>
    <col min="45" max="45" width="13.42578125" style="1" bestFit="1" customWidth="1"/>
    <col min="46" max="46" width="9.140625" style="1"/>
    <col min="47" max="47" width="10.7109375" style="1" bestFit="1" customWidth="1"/>
    <col min="48" max="16384" width="9.140625" style="1"/>
  </cols>
  <sheetData>
    <row r="10" spans="1:44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178"/>
    </row>
    <row r="11" spans="1:44" ht="34.5" x14ac:dyDescent="0.45">
      <c r="A11" s="315" t="s">
        <v>210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179"/>
    </row>
    <row r="12" spans="1:44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4" ht="22.5" thickBot="1" x14ac:dyDescent="0.35"/>
    <row r="14" spans="1:44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8"/>
    </row>
    <row r="15" spans="1:44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1"/>
    </row>
    <row r="16" spans="1:44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11</v>
      </c>
      <c r="AK16" s="57" t="s">
        <v>10</v>
      </c>
      <c r="AL16" s="57" t="s">
        <v>10</v>
      </c>
      <c r="AM16" s="57" t="s">
        <v>40</v>
      </c>
      <c r="AN16" s="57" t="s">
        <v>41</v>
      </c>
      <c r="AO16" s="57" t="s">
        <v>41</v>
      </c>
      <c r="AP16" s="57" t="s">
        <v>12</v>
      </c>
      <c r="AQ16" s="285" t="s">
        <v>13</v>
      </c>
    </row>
    <row r="17" spans="2:54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>
        <v>4.8</v>
      </c>
      <c r="AK17" s="11">
        <v>2.4</v>
      </c>
      <c r="AL17" s="11">
        <v>4.9000000000000004</v>
      </c>
      <c r="AM17" s="11">
        <v>10</v>
      </c>
      <c r="AN17" s="11">
        <v>10</v>
      </c>
      <c r="AO17" s="11">
        <v>40</v>
      </c>
      <c r="AP17" s="12"/>
      <c r="AQ17" s="12"/>
    </row>
    <row r="18" spans="2:54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86"/>
      <c r="AL18" s="286"/>
      <c r="AM18" s="10"/>
      <c r="AN18" s="10"/>
      <c r="AO18" s="10"/>
      <c r="AP18" s="10"/>
      <c r="AQ18" s="10"/>
    </row>
    <row r="19" spans="2:54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20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20</v>
      </c>
    </row>
    <row r="20" spans="2:54" ht="68.25" customHeight="1" x14ac:dyDescent="0.3">
      <c r="B20" s="56">
        <v>46083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'2-23-3-1, 2026'!S24</f>
        <v>0</v>
      </c>
      <c r="T20" s="21">
        <f>'2-23-3-1, 2026'!T24</f>
        <v>0</v>
      </c>
      <c r="U20" s="21">
        <f>'2-23-3-1, 2026'!U24</f>
        <v>0</v>
      </c>
      <c r="V20" s="21">
        <f>'2-23-3-1, 2026'!V24</f>
        <v>0</v>
      </c>
      <c r="W20" s="21">
        <f>'2-23-3-1, 2026'!W24</f>
        <v>13206</v>
      </c>
      <c r="X20" s="21">
        <f>'2-23-3-1, 2026'!X24</f>
        <v>3550</v>
      </c>
      <c r="Y20" s="21">
        <f>'2-23-3-1, 2026'!Y24</f>
        <v>0</v>
      </c>
      <c r="Z20" s="21">
        <f>'2-23-3-1, 2026'!Z24</f>
        <v>0</v>
      </c>
      <c r="AA20" s="21" t="e">
        <f>'2-23-3-1, 2026'!AA24</f>
        <v>#REF!</v>
      </c>
      <c r="AB20" s="21">
        <f>'2-23-3-1, 2026'!AB24</f>
        <v>14014</v>
      </c>
      <c r="AC20" s="21">
        <f>'2-23-3-1, 2026'!AC24</f>
        <v>3850</v>
      </c>
      <c r="AD20" s="21">
        <f>'2-23-3-1, 2026'!AD24</f>
        <v>15800</v>
      </c>
      <c r="AE20" s="21">
        <f>'2-23-3-1, 2026'!AE24</f>
        <v>1975</v>
      </c>
      <c r="AF20" s="21">
        <f>'2-23-3-1, 2026'!AF24</f>
        <v>1200</v>
      </c>
      <c r="AG20" s="21" t="e">
        <f>'2-23-3-1, 2026'!AG24</f>
        <v>#REF!</v>
      </c>
      <c r="AH20" s="21">
        <f>'2-23-3-1, 2026'!AH24</f>
        <v>1297</v>
      </c>
      <c r="AI20" s="21">
        <f>'2-23-3-1, 2026'!AI24</f>
        <v>804</v>
      </c>
      <c r="AJ20" s="21">
        <f>'2-23-3-1, 2026'!AJ24</f>
        <v>0</v>
      </c>
      <c r="AK20" s="21">
        <f>'2-23-3-1, 2026'!AK24</f>
        <v>1826</v>
      </c>
      <c r="AL20" s="21">
        <f>'2-23-3-1, 2026'!AL24</f>
        <v>9619</v>
      </c>
      <c r="AM20" s="21">
        <f>'2-23-3-1, 2026'!AM24</f>
        <v>0</v>
      </c>
      <c r="AN20" s="21">
        <f>'2-23-3-1, 2026'!AN24</f>
        <v>856</v>
      </c>
      <c r="AO20" s="21">
        <f>'2-23-3-1, 2026'!AO24</f>
        <v>1500</v>
      </c>
      <c r="AP20" s="21">
        <f>'2-23-3-1, 2026'!AP24</f>
        <v>0</v>
      </c>
      <c r="AQ20" s="21">
        <f>'2-23-3-1, 2026'!AQ24</f>
        <v>96</v>
      </c>
      <c r="AR20" s="28"/>
    </row>
    <row r="21" spans="2:54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23"/>
      <c r="AQ21" s="32"/>
      <c r="AS21" s="33"/>
    </row>
    <row r="22" spans="2:54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Q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13206</v>
      </c>
      <c r="X22" s="34">
        <f>X20+X21</f>
        <v>3550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14014</v>
      </c>
      <c r="AC22" s="34">
        <f>AC20+AC21</f>
        <v>3850</v>
      </c>
      <c r="AD22" s="34">
        <f t="shared" ref="AD22" si="3">AD20+AD21</f>
        <v>15800</v>
      </c>
      <c r="AE22" s="34">
        <f>AE20+AE21</f>
        <v>1975</v>
      </c>
      <c r="AF22" s="34">
        <f t="shared" si="0"/>
        <v>1200</v>
      </c>
      <c r="AG22" s="34" t="e">
        <f t="shared" si="0"/>
        <v>#REF!</v>
      </c>
      <c r="AH22" s="34">
        <f t="shared" si="0"/>
        <v>1297</v>
      </c>
      <c r="AI22" s="34">
        <f t="shared" si="0"/>
        <v>804</v>
      </c>
      <c r="AJ22" s="34">
        <f t="shared" si="0"/>
        <v>0</v>
      </c>
      <c r="AK22" s="34">
        <f t="shared" si="0"/>
        <v>1826</v>
      </c>
      <c r="AL22" s="34">
        <f t="shared" si="0"/>
        <v>9619</v>
      </c>
      <c r="AM22" s="34">
        <f t="shared" si="0"/>
        <v>0</v>
      </c>
      <c r="AN22" s="34">
        <f t="shared" si="0"/>
        <v>856</v>
      </c>
      <c r="AO22" s="34">
        <f t="shared" si="0"/>
        <v>1500</v>
      </c>
      <c r="AP22" s="34">
        <f t="shared" si="0"/>
        <v>0</v>
      </c>
      <c r="AQ22" s="165">
        <f t="shared" si="0"/>
        <v>96</v>
      </c>
    </row>
    <row r="23" spans="2:54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3255</v>
      </c>
      <c r="X23" s="22">
        <f>W23/93*25</f>
        <v>875</v>
      </c>
      <c r="Y23" s="22"/>
      <c r="Z23" s="24"/>
      <c r="AA23" s="30"/>
      <c r="AB23" s="30">
        <v>0</v>
      </c>
      <c r="AC23" s="22">
        <f>AB23/91*25</f>
        <v>0</v>
      </c>
      <c r="AD23" s="30">
        <v>0</v>
      </c>
      <c r="AE23" s="22">
        <f>AD23/200*25</f>
        <v>0</v>
      </c>
      <c r="AF23" s="30">
        <v>450</v>
      </c>
      <c r="AG23" s="30"/>
      <c r="AH23" s="36">
        <v>39</v>
      </c>
      <c r="AI23" s="22">
        <v>38</v>
      </c>
      <c r="AJ23" s="22"/>
      <c r="AK23" s="30">
        <v>0</v>
      </c>
      <c r="AL23" s="30">
        <v>376</v>
      </c>
      <c r="AM23" s="30"/>
      <c r="AN23" s="30">
        <v>180</v>
      </c>
      <c r="AO23" s="30">
        <v>0</v>
      </c>
      <c r="AP23" s="22"/>
      <c r="AQ23" s="38">
        <v>0</v>
      </c>
    </row>
    <row r="24" spans="2:54" s="3" customFormat="1" ht="100.5" customHeight="1" thickBot="1" x14ac:dyDescent="0.25">
      <c r="B24" s="39">
        <v>46089</v>
      </c>
      <c r="C24" s="336" t="s">
        <v>28</v>
      </c>
      <c r="D24" s="337"/>
      <c r="E24" s="40">
        <f>E22-E23</f>
        <v>0</v>
      </c>
      <c r="F24" s="40">
        <f t="shared" ref="F24:AP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9951</v>
      </c>
      <c r="X24" s="40">
        <f>X22-X23</f>
        <v>2675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14014</v>
      </c>
      <c r="AC24" s="40">
        <f>AC22-AC23</f>
        <v>3850</v>
      </c>
      <c r="AD24" s="40">
        <f>AD22-AD23</f>
        <v>15800</v>
      </c>
      <c r="AE24" s="40">
        <f>AE22-AE23</f>
        <v>1975</v>
      </c>
      <c r="AF24" s="41">
        <f>AF22-AF23</f>
        <v>750</v>
      </c>
      <c r="AG24" s="41" t="e">
        <f t="shared" si="4"/>
        <v>#REF!</v>
      </c>
      <c r="AH24" s="93">
        <f>AH22-AH23</f>
        <v>1258</v>
      </c>
      <c r="AI24" s="40">
        <f t="shared" si="4"/>
        <v>766</v>
      </c>
      <c r="AJ24" s="40">
        <f t="shared" si="4"/>
        <v>0</v>
      </c>
      <c r="AK24" s="41">
        <f t="shared" si="4"/>
        <v>1826</v>
      </c>
      <c r="AL24" s="41">
        <f t="shared" si="4"/>
        <v>9243</v>
      </c>
      <c r="AM24" s="41">
        <f t="shared" si="4"/>
        <v>0</v>
      </c>
      <c r="AN24" s="41">
        <f>AN22-AN23</f>
        <v>676</v>
      </c>
      <c r="AO24" s="41">
        <f t="shared" si="4"/>
        <v>1500</v>
      </c>
      <c r="AP24" s="40">
        <f t="shared" si="4"/>
        <v>0</v>
      </c>
      <c r="AQ24" s="44">
        <f>AQ22-AQ23</f>
        <v>96</v>
      </c>
    </row>
    <row r="25" spans="2:54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2:54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</row>
    <row r="27" spans="2:54" s="45" customFormat="1" ht="24" customHeight="1" x14ac:dyDescent="0.35">
      <c r="B27" s="45" t="s">
        <v>29</v>
      </c>
      <c r="P27" s="46"/>
      <c r="Q27" s="135"/>
      <c r="S27" s="135"/>
      <c r="W27" s="45" t="s">
        <v>56</v>
      </c>
      <c r="Y27" s="45" t="s">
        <v>30</v>
      </c>
      <c r="AF27" s="45" t="s">
        <v>57</v>
      </c>
      <c r="AJ27" s="47"/>
      <c r="AK27" s="47"/>
      <c r="AL27" s="47"/>
      <c r="AM27" s="46"/>
      <c r="AN27" s="46"/>
      <c r="AO27" s="47"/>
      <c r="AP27" s="46"/>
      <c r="AQ27" s="46"/>
    </row>
    <row r="28" spans="2:54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W28" s="49"/>
      <c r="Y28" s="49"/>
      <c r="Z28" s="49"/>
      <c r="AD28" s="49"/>
      <c r="AJ28" s="49"/>
      <c r="AK28" s="49"/>
      <c r="AL28" s="49"/>
      <c r="AM28" s="49"/>
      <c r="AN28" s="49"/>
      <c r="AO28" s="49"/>
      <c r="AP28" s="49"/>
      <c r="AQ28" s="49"/>
      <c r="AR28" s="46"/>
    </row>
    <row r="29" spans="2:54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W29" s="49"/>
      <c r="Y29" s="49"/>
      <c r="Z29" s="49"/>
      <c r="AD29" s="49"/>
      <c r="AJ29" s="49"/>
      <c r="AK29" s="49"/>
      <c r="AL29" s="49"/>
      <c r="AM29" s="49"/>
      <c r="AN29" s="49"/>
      <c r="AO29" s="49"/>
      <c r="AP29" s="49"/>
      <c r="AQ29" s="49"/>
      <c r="AR29" s="46"/>
    </row>
    <row r="30" spans="2:54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W30" s="153" t="s">
        <v>107</v>
      </c>
      <c r="X30" s="155"/>
      <c r="Y30" s="155"/>
      <c r="Z30" s="153"/>
      <c r="AA30" s="155"/>
      <c r="AC30" s="155"/>
      <c r="AD30" s="153"/>
      <c r="AE30" s="155"/>
      <c r="AF30" s="156" t="s">
        <v>211</v>
      </c>
      <c r="AG30" s="155"/>
      <c r="AJ30" s="155"/>
      <c r="AK30" s="155"/>
      <c r="AL30" s="155"/>
      <c r="AO30" s="155"/>
      <c r="AR30" s="46"/>
    </row>
    <row r="31" spans="2:54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W31" s="157" t="s">
        <v>34</v>
      </c>
      <c r="X31" s="155"/>
      <c r="Y31" s="155"/>
      <c r="Z31" s="154"/>
      <c r="AA31" s="154"/>
      <c r="AC31" s="155"/>
      <c r="AD31" s="157"/>
      <c r="AE31" s="155"/>
      <c r="AF31" s="154" t="s">
        <v>212</v>
      </c>
      <c r="AG31" s="155"/>
      <c r="AJ31" s="154"/>
      <c r="AK31" s="154"/>
      <c r="AL31" s="154"/>
      <c r="AM31" s="46"/>
      <c r="AN31" s="46"/>
      <c r="AO31" s="154"/>
      <c r="AP31" s="46"/>
      <c r="AQ31" s="46"/>
    </row>
    <row r="32" spans="2:54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W32" s="157" t="s">
        <v>46</v>
      </c>
      <c r="X32" s="155"/>
      <c r="Y32" s="155"/>
      <c r="Z32" s="154"/>
      <c r="AA32" s="154"/>
      <c r="AC32" s="155"/>
      <c r="AD32" s="157"/>
      <c r="AE32" s="155"/>
      <c r="AF32" s="154" t="s">
        <v>46</v>
      </c>
      <c r="AG32" s="154"/>
      <c r="AJ32" s="154"/>
      <c r="AK32" s="154"/>
      <c r="AL32" s="154"/>
      <c r="AM32" s="83"/>
      <c r="AN32" s="84"/>
      <c r="AO32" s="154"/>
      <c r="AP32" s="83"/>
      <c r="AQ32" s="84"/>
      <c r="AR32" s="85"/>
      <c r="AS32" s="86"/>
      <c r="AT32" s="87"/>
      <c r="AU32" s="86"/>
      <c r="AV32" s="88"/>
      <c r="AW32" s="84"/>
      <c r="AX32" s="84"/>
      <c r="AY32" s="86"/>
      <c r="AZ32" s="86"/>
      <c r="BA32" s="86"/>
      <c r="BB32" s="84"/>
    </row>
    <row r="33" spans="2:44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W33" s="154" t="s">
        <v>51</v>
      </c>
      <c r="X33" s="154"/>
      <c r="Y33" s="154"/>
      <c r="Z33" s="154"/>
      <c r="AA33" s="154" t="s">
        <v>51</v>
      </c>
      <c r="AC33" s="154"/>
      <c r="AD33" s="154"/>
      <c r="AE33" s="154"/>
      <c r="AF33" s="154"/>
      <c r="AG33" s="158"/>
      <c r="AH33" s="158"/>
      <c r="AI33" s="154"/>
      <c r="AJ33" s="159"/>
      <c r="AK33" s="154"/>
      <c r="AL33" s="154"/>
      <c r="AM33" s="154"/>
      <c r="AN33" s="154"/>
      <c r="AO33" s="154"/>
    </row>
    <row r="34" spans="2:44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52"/>
    </row>
    <row r="36" spans="2:44" ht="22.5" x14ac:dyDescent="0.35">
      <c r="C36" s="55"/>
      <c r="D36" s="55"/>
      <c r="E36" s="55"/>
      <c r="F36" s="55"/>
    </row>
    <row r="37" spans="2:44" ht="15.75" customHeight="1" x14ac:dyDescent="0.3"/>
    <row r="40" spans="2:44" ht="15.75" customHeight="1" x14ac:dyDescent="0.3"/>
    <row r="42" spans="2:44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</row>
    <row r="44" spans="2:44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7" spans="2:44" ht="22.5" x14ac:dyDescent="0.35">
      <c r="B47" s="55"/>
    </row>
  </sheetData>
  <mergeCells count="50">
    <mergeCell ref="A10:AQ10"/>
    <mergeCell ref="A11:AQ11"/>
    <mergeCell ref="B14:D15"/>
    <mergeCell ref="E14:AQ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6" orientation="landscape" r:id="rId1"/>
  <drawing r:id="rId2"/>
  <legacy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10" zoomScale="70" zoomScaleNormal="70" workbookViewId="0">
      <selection activeCell="AF28" sqref="AF28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0.5703125" style="1" customWidth="1"/>
    <col min="33" max="33" width="7" style="1" hidden="1" customWidth="1"/>
    <col min="34" max="34" width="12" style="1" customWidth="1"/>
    <col min="35" max="35" width="9.42578125" style="1" customWidth="1"/>
    <col min="36" max="36" width="22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213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287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 t="s">
        <v>214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88"/>
      <c r="AL18" s="288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46090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'3-2-8, 2026'!W24</f>
        <v>9951</v>
      </c>
      <c r="X20" s="21">
        <f>'3-2-8, 2026'!X24</f>
        <v>2675</v>
      </c>
      <c r="Y20" s="21">
        <f>'3-2-8, 2026'!Y24</f>
        <v>0</v>
      </c>
      <c r="Z20" s="21">
        <f>'3-2-8, 2026'!Z24</f>
        <v>0</v>
      </c>
      <c r="AA20" s="21" t="e">
        <f>'3-2-8, 2026'!AA24</f>
        <v>#REF!</v>
      </c>
      <c r="AB20" s="21">
        <f>'3-2-8, 2026'!AB24</f>
        <v>14014</v>
      </c>
      <c r="AC20" s="21">
        <f>'3-2-8, 2026'!AC24</f>
        <v>3850</v>
      </c>
      <c r="AD20" s="21">
        <f>'3-2-8, 2026'!AD24</f>
        <v>15800</v>
      </c>
      <c r="AE20" s="21">
        <f>'3-2-8, 2026'!AE24</f>
        <v>1975</v>
      </c>
      <c r="AF20" s="21">
        <f>'3-2-8, 2026'!AF24</f>
        <v>750</v>
      </c>
      <c r="AG20" s="21" t="e">
        <f>'3-2-8, 2026'!AG24</f>
        <v>#REF!</v>
      </c>
      <c r="AH20" s="21">
        <f>'3-2-8, 2026'!AH24</f>
        <v>1258</v>
      </c>
      <c r="AI20" s="21">
        <f>'3-2-8, 2026'!AI24</f>
        <v>766</v>
      </c>
      <c r="AJ20" s="21">
        <f>'3-2-8, 2026'!AJ24</f>
        <v>0</v>
      </c>
      <c r="AK20" s="21">
        <f>'3-2-8, 2026'!AK24</f>
        <v>1826</v>
      </c>
      <c r="AL20" s="21">
        <f>'3-2-8, 2026'!AL24</f>
        <v>9243</v>
      </c>
      <c r="AM20" s="21">
        <v>0</v>
      </c>
      <c r="AN20" s="21">
        <f>'3-2-8, 2026'!AM24</f>
        <v>0</v>
      </c>
      <c r="AO20" s="21">
        <f>'3-2-8, 2026'!AN24</f>
        <v>676</v>
      </c>
      <c r="AP20" s="21">
        <f>'3-2-8, 2026'!AO24</f>
        <v>1500</v>
      </c>
      <c r="AQ20" s="21">
        <f>'3-2-8, 2026'!AP24</f>
        <v>0</v>
      </c>
      <c r="AR20" s="21">
        <f>'3-2-8, 2026'!AQ24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>
        <v>21390</v>
      </c>
      <c r="X21" s="22">
        <f>W21/93*25</f>
        <v>5750</v>
      </c>
      <c r="Y21" s="23"/>
      <c r="Z21" s="26"/>
      <c r="AA21" s="23"/>
      <c r="AB21" s="23">
        <v>6370</v>
      </c>
      <c r="AC21" s="22">
        <f>AB21/91*25</f>
        <v>1750</v>
      </c>
      <c r="AD21" s="23"/>
      <c r="AE21" s="22">
        <f>AD21/91*25</f>
        <v>0</v>
      </c>
      <c r="AF21" s="23"/>
      <c r="AG21" s="23"/>
      <c r="AH21" s="23"/>
      <c r="AI21" s="23"/>
      <c r="AJ21" s="23">
        <v>210</v>
      </c>
      <c r="AK21" s="23"/>
      <c r="AL21" s="23"/>
      <c r="AM21" s="31">
        <v>210</v>
      </c>
      <c r="AN21" s="31">
        <v>10000</v>
      </c>
      <c r="AO21" s="31"/>
      <c r="AP21" s="31">
        <v>3000</v>
      </c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31341</v>
      </c>
      <c r="X22" s="34">
        <f>X20+X21</f>
        <v>8425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20384</v>
      </c>
      <c r="AC22" s="34">
        <f>AC20+AC21</f>
        <v>5600</v>
      </c>
      <c r="AD22" s="34">
        <f t="shared" ref="AD22" si="3">AD20+AD21</f>
        <v>15800</v>
      </c>
      <c r="AE22" s="34">
        <f>AE20+AE21</f>
        <v>1975</v>
      </c>
      <c r="AF22" s="34">
        <f t="shared" si="0"/>
        <v>750</v>
      </c>
      <c r="AG22" s="34" t="e">
        <f t="shared" si="0"/>
        <v>#REF!</v>
      </c>
      <c r="AH22" s="34">
        <f t="shared" si="0"/>
        <v>1258</v>
      </c>
      <c r="AI22" s="34">
        <f t="shared" si="0"/>
        <v>766</v>
      </c>
      <c r="AJ22" s="34">
        <f t="shared" si="0"/>
        <v>210</v>
      </c>
      <c r="AK22" s="34">
        <f t="shared" si="0"/>
        <v>1826</v>
      </c>
      <c r="AL22" s="34">
        <f t="shared" si="0"/>
        <v>9243</v>
      </c>
      <c r="AM22" s="34">
        <f t="shared" ref="AM22" si="4">AM20+AM21</f>
        <v>210</v>
      </c>
      <c r="AN22" s="34">
        <f t="shared" si="0"/>
        <v>10000</v>
      </c>
      <c r="AO22" s="34">
        <f t="shared" si="0"/>
        <v>676</v>
      </c>
      <c r="AP22" s="34">
        <f t="shared" si="0"/>
        <v>4500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2790</v>
      </c>
      <c r="X23" s="22">
        <f>W23/93*25</f>
        <v>750</v>
      </c>
      <c r="Y23" s="22"/>
      <c r="Z23" s="24"/>
      <c r="AA23" s="30"/>
      <c r="AB23" s="30">
        <v>273</v>
      </c>
      <c r="AC23" s="22">
        <f>AB23/91*25</f>
        <v>75</v>
      </c>
      <c r="AD23" s="30">
        <v>0</v>
      </c>
      <c r="AE23" s="22">
        <f>AD23/200*25</f>
        <v>0</v>
      </c>
      <c r="AF23" s="30">
        <v>500</v>
      </c>
      <c r="AG23" s="30"/>
      <c r="AH23" s="36">
        <v>41</v>
      </c>
      <c r="AI23" s="22">
        <v>32</v>
      </c>
      <c r="AJ23" s="22">
        <v>90</v>
      </c>
      <c r="AK23" s="30">
        <v>0</v>
      </c>
      <c r="AL23" s="30">
        <v>349</v>
      </c>
      <c r="AM23" s="30">
        <v>0</v>
      </c>
      <c r="AN23" s="30">
        <v>0</v>
      </c>
      <c r="AO23" s="30">
        <v>185</v>
      </c>
      <c r="AP23" s="30">
        <v>375</v>
      </c>
      <c r="AQ23" s="22"/>
      <c r="AR23" s="38"/>
    </row>
    <row r="24" spans="2:55" s="3" customFormat="1" ht="100.5" customHeight="1" thickBot="1" x14ac:dyDescent="0.25">
      <c r="B24" s="39">
        <v>46096</v>
      </c>
      <c r="C24" s="336" t="s">
        <v>28</v>
      </c>
      <c r="D24" s="337"/>
      <c r="E24" s="40">
        <f>E22-E23</f>
        <v>0</v>
      </c>
      <c r="F24" s="40">
        <f t="shared" ref="F24:AQ24" si="5">F22-F23</f>
        <v>0</v>
      </c>
      <c r="G24" s="40">
        <f>G22-G23</f>
        <v>0</v>
      </c>
      <c r="H24" s="40">
        <f t="shared" si="5"/>
        <v>0</v>
      </c>
      <c r="I24" s="41" t="e">
        <f t="shared" si="5"/>
        <v>#REF!</v>
      </c>
      <c r="J24" s="41" t="e">
        <f t="shared" si="5"/>
        <v>#REF!</v>
      </c>
      <c r="K24" s="41">
        <f>K22-K23</f>
        <v>0</v>
      </c>
      <c r="L24" s="42">
        <f t="shared" ref="L24" si="6">L22-L23</f>
        <v>0</v>
      </c>
      <c r="M24" s="41">
        <f>M22-M23</f>
        <v>0</v>
      </c>
      <c r="N24" s="42">
        <f>N22-N23</f>
        <v>0</v>
      </c>
      <c r="O24" s="41" t="e">
        <f t="shared" ref="O24:V24" si="7">O22-O23</f>
        <v>#REF!</v>
      </c>
      <c r="P24" s="41" t="e">
        <f t="shared" si="7"/>
        <v>#REF!</v>
      </c>
      <c r="Q24" s="40">
        <f>Q22-Q23</f>
        <v>0</v>
      </c>
      <c r="R24" s="40">
        <f t="shared" si="7"/>
        <v>0</v>
      </c>
      <c r="S24" s="40">
        <f>S22-S23</f>
        <v>0</v>
      </c>
      <c r="T24" s="40">
        <f t="shared" ref="T24" si="8">T22-T23</f>
        <v>0</v>
      </c>
      <c r="U24" s="40">
        <f t="shared" si="7"/>
        <v>0</v>
      </c>
      <c r="V24" s="40">
        <f t="shared" si="7"/>
        <v>0</v>
      </c>
      <c r="W24" s="40">
        <f>W22-W23</f>
        <v>28551</v>
      </c>
      <c r="X24" s="40">
        <f>X22-X23</f>
        <v>7675</v>
      </c>
      <c r="Y24" s="40">
        <f>Y22-Y23</f>
        <v>0</v>
      </c>
      <c r="Z24" s="42">
        <f t="shared" ref="Z24" si="9">Z22-Z23</f>
        <v>0</v>
      </c>
      <c r="AA24" s="41" t="e">
        <f t="shared" si="5"/>
        <v>#REF!</v>
      </c>
      <c r="AB24" s="40">
        <f>AB22-AB23</f>
        <v>20111</v>
      </c>
      <c r="AC24" s="40">
        <f>AC22-AC23</f>
        <v>5525</v>
      </c>
      <c r="AD24" s="40">
        <f>AD22-AD23</f>
        <v>15800</v>
      </c>
      <c r="AE24" s="40">
        <f>AE22-AE23</f>
        <v>1975</v>
      </c>
      <c r="AF24" s="41">
        <f>AF22-AF23</f>
        <v>250</v>
      </c>
      <c r="AG24" s="41" t="e">
        <f t="shared" si="5"/>
        <v>#REF!</v>
      </c>
      <c r="AH24" s="93">
        <f>AH22-AH23</f>
        <v>1217</v>
      </c>
      <c r="AI24" s="40">
        <f t="shared" si="5"/>
        <v>734</v>
      </c>
      <c r="AJ24" s="40">
        <f t="shared" si="5"/>
        <v>120</v>
      </c>
      <c r="AK24" s="41">
        <f t="shared" si="5"/>
        <v>1826</v>
      </c>
      <c r="AL24" s="41">
        <f t="shared" si="5"/>
        <v>8894</v>
      </c>
      <c r="AM24" s="41">
        <f t="shared" ref="AM24" si="10">AM22-AM23</f>
        <v>210</v>
      </c>
      <c r="AN24" s="41">
        <f t="shared" si="5"/>
        <v>10000</v>
      </c>
      <c r="AO24" s="41">
        <f>AO22-AO23</f>
        <v>491</v>
      </c>
      <c r="AP24" s="41">
        <f t="shared" si="5"/>
        <v>4125</v>
      </c>
      <c r="AQ24" s="40">
        <f t="shared" si="5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AB27" s="45" t="s">
        <v>56</v>
      </c>
      <c r="AJ27" s="45" t="s">
        <v>57</v>
      </c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B28" s="49"/>
      <c r="AD28" s="49"/>
      <c r="AE28" s="49"/>
      <c r="AI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B29" s="49"/>
      <c r="AD29" s="49"/>
      <c r="AE29" s="49"/>
      <c r="AI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B30" s="153" t="s">
        <v>107</v>
      </c>
      <c r="AC30" s="155"/>
      <c r="AD30" s="155"/>
      <c r="AE30" s="153"/>
      <c r="AF30" s="155"/>
      <c r="AH30" s="155"/>
      <c r="AI30" s="153"/>
      <c r="AJ30" s="156" t="s">
        <v>211</v>
      </c>
      <c r="AK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B31" s="157" t="s">
        <v>34</v>
      </c>
      <c r="AC31" s="155"/>
      <c r="AD31" s="155"/>
      <c r="AE31" s="154"/>
      <c r="AF31" s="154"/>
      <c r="AH31" s="155"/>
      <c r="AI31" s="157"/>
      <c r="AJ31" s="154" t="s">
        <v>212</v>
      </c>
      <c r="AK31" s="155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B32" s="157" t="s">
        <v>46</v>
      </c>
      <c r="AC32" s="155"/>
      <c r="AD32" s="155"/>
      <c r="AE32" s="154"/>
      <c r="AF32" s="154"/>
      <c r="AH32" s="155"/>
      <c r="AI32" s="157"/>
      <c r="AJ32" s="154" t="s">
        <v>46</v>
      </c>
      <c r="AK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B33" s="154" t="s">
        <v>51</v>
      </c>
      <c r="AC33" s="154"/>
      <c r="AD33" s="154"/>
      <c r="AE33" s="154"/>
      <c r="AF33" s="154"/>
      <c r="AH33" s="154"/>
      <c r="AI33" s="154"/>
      <c r="AJ33" s="159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7" zoomScale="70" zoomScaleNormal="70" workbookViewId="0">
      <selection activeCell="AE25" sqref="AE25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9.42578125" style="1" customWidth="1"/>
    <col min="36" max="36" width="22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218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289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 t="s">
        <v>214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90"/>
      <c r="AL18" s="290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46097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'3-9-15, 2026'!W24</f>
        <v>28551</v>
      </c>
      <c r="X20" s="21">
        <f>'3-9-15, 2026'!X24</f>
        <v>7675</v>
      </c>
      <c r="Y20" s="21">
        <f>'3-9-15, 2026'!Y24</f>
        <v>0</v>
      </c>
      <c r="Z20" s="21">
        <f>'3-9-15, 2026'!Z24</f>
        <v>0</v>
      </c>
      <c r="AA20" s="21" t="e">
        <f>'3-9-15, 2026'!AA24</f>
        <v>#REF!</v>
      </c>
      <c r="AB20" s="21">
        <f>'3-9-15, 2026'!AB24</f>
        <v>20111</v>
      </c>
      <c r="AC20" s="21">
        <f>'3-9-15, 2026'!AC24</f>
        <v>5525</v>
      </c>
      <c r="AD20" s="21">
        <f>'3-9-15, 2026'!AD24</f>
        <v>15800</v>
      </c>
      <c r="AE20" s="21">
        <f>'3-9-15, 2026'!AE24</f>
        <v>1975</v>
      </c>
      <c r="AF20" s="21">
        <f>'3-9-15, 2026'!AF24</f>
        <v>250</v>
      </c>
      <c r="AG20" s="21" t="e">
        <f>'3-9-15, 2026'!AG24</f>
        <v>#REF!</v>
      </c>
      <c r="AH20" s="21">
        <f>'3-9-15, 2026'!AH24</f>
        <v>1217</v>
      </c>
      <c r="AI20" s="21">
        <f>'3-9-15, 2026'!AI24</f>
        <v>734</v>
      </c>
      <c r="AJ20" s="21">
        <f>'3-9-15, 2026'!AJ24</f>
        <v>120</v>
      </c>
      <c r="AK20" s="21">
        <f>'3-9-15, 2026'!AK24</f>
        <v>1826</v>
      </c>
      <c r="AL20" s="21">
        <f>'3-9-15, 2026'!AL24</f>
        <v>8894</v>
      </c>
      <c r="AM20" s="21">
        <f>'3-9-15, 2026'!AM24</f>
        <v>210</v>
      </c>
      <c r="AN20" s="21">
        <f>'3-9-15, 2026'!AN24</f>
        <v>10000</v>
      </c>
      <c r="AO20" s="21">
        <f>'3-9-15, 2026'!AO24</f>
        <v>491</v>
      </c>
      <c r="AP20" s="21">
        <f>'3-9-15, 2026'!AP24</f>
        <v>4125</v>
      </c>
      <c r="AQ20" s="21">
        <f>'3-9-15, 2026'!AQ24</f>
        <v>0</v>
      </c>
      <c r="AR20" s="21">
        <f>'3-9-15,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>
        <v>2000</v>
      </c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28551</v>
      </c>
      <c r="X22" s="34">
        <f>X20+X21</f>
        <v>7675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20111</v>
      </c>
      <c r="AC22" s="34">
        <f>AC20+AC21</f>
        <v>5525</v>
      </c>
      <c r="AD22" s="34">
        <f t="shared" ref="AD22" si="3">AD20+AD21</f>
        <v>15800</v>
      </c>
      <c r="AE22" s="34">
        <f>AE20+AE21</f>
        <v>1975</v>
      </c>
      <c r="AF22" s="34">
        <f t="shared" si="0"/>
        <v>2250</v>
      </c>
      <c r="AG22" s="34" t="e">
        <f t="shared" si="0"/>
        <v>#REF!</v>
      </c>
      <c r="AH22" s="34">
        <f t="shared" si="0"/>
        <v>1217</v>
      </c>
      <c r="AI22" s="34">
        <f t="shared" si="0"/>
        <v>734</v>
      </c>
      <c r="AJ22" s="34">
        <f t="shared" si="0"/>
        <v>120</v>
      </c>
      <c r="AK22" s="34">
        <f t="shared" si="0"/>
        <v>1826</v>
      </c>
      <c r="AL22" s="34">
        <f t="shared" si="0"/>
        <v>8894</v>
      </c>
      <c r="AM22" s="34">
        <f t="shared" si="0"/>
        <v>210</v>
      </c>
      <c r="AN22" s="34">
        <f t="shared" si="0"/>
        <v>10000</v>
      </c>
      <c r="AO22" s="34">
        <f t="shared" si="0"/>
        <v>491</v>
      </c>
      <c r="AP22" s="34">
        <f t="shared" si="0"/>
        <v>4125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3162</v>
      </c>
      <c r="X23" s="22">
        <f>W23/93*25</f>
        <v>850</v>
      </c>
      <c r="Y23" s="22"/>
      <c r="Z23" s="24"/>
      <c r="AA23" s="30"/>
      <c r="AB23" s="30">
        <v>364</v>
      </c>
      <c r="AC23" s="22">
        <f>AB23/91*25</f>
        <v>100</v>
      </c>
      <c r="AD23" s="30">
        <v>0</v>
      </c>
      <c r="AE23" s="22">
        <f>AD23/200*25</f>
        <v>0</v>
      </c>
      <c r="AF23" s="30">
        <v>925</v>
      </c>
      <c r="AG23" s="30"/>
      <c r="AH23" s="36">
        <v>56</v>
      </c>
      <c r="AI23" s="22">
        <v>34</v>
      </c>
      <c r="AJ23" s="22">
        <v>20</v>
      </c>
      <c r="AK23" s="30">
        <v>0</v>
      </c>
      <c r="AL23" s="30">
        <v>469</v>
      </c>
      <c r="AM23" s="30">
        <v>0</v>
      </c>
      <c r="AN23" s="30">
        <v>0</v>
      </c>
      <c r="AO23" s="30">
        <v>215</v>
      </c>
      <c r="AP23" s="30">
        <v>450</v>
      </c>
      <c r="AQ23" s="22"/>
      <c r="AR23" s="38"/>
    </row>
    <row r="24" spans="2:55" s="3" customFormat="1" ht="100.5" customHeight="1" thickBot="1" x14ac:dyDescent="0.25">
      <c r="B24" s="39">
        <v>46103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25389</v>
      </c>
      <c r="X24" s="40">
        <f>X22-X23</f>
        <v>6825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19747</v>
      </c>
      <c r="AC24" s="40">
        <f>AC22-AC23</f>
        <v>5425</v>
      </c>
      <c r="AD24" s="40">
        <f>AD22-AD23</f>
        <v>15800</v>
      </c>
      <c r="AE24" s="40">
        <f>AE22-AE23</f>
        <v>1975</v>
      </c>
      <c r="AF24" s="41">
        <f>AF22-AF23</f>
        <v>1325</v>
      </c>
      <c r="AG24" s="41" t="e">
        <f t="shared" si="4"/>
        <v>#REF!</v>
      </c>
      <c r="AH24" s="93">
        <f>AH22-AH23</f>
        <v>1161</v>
      </c>
      <c r="AI24" s="40">
        <f t="shared" si="4"/>
        <v>700</v>
      </c>
      <c r="AJ24" s="40">
        <f t="shared" si="4"/>
        <v>100</v>
      </c>
      <c r="AK24" s="41">
        <f t="shared" si="4"/>
        <v>1826</v>
      </c>
      <c r="AL24" s="41">
        <f t="shared" si="4"/>
        <v>8425</v>
      </c>
      <c r="AM24" s="41">
        <f t="shared" si="4"/>
        <v>210</v>
      </c>
      <c r="AN24" s="41">
        <f t="shared" si="4"/>
        <v>10000</v>
      </c>
      <c r="AO24" s="41">
        <f>AO22-AO23</f>
        <v>276</v>
      </c>
      <c r="AP24" s="41">
        <f t="shared" si="4"/>
        <v>3675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AB27" s="45" t="s">
        <v>56</v>
      </c>
      <c r="AJ27" s="45" t="s">
        <v>57</v>
      </c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B28" s="49"/>
      <c r="AD28" s="49"/>
      <c r="AE28" s="49"/>
      <c r="AI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B29" s="49"/>
      <c r="AD29" s="49"/>
      <c r="AE29" s="49"/>
      <c r="AI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B30" s="153" t="s">
        <v>31</v>
      </c>
      <c r="AC30" s="155"/>
      <c r="AD30" s="155"/>
      <c r="AE30" s="153"/>
      <c r="AF30" s="155"/>
      <c r="AH30" s="155"/>
      <c r="AI30" s="153"/>
      <c r="AJ30" s="156" t="s">
        <v>211</v>
      </c>
      <c r="AK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B31" s="157" t="s">
        <v>64</v>
      </c>
      <c r="AC31" s="155"/>
      <c r="AD31" s="155"/>
      <c r="AE31" s="154"/>
      <c r="AF31" s="154"/>
      <c r="AH31" s="155"/>
      <c r="AI31" s="157"/>
      <c r="AJ31" s="154" t="s">
        <v>212</v>
      </c>
      <c r="AK31" s="155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B32" s="157" t="s">
        <v>46</v>
      </c>
      <c r="AC32" s="155"/>
      <c r="AD32" s="155"/>
      <c r="AE32" s="154"/>
      <c r="AF32" s="154"/>
      <c r="AH32" s="155"/>
      <c r="AI32" s="157"/>
      <c r="AJ32" s="154" t="s">
        <v>46</v>
      </c>
      <c r="AK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B33" s="154" t="s">
        <v>65</v>
      </c>
      <c r="AC33" s="154"/>
      <c r="AD33" s="154"/>
      <c r="AE33" s="154"/>
      <c r="AF33" s="154"/>
      <c r="AH33" s="154"/>
      <c r="AI33" s="154"/>
      <c r="AJ33" s="159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25" zoomScale="70" zoomScaleNormal="70" workbookViewId="0">
      <selection activeCell="AJ16" sqref="AJ16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9.42578125" style="1" customWidth="1"/>
    <col min="36" max="36" width="22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219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291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 t="s">
        <v>214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92"/>
      <c r="AL18" s="292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46104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'3-16-22, 2026'!W24</f>
        <v>25389</v>
      </c>
      <c r="X20" s="21">
        <f>'3-16-22, 2026'!X24</f>
        <v>6825</v>
      </c>
      <c r="Y20" s="21">
        <f>'3-16-22, 2026'!Y24</f>
        <v>0</v>
      </c>
      <c r="Z20" s="21">
        <f>'3-16-22, 2026'!Z24</f>
        <v>0</v>
      </c>
      <c r="AA20" s="21" t="e">
        <f>'3-16-22, 2026'!AA24</f>
        <v>#REF!</v>
      </c>
      <c r="AB20" s="21">
        <f>'3-16-22, 2026'!AB24</f>
        <v>19747</v>
      </c>
      <c r="AC20" s="21">
        <f>'3-16-22, 2026'!AC24</f>
        <v>5425</v>
      </c>
      <c r="AD20" s="21">
        <f>'3-16-22, 2026'!AD24</f>
        <v>15800</v>
      </c>
      <c r="AE20" s="21">
        <f>'3-16-22, 2026'!AE24</f>
        <v>1975</v>
      </c>
      <c r="AF20" s="21">
        <f>'3-16-22, 2026'!AF24</f>
        <v>1325</v>
      </c>
      <c r="AG20" s="21" t="e">
        <f>'3-16-22, 2026'!AG24</f>
        <v>#REF!</v>
      </c>
      <c r="AH20" s="21">
        <f>'3-16-22, 2026'!AH24</f>
        <v>1161</v>
      </c>
      <c r="AI20" s="21">
        <f>'3-16-22, 2026'!AI24</f>
        <v>700</v>
      </c>
      <c r="AJ20" s="21">
        <f>'3-16-22, 2026'!AJ24</f>
        <v>100</v>
      </c>
      <c r="AK20" s="21">
        <f>'3-16-22, 2026'!AK24</f>
        <v>1826</v>
      </c>
      <c r="AL20" s="21">
        <f>'3-16-22, 2026'!AL24</f>
        <v>8425</v>
      </c>
      <c r="AM20" s="21">
        <f>'3-16-22, 2026'!AM24</f>
        <v>210</v>
      </c>
      <c r="AN20" s="21">
        <f>'3-16-22, 2026'!AN24</f>
        <v>10000</v>
      </c>
      <c r="AO20" s="21">
        <f>'3-16-22, 2026'!AO24</f>
        <v>276</v>
      </c>
      <c r="AP20" s="21">
        <f>'3-16-22, 2026'!AP24</f>
        <v>3675</v>
      </c>
      <c r="AQ20" s="21">
        <f>'3-16-22, 2026'!AQ24</f>
        <v>0</v>
      </c>
      <c r="AR20" s="21">
        <f>'3-16-22,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25389</v>
      </c>
      <c r="X22" s="34">
        <f>X20+X21</f>
        <v>6825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19747</v>
      </c>
      <c r="AC22" s="34">
        <f>AC20+AC21</f>
        <v>5425</v>
      </c>
      <c r="AD22" s="34">
        <f t="shared" ref="AD22" si="3">AD20+AD21</f>
        <v>15800</v>
      </c>
      <c r="AE22" s="34">
        <f>AE20+AE21</f>
        <v>1975</v>
      </c>
      <c r="AF22" s="34">
        <f t="shared" si="0"/>
        <v>1325</v>
      </c>
      <c r="AG22" s="34" t="e">
        <f t="shared" si="0"/>
        <v>#REF!</v>
      </c>
      <c r="AH22" s="34">
        <f t="shared" si="0"/>
        <v>1161</v>
      </c>
      <c r="AI22" s="34">
        <f t="shared" si="0"/>
        <v>700</v>
      </c>
      <c r="AJ22" s="34">
        <f t="shared" si="0"/>
        <v>100</v>
      </c>
      <c r="AK22" s="34">
        <f t="shared" si="0"/>
        <v>1826</v>
      </c>
      <c r="AL22" s="34">
        <f t="shared" si="0"/>
        <v>8425</v>
      </c>
      <c r="AM22" s="34">
        <f t="shared" si="0"/>
        <v>210</v>
      </c>
      <c r="AN22" s="34">
        <f t="shared" si="0"/>
        <v>10000</v>
      </c>
      <c r="AO22" s="34">
        <f t="shared" si="0"/>
        <v>276</v>
      </c>
      <c r="AP22" s="34">
        <f t="shared" si="0"/>
        <v>3675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4092</v>
      </c>
      <c r="X23" s="22">
        <f>W23/93*25</f>
        <v>1100</v>
      </c>
      <c r="Y23" s="22"/>
      <c r="Z23" s="24"/>
      <c r="AA23" s="30"/>
      <c r="AB23" s="30">
        <v>0</v>
      </c>
      <c r="AC23" s="22">
        <f>AB23/91*25</f>
        <v>0</v>
      </c>
      <c r="AD23" s="30">
        <v>0</v>
      </c>
      <c r="AE23" s="22">
        <f>AD23/200*25</f>
        <v>0</v>
      </c>
      <c r="AF23" s="30">
        <v>300</v>
      </c>
      <c r="AG23" s="30"/>
      <c r="AH23" s="36">
        <v>72</v>
      </c>
      <c r="AI23" s="22">
        <v>43</v>
      </c>
      <c r="AJ23" s="22">
        <v>85</v>
      </c>
      <c r="AK23" s="30">
        <v>0</v>
      </c>
      <c r="AL23" s="30">
        <v>441</v>
      </c>
      <c r="AM23" s="30">
        <v>0</v>
      </c>
      <c r="AN23" s="30">
        <v>60</v>
      </c>
      <c r="AO23" s="30">
        <v>160</v>
      </c>
      <c r="AP23" s="30">
        <v>225</v>
      </c>
      <c r="AQ23" s="22"/>
      <c r="AR23" s="38">
        <v>0</v>
      </c>
    </row>
    <row r="24" spans="2:55" s="3" customFormat="1" ht="100.5" customHeight="1" thickBot="1" x14ac:dyDescent="0.25">
      <c r="B24" s="39">
        <v>46110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21297</v>
      </c>
      <c r="X24" s="40">
        <f>X22-X23</f>
        <v>5725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19747</v>
      </c>
      <c r="AC24" s="40">
        <f>AC22-AC23</f>
        <v>5425</v>
      </c>
      <c r="AD24" s="40">
        <f>AD22-AD23</f>
        <v>15800</v>
      </c>
      <c r="AE24" s="40">
        <f>AE22-AE23</f>
        <v>1975</v>
      </c>
      <c r="AF24" s="41">
        <f>AF22-AF23</f>
        <v>1025</v>
      </c>
      <c r="AG24" s="41" t="e">
        <f t="shared" si="4"/>
        <v>#REF!</v>
      </c>
      <c r="AH24" s="93">
        <f>AH22-AH23</f>
        <v>1089</v>
      </c>
      <c r="AI24" s="40">
        <f t="shared" si="4"/>
        <v>657</v>
      </c>
      <c r="AJ24" s="40">
        <f t="shared" si="4"/>
        <v>15</v>
      </c>
      <c r="AK24" s="41">
        <f t="shared" si="4"/>
        <v>1826</v>
      </c>
      <c r="AL24" s="41">
        <f t="shared" si="4"/>
        <v>7984</v>
      </c>
      <c r="AM24" s="41">
        <f t="shared" si="4"/>
        <v>210</v>
      </c>
      <c r="AN24" s="41">
        <f t="shared" si="4"/>
        <v>9940</v>
      </c>
      <c r="AO24" s="41">
        <f>AO22-AO23</f>
        <v>116</v>
      </c>
      <c r="AP24" s="41">
        <f t="shared" si="4"/>
        <v>3450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AB27" s="45" t="s">
        <v>56</v>
      </c>
      <c r="AJ27" s="45" t="s">
        <v>57</v>
      </c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B28" s="49"/>
      <c r="AD28" s="49"/>
      <c r="AE28" s="49"/>
      <c r="AI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B29" s="49"/>
      <c r="AD29" s="49"/>
      <c r="AE29" s="49"/>
      <c r="AI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B30" s="153" t="s">
        <v>31</v>
      </c>
      <c r="AC30" s="155"/>
      <c r="AD30" s="155"/>
      <c r="AE30" s="153"/>
      <c r="AF30" s="155"/>
      <c r="AH30" s="155"/>
      <c r="AI30" s="153"/>
      <c r="AJ30" s="156" t="s">
        <v>211</v>
      </c>
      <c r="AK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B31" s="157" t="s">
        <v>64</v>
      </c>
      <c r="AC31" s="155"/>
      <c r="AD31" s="155"/>
      <c r="AE31" s="154"/>
      <c r="AF31" s="154"/>
      <c r="AH31" s="155"/>
      <c r="AI31" s="157"/>
      <c r="AJ31" s="154" t="s">
        <v>212</v>
      </c>
      <c r="AK31" s="155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B32" s="157" t="s">
        <v>46</v>
      </c>
      <c r="AC32" s="155"/>
      <c r="AD32" s="155"/>
      <c r="AE32" s="154"/>
      <c r="AF32" s="154"/>
      <c r="AH32" s="155"/>
      <c r="AI32" s="157"/>
      <c r="AJ32" s="154" t="s">
        <v>46</v>
      </c>
      <c r="AK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B33" s="154" t="s">
        <v>65</v>
      </c>
      <c r="AC33" s="154"/>
      <c r="AD33" s="154"/>
      <c r="AE33" s="154"/>
      <c r="AF33" s="154"/>
      <c r="AH33" s="154"/>
      <c r="AI33" s="154"/>
      <c r="AJ33" s="159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19" zoomScale="70" zoomScaleNormal="70" workbookViewId="0">
      <selection activeCell="AB33" sqref="AB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9.42578125" style="1" customWidth="1"/>
    <col min="36" max="36" width="22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220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293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 t="s">
        <v>214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94"/>
      <c r="AL18" s="294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46111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'3-23-29, 2026'!W24</f>
        <v>21297</v>
      </c>
      <c r="X20" s="21">
        <f>'3-23-29, 2026'!X24</f>
        <v>5725</v>
      </c>
      <c r="Y20" s="21">
        <f>'3-23-29, 2026'!Y24</f>
        <v>0</v>
      </c>
      <c r="Z20" s="21">
        <f>'3-23-29, 2026'!Z24</f>
        <v>0</v>
      </c>
      <c r="AA20" s="21" t="e">
        <f>'3-23-29, 2026'!AA24</f>
        <v>#REF!</v>
      </c>
      <c r="AB20" s="21">
        <f>'3-23-29, 2026'!AB24</f>
        <v>19747</v>
      </c>
      <c r="AC20" s="21">
        <f>'3-23-29, 2026'!AC24</f>
        <v>5425</v>
      </c>
      <c r="AD20" s="21">
        <f>'3-23-29, 2026'!AD24</f>
        <v>15800</v>
      </c>
      <c r="AE20" s="21">
        <f>'3-23-29, 2026'!AE24</f>
        <v>1975</v>
      </c>
      <c r="AF20" s="21">
        <f>'3-23-29, 2026'!AF24</f>
        <v>1025</v>
      </c>
      <c r="AG20" s="21" t="e">
        <f>'3-23-29, 2026'!AG24</f>
        <v>#REF!</v>
      </c>
      <c r="AH20" s="21">
        <f>'3-23-29, 2026'!AH24</f>
        <v>1089</v>
      </c>
      <c r="AI20" s="21">
        <f>'3-23-29, 2026'!AI24</f>
        <v>657</v>
      </c>
      <c r="AJ20" s="21">
        <f>'3-23-29, 2026'!AJ24</f>
        <v>15</v>
      </c>
      <c r="AK20" s="21">
        <f>'3-23-29, 2026'!AK24</f>
        <v>1826</v>
      </c>
      <c r="AL20" s="21">
        <f>'3-23-29, 2026'!AL24</f>
        <v>7984</v>
      </c>
      <c r="AM20" s="21">
        <f>'3-23-29, 2026'!AM24</f>
        <v>210</v>
      </c>
      <c r="AN20" s="21">
        <f>'3-23-29, 2026'!AN24</f>
        <v>9940</v>
      </c>
      <c r="AO20" s="21">
        <f>'3-23-29, 2026'!AO24</f>
        <v>116</v>
      </c>
      <c r="AP20" s="21">
        <f>'3-23-29, 2026'!AP24</f>
        <v>3450</v>
      </c>
      <c r="AQ20" s="21">
        <f>'3-23-29, 2026'!AQ24</f>
        <v>0</v>
      </c>
      <c r="AR20" s="21">
        <f>'3-23-29,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21297</v>
      </c>
      <c r="X22" s="34">
        <f>X20+X21</f>
        <v>5725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19747</v>
      </c>
      <c r="AC22" s="34">
        <f>AC20+AC21</f>
        <v>5425</v>
      </c>
      <c r="AD22" s="34">
        <f t="shared" ref="AD22" si="3">AD20+AD21</f>
        <v>15800</v>
      </c>
      <c r="AE22" s="34">
        <f>AE20+AE21</f>
        <v>1975</v>
      </c>
      <c r="AF22" s="34">
        <f t="shared" si="0"/>
        <v>1025</v>
      </c>
      <c r="AG22" s="34" t="e">
        <f t="shared" si="0"/>
        <v>#REF!</v>
      </c>
      <c r="AH22" s="34">
        <f t="shared" si="0"/>
        <v>1089</v>
      </c>
      <c r="AI22" s="34">
        <f t="shared" si="0"/>
        <v>657</v>
      </c>
      <c r="AJ22" s="34">
        <f t="shared" si="0"/>
        <v>15</v>
      </c>
      <c r="AK22" s="34">
        <f t="shared" si="0"/>
        <v>1826</v>
      </c>
      <c r="AL22" s="34">
        <f t="shared" si="0"/>
        <v>7984</v>
      </c>
      <c r="AM22" s="34">
        <f t="shared" si="0"/>
        <v>210</v>
      </c>
      <c r="AN22" s="34">
        <f t="shared" si="0"/>
        <v>9940</v>
      </c>
      <c r="AO22" s="34">
        <f t="shared" si="0"/>
        <v>116</v>
      </c>
      <c r="AP22" s="34">
        <f t="shared" si="0"/>
        <v>3450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1581</v>
      </c>
      <c r="X23" s="22">
        <f>W23/93*25</f>
        <v>425</v>
      </c>
      <c r="Y23" s="22"/>
      <c r="Z23" s="24"/>
      <c r="AA23" s="30"/>
      <c r="AB23" s="30">
        <v>0</v>
      </c>
      <c r="AC23" s="22">
        <f>AB23/91*25</f>
        <v>0</v>
      </c>
      <c r="AD23" s="30">
        <v>200</v>
      </c>
      <c r="AE23" s="22">
        <f>AD23/200*25</f>
        <v>25</v>
      </c>
      <c r="AF23" s="30">
        <v>150</v>
      </c>
      <c r="AG23" s="30"/>
      <c r="AH23" s="36">
        <v>34</v>
      </c>
      <c r="AI23" s="22">
        <v>22</v>
      </c>
      <c r="AJ23" s="22">
        <v>15</v>
      </c>
      <c r="AK23" s="30">
        <v>35</v>
      </c>
      <c r="AL23" s="30">
        <v>185</v>
      </c>
      <c r="AM23" s="30">
        <v>10</v>
      </c>
      <c r="AN23" s="30">
        <v>105</v>
      </c>
      <c r="AO23" s="30">
        <v>116</v>
      </c>
      <c r="AP23" s="30">
        <v>150</v>
      </c>
      <c r="AQ23" s="22"/>
      <c r="AR23" s="38">
        <v>0</v>
      </c>
    </row>
    <row r="24" spans="2:55" s="3" customFormat="1" ht="100.5" customHeight="1" thickBot="1" x14ac:dyDescent="0.25">
      <c r="B24" s="39">
        <v>46117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19716</v>
      </c>
      <c r="X24" s="40">
        <f>X22-X23</f>
        <v>5300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19747</v>
      </c>
      <c r="AC24" s="40">
        <f>AC22-AC23</f>
        <v>5425</v>
      </c>
      <c r="AD24" s="40">
        <f>AD22-AD23</f>
        <v>15600</v>
      </c>
      <c r="AE24" s="40">
        <f>AE22-AE23</f>
        <v>1950</v>
      </c>
      <c r="AF24" s="41">
        <f>AF22-AF23</f>
        <v>875</v>
      </c>
      <c r="AG24" s="41" t="e">
        <f t="shared" si="4"/>
        <v>#REF!</v>
      </c>
      <c r="AH24" s="93">
        <f>AH22-AH23</f>
        <v>1055</v>
      </c>
      <c r="AI24" s="40">
        <f t="shared" si="4"/>
        <v>635</v>
      </c>
      <c r="AJ24" s="40">
        <f t="shared" si="4"/>
        <v>0</v>
      </c>
      <c r="AK24" s="41">
        <f t="shared" si="4"/>
        <v>1791</v>
      </c>
      <c r="AL24" s="41">
        <f t="shared" si="4"/>
        <v>7799</v>
      </c>
      <c r="AM24" s="41">
        <f t="shared" si="4"/>
        <v>200</v>
      </c>
      <c r="AN24" s="41">
        <f t="shared" si="4"/>
        <v>9835</v>
      </c>
      <c r="AO24" s="41">
        <f>AO22-AO23</f>
        <v>0</v>
      </c>
      <c r="AP24" s="41">
        <f t="shared" si="4"/>
        <v>3300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AB27" s="45" t="s">
        <v>56</v>
      </c>
      <c r="AJ27" s="45" t="s">
        <v>57</v>
      </c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B28" s="49"/>
      <c r="AD28" s="49"/>
      <c r="AE28" s="49"/>
      <c r="AI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B29" s="49"/>
      <c r="AD29" s="49"/>
      <c r="AE29" s="49"/>
      <c r="AI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B30" s="153" t="s">
        <v>31</v>
      </c>
      <c r="AC30" s="155"/>
      <c r="AD30" s="155"/>
      <c r="AE30" s="153"/>
      <c r="AF30" s="155"/>
      <c r="AH30" s="155"/>
      <c r="AI30" s="153"/>
      <c r="AJ30" s="156" t="s">
        <v>211</v>
      </c>
      <c r="AK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B31" s="157" t="s">
        <v>64</v>
      </c>
      <c r="AC31" s="155"/>
      <c r="AD31" s="155"/>
      <c r="AE31" s="154"/>
      <c r="AF31" s="154"/>
      <c r="AH31" s="155"/>
      <c r="AI31" s="157"/>
      <c r="AJ31" s="154" t="s">
        <v>212</v>
      </c>
      <c r="AK31" s="155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B32" s="157" t="s">
        <v>46</v>
      </c>
      <c r="AC32" s="155"/>
      <c r="AD32" s="155"/>
      <c r="AE32" s="154"/>
      <c r="AF32" s="154"/>
      <c r="AH32" s="155"/>
      <c r="AI32" s="157"/>
      <c r="AJ32" s="154" t="s">
        <v>46</v>
      </c>
      <c r="AK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B33" s="154" t="s">
        <v>65</v>
      </c>
      <c r="AC33" s="154"/>
      <c r="AD33" s="154"/>
      <c r="AE33" s="154"/>
      <c r="AF33" s="154"/>
      <c r="AH33" s="154"/>
      <c r="AI33" s="154"/>
      <c r="AJ33" s="159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19" zoomScale="70" zoomScaleNormal="70" workbookViewId="0">
      <selection activeCell="AC33" sqref="AC3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9.42578125" style="1" customWidth="1"/>
    <col min="36" max="36" width="22.140625" style="1" hidden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hidden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221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295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11" t="s">
        <v>214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96"/>
      <c r="AL18" s="296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46118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'3-30-4-5, 2026'!W24</f>
        <v>19716</v>
      </c>
      <c r="X20" s="21">
        <f>'3-30-4-5, 2026'!X24</f>
        <v>5300</v>
      </c>
      <c r="Y20" s="21">
        <f>'3-30-4-5, 2026'!Y24</f>
        <v>0</v>
      </c>
      <c r="Z20" s="21">
        <f>'3-30-4-5, 2026'!Z24</f>
        <v>0</v>
      </c>
      <c r="AA20" s="21" t="e">
        <f>'3-30-4-5, 2026'!AA24</f>
        <v>#REF!</v>
      </c>
      <c r="AB20" s="21">
        <f>'3-30-4-5, 2026'!AB24</f>
        <v>19747</v>
      </c>
      <c r="AC20" s="21">
        <f>'3-30-4-5, 2026'!AC24</f>
        <v>5425</v>
      </c>
      <c r="AD20" s="21">
        <f>'3-30-4-5, 2026'!AD24</f>
        <v>15600</v>
      </c>
      <c r="AE20" s="21">
        <f>'3-30-4-5, 2026'!AE24</f>
        <v>1950</v>
      </c>
      <c r="AF20" s="21">
        <f>'3-30-4-5, 2026'!AF24</f>
        <v>875</v>
      </c>
      <c r="AG20" s="21" t="e">
        <f>'3-30-4-5, 2026'!AG24</f>
        <v>#REF!</v>
      </c>
      <c r="AH20" s="21">
        <f>'3-30-4-5, 2026'!AH24</f>
        <v>1055</v>
      </c>
      <c r="AI20" s="21">
        <f>'3-30-4-5, 2026'!AI24</f>
        <v>635</v>
      </c>
      <c r="AJ20" s="21">
        <f>'3-30-4-5, 2026'!AJ24</f>
        <v>0</v>
      </c>
      <c r="AK20" s="21">
        <f>'3-30-4-5, 2026'!AK24</f>
        <v>1791</v>
      </c>
      <c r="AL20" s="21">
        <f>'3-30-4-5, 2026'!AL24</f>
        <v>7799</v>
      </c>
      <c r="AM20" s="21">
        <f>'3-30-4-5, 2026'!AM24</f>
        <v>200</v>
      </c>
      <c r="AN20" s="21">
        <f>'3-30-4-5, 2026'!AN24</f>
        <v>9835</v>
      </c>
      <c r="AO20" s="21">
        <f>'3-30-4-5, 2026'!AO24</f>
        <v>0</v>
      </c>
      <c r="AP20" s="21">
        <f>'3-30-4-5, 2026'!AP24</f>
        <v>3300</v>
      </c>
      <c r="AQ20" s="21">
        <f>'3-30-4-5, 2026'!AQ24</f>
        <v>0</v>
      </c>
      <c r="AR20" s="21">
        <f>'3-30-4-5,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19716</v>
      </c>
      <c r="X22" s="34">
        <f>X20+X21</f>
        <v>5300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19747</v>
      </c>
      <c r="AC22" s="34">
        <f>AC20+AC21</f>
        <v>5425</v>
      </c>
      <c r="AD22" s="34">
        <f t="shared" ref="AD22" si="3">AD20+AD21</f>
        <v>15600</v>
      </c>
      <c r="AE22" s="34">
        <f>AE20+AE21</f>
        <v>1950</v>
      </c>
      <c r="AF22" s="34">
        <f t="shared" si="0"/>
        <v>875</v>
      </c>
      <c r="AG22" s="34" t="e">
        <f t="shared" si="0"/>
        <v>#REF!</v>
      </c>
      <c r="AH22" s="34">
        <f t="shared" si="0"/>
        <v>1055</v>
      </c>
      <c r="AI22" s="34">
        <f t="shared" si="0"/>
        <v>635</v>
      </c>
      <c r="AJ22" s="34">
        <f t="shared" si="0"/>
        <v>0</v>
      </c>
      <c r="AK22" s="34">
        <f t="shared" si="0"/>
        <v>1791</v>
      </c>
      <c r="AL22" s="34">
        <f t="shared" si="0"/>
        <v>7799</v>
      </c>
      <c r="AM22" s="34">
        <f t="shared" si="0"/>
        <v>200</v>
      </c>
      <c r="AN22" s="34">
        <f t="shared" si="0"/>
        <v>9835</v>
      </c>
      <c r="AO22" s="34">
        <f t="shared" si="0"/>
        <v>0</v>
      </c>
      <c r="AP22" s="34">
        <f t="shared" si="0"/>
        <v>3300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4185</v>
      </c>
      <c r="X23" s="22">
        <f>W23/93*25</f>
        <v>1125</v>
      </c>
      <c r="Y23" s="22"/>
      <c r="Z23" s="24"/>
      <c r="AA23" s="30"/>
      <c r="AB23" s="30">
        <v>1547</v>
      </c>
      <c r="AC23" s="22">
        <f>AB23/91*25</f>
        <v>425</v>
      </c>
      <c r="AD23" s="30">
        <v>0</v>
      </c>
      <c r="AE23" s="22">
        <f>AD23/200*25</f>
        <v>0</v>
      </c>
      <c r="AF23" s="30">
        <v>800</v>
      </c>
      <c r="AG23" s="30"/>
      <c r="AH23" s="36">
        <v>55</v>
      </c>
      <c r="AI23" s="22">
        <v>59</v>
      </c>
      <c r="AJ23" s="22"/>
      <c r="AK23" s="30">
        <v>0</v>
      </c>
      <c r="AL23" s="30">
        <v>740</v>
      </c>
      <c r="AM23" s="30">
        <v>80</v>
      </c>
      <c r="AN23" s="30">
        <v>315</v>
      </c>
      <c r="AO23" s="30"/>
      <c r="AP23" s="30">
        <v>300</v>
      </c>
      <c r="AQ23" s="22"/>
      <c r="AR23" s="38"/>
    </row>
    <row r="24" spans="2:55" s="3" customFormat="1" ht="100.5" customHeight="1" thickBot="1" x14ac:dyDescent="0.25">
      <c r="B24" s="39">
        <v>46124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15531</v>
      </c>
      <c r="X24" s="40">
        <f>X22-X23</f>
        <v>4175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18200</v>
      </c>
      <c r="AC24" s="40">
        <f>AC22-AC23</f>
        <v>5000</v>
      </c>
      <c r="AD24" s="40">
        <f>AD22-AD23</f>
        <v>15600</v>
      </c>
      <c r="AE24" s="40">
        <f>AE22-AE23</f>
        <v>1950</v>
      </c>
      <c r="AF24" s="41">
        <f>AF22-AF23</f>
        <v>75</v>
      </c>
      <c r="AG24" s="41" t="e">
        <f t="shared" si="4"/>
        <v>#REF!</v>
      </c>
      <c r="AH24" s="93">
        <f>AH22-AH23</f>
        <v>1000</v>
      </c>
      <c r="AI24" s="40">
        <f t="shared" si="4"/>
        <v>576</v>
      </c>
      <c r="AJ24" s="40">
        <f t="shared" si="4"/>
        <v>0</v>
      </c>
      <c r="AK24" s="41">
        <f t="shared" si="4"/>
        <v>1791</v>
      </c>
      <c r="AL24" s="41">
        <f t="shared" si="4"/>
        <v>7059</v>
      </c>
      <c r="AM24" s="41">
        <f t="shared" si="4"/>
        <v>120</v>
      </c>
      <c r="AN24" s="41">
        <f t="shared" si="4"/>
        <v>9520</v>
      </c>
      <c r="AO24" s="41">
        <f>AO22-AO23</f>
        <v>0</v>
      </c>
      <c r="AP24" s="41">
        <f t="shared" si="4"/>
        <v>3000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AC27" s="45" t="s">
        <v>56</v>
      </c>
      <c r="AL27" s="45" t="s">
        <v>57</v>
      </c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C28" s="49"/>
      <c r="AE28" s="49"/>
      <c r="AF28" s="49"/>
      <c r="AI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C29" s="49"/>
      <c r="AE29" s="49"/>
      <c r="AF29" s="49"/>
      <c r="AI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C30" s="153" t="s">
        <v>31</v>
      </c>
      <c r="AD30" s="155"/>
      <c r="AE30" s="155"/>
      <c r="AF30" s="153"/>
      <c r="AG30" s="155"/>
      <c r="AH30" s="155"/>
      <c r="AI30" s="153"/>
      <c r="AL30" s="156" t="s">
        <v>211</v>
      </c>
      <c r="AM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C31" s="157" t="s">
        <v>64</v>
      </c>
      <c r="AD31" s="155"/>
      <c r="AE31" s="155"/>
      <c r="AF31" s="154"/>
      <c r="AG31" s="154"/>
      <c r="AH31" s="155"/>
      <c r="AI31" s="157"/>
      <c r="AL31" s="154" t="s">
        <v>212</v>
      </c>
      <c r="AM31" s="155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C32" s="157" t="s">
        <v>46</v>
      </c>
      <c r="AD32" s="155"/>
      <c r="AE32" s="155"/>
      <c r="AF32" s="154"/>
      <c r="AG32" s="154"/>
      <c r="AH32" s="155"/>
      <c r="AI32" s="157"/>
      <c r="AL32" s="154" t="s">
        <v>46</v>
      </c>
      <c r="AM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C33" s="154" t="s">
        <v>65</v>
      </c>
      <c r="AD33" s="154"/>
      <c r="AE33" s="154"/>
      <c r="AF33" s="154"/>
      <c r="AG33" s="154"/>
      <c r="AH33" s="154"/>
      <c r="AI33" s="154"/>
      <c r="AJ33" s="159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22" zoomScale="70" zoomScaleNormal="70" workbookViewId="0">
      <selection activeCell="AH28" sqref="AH28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9.42578125" style="1" customWidth="1"/>
    <col min="36" max="36" width="23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hidden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222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297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299" t="s">
        <v>223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298"/>
      <c r="AL18" s="298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46125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'4-6-12, 2026'!W24</f>
        <v>15531</v>
      </c>
      <c r="X20" s="21">
        <f>'4-6-12, 2026'!X24</f>
        <v>4175</v>
      </c>
      <c r="Y20" s="21">
        <f>'4-6-12, 2026'!Y24</f>
        <v>0</v>
      </c>
      <c r="Z20" s="21">
        <f>'4-6-12, 2026'!Z24</f>
        <v>0</v>
      </c>
      <c r="AA20" s="21" t="e">
        <f>'4-6-12, 2026'!AA24</f>
        <v>#REF!</v>
      </c>
      <c r="AB20" s="21">
        <f>'4-6-12, 2026'!AB24</f>
        <v>18200</v>
      </c>
      <c r="AC20" s="21">
        <f>'4-6-12, 2026'!AC24</f>
        <v>5000</v>
      </c>
      <c r="AD20" s="21">
        <f>'4-6-12, 2026'!AD24</f>
        <v>15600</v>
      </c>
      <c r="AE20" s="21">
        <f>'4-6-12, 2026'!AE24</f>
        <v>1950</v>
      </c>
      <c r="AF20" s="21">
        <f>'4-6-12, 2026'!AF24</f>
        <v>75</v>
      </c>
      <c r="AG20" s="21" t="e">
        <f>'4-6-12, 2026'!AG24</f>
        <v>#REF!</v>
      </c>
      <c r="AH20" s="21">
        <f>'4-6-12, 2026'!AH24</f>
        <v>1000</v>
      </c>
      <c r="AI20" s="21">
        <f>'4-6-12, 2026'!AI24</f>
        <v>576</v>
      </c>
      <c r="AJ20" s="21">
        <f>'4-6-12, 2026'!AJ24</f>
        <v>0</v>
      </c>
      <c r="AK20" s="21">
        <f>'4-6-12, 2026'!AK24</f>
        <v>1791</v>
      </c>
      <c r="AL20" s="21">
        <f>'4-6-12, 2026'!AL24</f>
        <v>7059</v>
      </c>
      <c r="AM20" s="21">
        <f>'4-6-12, 2026'!AM24</f>
        <v>120</v>
      </c>
      <c r="AN20" s="21">
        <f>'4-6-12, 2026'!AN24</f>
        <v>9520</v>
      </c>
      <c r="AO20" s="21">
        <f>'4-6-12, 2026'!AO24</f>
        <v>0</v>
      </c>
      <c r="AP20" s="21">
        <f>'4-6-12, 2026'!AP24</f>
        <v>3000</v>
      </c>
      <c r="AQ20" s="21">
        <f>'4-6-12, 2026'!AQ24</f>
        <v>0</v>
      </c>
      <c r="AR20" s="21">
        <f>'4-6-12,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>
        <v>7280</v>
      </c>
      <c r="AC21" s="22">
        <f>AB21/91*25</f>
        <v>2000</v>
      </c>
      <c r="AD21" s="23"/>
      <c r="AE21" s="22">
        <f>AD21/91*25</f>
        <v>0</v>
      </c>
      <c r="AF21" s="23">
        <v>5525</v>
      </c>
      <c r="AG21" s="23"/>
      <c r="AH21" s="23"/>
      <c r="AI21" s="23">
        <v>490</v>
      </c>
      <c r="AJ21" s="23">
        <v>200</v>
      </c>
      <c r="AK21" s="23"/>
      <c r="AL21" s="23">
        <v>6380</v>
      </c>
      <c r="AM21" s="31">
        <v>210</v>
      </c>
      <c r="AN21" s="31"/>
      <c r="AO21" s="31"/>
      <c r="AP21" s="31">
        <v>3000</v>
      </c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15531</v>
      </c>
      <c r="X22" s="34">
        <f>X20+X21</f>
        <v>4175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25480</v>
      </c>
      <c r="AC22" s="34">
        <f>AC20+AC21</f>
        <v>7000</v>
      </c>
      <c r="AD22" s="34">
        <f t="shared" ref="AD22" si="3">AD20+AD21</f>
        <v>15600</v>
      </c>
      <c r="AE22" s="34">
        <f>AE20+AE21</f>
        <v>1950</v>
      </c>
      <c r="AF22" s="34">
        <f t="shared" si="0"/>
        <v>5600</v>
      </c>
      <c r="AG22" s="34" t="e">
        <f t="shared" si="0"/>
        <v>#REF!</v>
      </c>
      <c r="AH22" s="34">
        <f t="shared" si="0"/>
        <v>1000</v>
      </c>
      <c r="AI22" s="34">
        <f t="shared" si="0"/>
        <v>1066</v>
      </c>
      <c r="AJ22" s="34">
        <f t="shared" si="0"/>
        <v>200</v>
      </c>
      <c r="AK22" s="34">
        <f t="shared" si="0"/>
        <v>1791</v>
      </c>
      <c r="AL22" s="34">
        <f t="shared" si="0"/>
        <v>13439</v>
      </c>
      <c r="AM22" s="34">
        <f t="shared" si="0"/>
        <v>330</v>
      </c>
      <c r="AN22" s="34">
        <f t="shared" si="0"/>
        <v>9520</v>
      </c>
      <c r="AO22" s="34">
        <f t="shared" si="0"/>
        <v>0</v>
      </c>
      <c r="AP22" s="34">
        <f t="shared" si="0"/>
        <v>6000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0</v>
      </c>
      <c r="X23" s="22">
        <f>W23/93*25</f>
        <v>0</v>
      </c>
      <c r="Y23" s="22"/>
      <c r="Z23" s="24"/>
      <c r="AA23" s="30"/>
      <c r="AB23" s="30">
        <v>3822</v>
      </c>
      <c r="AC23" s="22">
        <f>AB23/91*25</f>
        <v>1050</v>
      </c>
      <c r="AD23" s="30">
        <v>200</v>
      </c>
      <c r="AE23" s="22">
        <f>AD23/200*25</f>
        <v>25</v>
      </c>
      <c r="AF23" s="30">
        <v>600</v>
      </c>
      <c r="AG23" s="30"/>
      <c r="AH23" s="36">
        <v>47</v>
      </c>
      <c r="AI23" s="22">
        <v>47</v>
      </c>
      <c r="AJ23" s="22">
        <v>0</v>
      </c>
      <c r="AK23" s="30">
        <v>30</v>
      </c>
      <c r="AL23" s="30">
        <v>662</v>
      </c>
      <c r="AM23" s="30">
        <v>63</v>
      </c>
      <c r="AN23" s="30">
        <v>340</v>
      </c>
      <c r="AO23" s="30"/>
      <c r="AP23" s="30">
        <v>600</v>
      </c>
      <c r="AQ23" s="22"/>
      <c r="AR23" s="38">
        <v>0</v>
      </c>
    </row>
    <row r="24" spans="2:55" s="3" customFormat="1" ht="100.5" customHeight="1" thickBot="1" x14ac:dyDescent="0.25">
      <c r="B24" s="39">
        <v>46131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15531</v>
      </c>
      <c r="X24" s="40">
        <f>X22-X23</f>
        <v>4175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21658</v>
      </c>
      <c r="AC24" s="40">
        <f>AC22-AC23</f>
        <v>5950</v>
      </c>
      <c r="AD24" s="40">
        <f>AD22-AD23</f>
        <v>15400</v>
      </c>
      <c r="AE24" s="40">
        <f>AE22-AE23</f>
        <v>1925</v>
      </c>
      <c r="AF24" s="41">
        <f>AF22-AF23</f>
        <v>5000</v>
      </c>
      <c r="AG24" s="41" t="e">
        <f t="shared" si="4"/>
        <v>#REF!</v>
      </c>
      <c r="AH24" s="93">
        <f>AH22-AH23</f>
        <v>953</v>
      </c>
      <c r="AI24" s="40">
        <f t="shared" si="4"/>
        <v>1019</v>
      </c>
      <c r="AJ24" s="40">
        <f t="shared" si="4"/>
        <v>200</v>
      </c>
      <c r="AK24" s="41">
        <f t="shared" si="4"/>
        <v>1761</v>
      </c>
      <c r="AL24" s="41">
        <f t="shared" si="4"/>
        <v>12777</v>
      </c>
      <c r="AM24" s="41">
        <f t="shared" si="4"/>
        <v>267</v>
      </c>
      <c r="AN24" s="41">
        <f t="shared" si="4"/>
        <v>9180</v>
      </c>
      <c r="AO24" s="41">
        <f>AO22-AO23</f>
        <v>0</v>
      </c>
      <c r="AP24" s="41">
        <f t="shared" si="4"/>
        <v>5400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AC27" s="45" t="s">
        <v>56</v>
      </c>
      <c r="AK27" s="45" t="s">
        <v>57</v>
      </c>
      <c r="AO27" s="47"/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C28" s="49"/>
      <c r="AE28" s="49"/>
      <c r="AF28" s="49"/>
      <c r="AI28" s="49"/>
      <c r="AO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C29" s="49"/>
      <c r="AE29" s="49"/>
      <c r="AF29" s="49"/>
      <c r="AI29" s="49"/>
      <c r="AO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C30" s="153" t="s">
        <v>107</v>
      </c>
      <c r="AD30" s="155"/>
      <c r="AE30" s="155"/>
      <c r="AF30" s="153"/>
      <c r="AG30" s="155"/>
      <c r="AH30" s="155"/>
      <c r="AI30" s="153"/>
      <c r="AK30" s="156" t="s">
        <v>211</v>
      </c>
      <c r="AL30" s="155"/>
      <c r="AO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C31" s="157" t="s">
        <v>34</v>
      </c>
      <c r="AD31" s="155"/>
      <c r="AE31" s="155"/>
      <c r="AF31" s="154"/>
      <c r="AG31" s="154"/>
      <c r="AH31" s="155"/>
      <c r="AI31" s="157"/>
      <c r="AK31" s="154" t="s">
        <v>212</v>
      </c>
      <c r="AL31" s="155"/>
      <c r="AO31" s="154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C32" s="157" t="s">
        <v>46</v>
      </c>
      <c r="AD32" s="155"/>
      <c r="AE32" s="155"/>
      <c r="AF32" s="154"/>
      <c r="AG32" s="154"/>
      <c r="AH32" s="155"/>
      <c r="AI32" s="157"/>
      <c r="AK32" s="154" t="s">
        <v>46</v>
      </c>
      <c r="AL32" s="154"/>
      <c r="AO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C33" s="154" t="s">
        <v>51</v>
      </c>
      <c r="AD33" s="154"/>
      <c r="AE33" s="154"/>
      <c r="AF33" s="154"/>
      <c r="AG33" s="154"/>
      <c r="AH33" s="154"/>
      <c r="AI33" s="154"/>
      <c r="AJ33" s="159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19" zoomScale="70" zoomScaleNormal="70" workbookViewId="0">
      <selection activeCell="AJ29" sqref="AJ29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11.42578125" style="1" customWidth="1"/>
    <col min="36" max="36" width="23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hidden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224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300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299" t="s">
        <v>223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301"/>
      <c r="AL18" s="301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46132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'4-13-19, 2026'!W24</f>
        <v>15531</v>
      </c>
      <c r="X20" s="21">
        <f>'4-13-19, 2026'!X24</f>
        <v>4175</v>
      </c>
      <c r="Y20" s="21">
        <f>'4-13-19, 2026'!Y24</f>
        <v>0</v>
      </c>
      <c r="Z20" s="21">
        <f>'4-13-19, 2026'!Z24</f>
        <v>0</v>
      </c>
      <c r="AA20" s="21" t="e">
        <f>'4-13-19, 2026'!AA24</f>
        <v>#REF!</v>
      </c>
      <c r="AB20" s="21">
        <f>'4-13-19, 2026'!AB24</f>
        <v>21658</v>
      </c>
      <c r="AC20" s="21">
        <f>'4-13-19, 2026'!AC24</f>
        <v>5950</v>
      </c>
      <c r="AD20" s="21">
        <f>'4-13-19, 2026'!AD24</f>
        <v>15400</v>
      </c>
      <c r="AE20" s="21">
        <f>'4-13-19, 2026'!AE24</f>
        <v>1925</v>
      </c>
      <c r="AF20" s="21">
        <f>'4-13-19, 2026'!AF24</f>
        <v>5000</v>
      </c>
      <c r="AG20" s="21" t="e">
        <f>'4-13-19, 2026'!AG24</f>
        <v>#REF!</v>
      </c>
      <c r="AH20" s="21">
        <f>'4-13-19, 2026'!AH24</f>
        <v>953</v>
      </c>
      <c r="AI20" s="21">
        <f>'4-13-19, 2026'!AI24</f>
        <v>1019</v>
      </c>
      <c r="AJ20" s="21">
        <f>'4-13-19, 2026'!AJ24</f>
        <v>200</v>
      </c>
      <c r="AK20" s="21">
        <f>'4-13-19, 2026'!AK24</f>
        <v>1761</v>
      </c>
      <c r="AL20" s="21">
        <f>'4-13-19, 2026'!AL24</f>
        <v>12777</v>
      </c>
      <c r="AM20" s="21">
        <f>'4-13-19, 2026'!AM24</f>
        <v>267</v>
      </c>
      <c r="AN20" s="21">
        <f>'4-13-19, 2026'!AN24</f>
        <v>9180</v>
      </c>
      <c r="AO20" s="21">
        <f>'4-13-19, 2026'!AO24</f>
        <v>0</v>
      </c>
      <c r="AP20" s="21">
        <f>'4-13-19, 2026'!AP24</f>
        <v>5400</v>
      </c>
      <c r="AQ20" s="21">
        <f>'4-13-19, 2026'!AQ24</f>
        <v>0</v>
      </c>
      <c r="AR20" s="164">
        <f>'4-13-19,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15531</v>
      </c>
      <c r="X22" s="34">
        <f>X20+X21</f>
        <v>4175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21658</v>
      </c>
      <c r="AC22" s="34">
        <f>AC20+AC21</f>
        <v>5950</v>
      </c>
      <c r="AD22" s="34">
        <f t="shared" ref="AD22" si="3">AD20+AD21</f>
        <v>15400</v>
      </c>
      <c r="AE22" s="34">
        <f>AE20+AE21</f>
        <v>1925</v>
      </c>
      <c r="AF22" s="34">
        <f t="shared" si="0"/>
        <v>5000</v>
      </c>
      <c r="AG22" s="34" t="e">
        <f t="shared" si="0"/>
        <v>#REF!</v>
      </c>
      <c r="AH22" s="34">
        <f t="shared" si="0"/>
        <v>953</v>
      </c>
      <c r="AI22" s="34">
        <f t="shared" si="0"/>
        <v>1019</v>
      </c>
      <c r="AJ22" s="34">
        <f t="shared" si="0"/>
        <v>200</v>
      </c>
      <c r="AK22" s="34">
        <f t="shared" si="0"/>
        <v>1761</v>
      </c>
      <c r="AL22" s="34">
        <f t="shared" si="0"/>
        <v>12777</v>
      </c>
      <c r="AM22" s="34">
        <f t="shared" si="0"/>
        <v>267</v>
      </c>
      <c r="AN22" s="34">
        <f t="shared" si="0"/>
        <v>9180</v>
      </c>
      <c r="AO22" s="34">
        <f t="shared" si="0"/>
        <v>0</v>
      </c>
      <c r="AP22" s="34">
        <f t="shared" si="0"/>
        <v>5400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1023</v>
      </c>
      <c r="X23" s="22">
        <f>W23/93*25</f>
        <v>275</v>
      </c>
      <c r="Y23" s="22"/>
      <c r="Z23" s="24"/>
      <c r="AA23" s="30"/>
      <c r="AB23" s="30">
        <v>2912</v>
      </c>
      <c r="AC23" s="22">
        <f>AB23/91*25</f>
        <v>800</v>
      </c>
      <c r="AD23" s="30">
        <v>0</v>
      </c>
      <c r="AE23" s="22">
        <f>AD23/200*25</f>
        <v>0</v>
      </c>
      <c r="AF23" s="30">
        <v>575</v>
      </c>
      <c r="AG23" s="30"/>
      <c r="AH23" s="36">
        <v>33</v>
      </c>
      <c r="AI23" s="22">
        <v>33</v>
      </c>
      <c r="AJ23" s="22">
        <v>0</v>
      </c>
      <c r="AK23" s="30">
        <v>0</v>
      </c>
      <c r="AL23" s="30">
        <v>529</v>
      </c>
      <c r="AM23" s="30">
        <v>37</v>
      </c>
      <c r="AN23" s="30">
        <v>300</v>
      </c>
      <c r="AO23" s="30"/>
      <c r="AP23" s="30">
        <v>300</v>
      </c>
      <c r="AQ23" s="22"/>
      <c r="AR23" s="38">
        <v>0</v>
      </c>
    </row>
    <row r="24" spans="2:55" s="3" customFormat="1" ht="100.5" customHeight="1" thickBot="1" x14ac:dyDescent="0.25">
      <c r="B24" s="39">
        <v>46138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14508</v>
      </c>
      <c r="X24" s="40">
        <f>X22-X23</f>
        <v>3900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18746</v>
      </c>
      <c r="AC24" s="40">
        <f>AC22-AC23</f>
        <v>5150</v>
      </c>
      <c r="AD24" s="40">
        <f>AD22-AD23</f>
        <v>15400</v>
      </c>
      <c r="AE24" s="40">
        <f>AE22-AE23</f>
        <v>1925</v>
      </c>
      <c r="AF24" s="41">
        <f>AF22-AF23</f>
        <v>4425</v>
      </c>
      <c r="AG24" s="41" t="e">
        <f t="shared" si="4"/>
        <v>#REF!</v>
      </c>
      <c r="AH24" s="93">
        <f>AH22-AH23</f>
        <v>920</v>
      </c>
      <c r="AI24" s="40">
        <f t="shared" si="4"/>
        <v>986</v>
      </c>
      <c r="AJ24" s="40">
        <f t="shared" si="4"/>
        <v>200</v>
      </c>
      <c r="AK24" s="41">
        <f t="shared" si="4"/>
        <v>1761</v>
      </c>
      <c r="AL24" s="41">
        <f t="shared" si="4"/>
        <v>12248</v>
      </c>
      <c r="AM24" s="41">
        <f t="shared" si="4"/>
        <v>230</v>
      </c>
      <c r="AN24" s="41">
        <f t="shared" si="4"/>
        <v>8880</v>
      </c>
      <c r="AO24" s="41">
        <f>AO22-AO23</f>
        <v>0</v>
      </c>
      <c r="AP24" s="41">
        <f t="shared" si="4"/>
        <v>5100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AC27" s="45" t="s">
        <v>56</v>
      </c>
      <c r="AK27" s="45" t="s">
        <v>57</v>
      </c>
      <c r="AO27" s="47"/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C28" s="49"/>
      <c r="AE28" s="49"/>
      <c r="AF28" s="49"/>
      <c r="AI28" s="49"/>
      <c r="AO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C29" s="49"/>
      <c r="AE29" s="49"/>
      <c r="AF29" s="49"/>
      <c r="AI29" s="49"/>
      <c r="AO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C30" s="153" t="s">
        <v>107</v>
      </c>
      <c r="AD30" s="155"/>
      <c r="AE30" s="155"/>
      <c r="AF30" s="153"/>
      <c r="AG30" s="155"/>
      <c r="AH30" s="155"/>
      <c r="AI30" s="153"/>
      <c r="AK30" s="156" t="s">
        <v>211</v>
      </c>
      <c r="AL30" s="155"/>
      <c r="AO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C31" s="157" t="s">
        <v>34</v>
      </c>
      <c r="AD31" s="155"/>
      <c r="AE31" s="155"/>
      <c r="AF31" s="154"/>
      <c r="AG31" s="154"/>
      <c r="AH31" s="155"/>
      <c r="AI31" s="157"/>
      <c r="AK31" s="154" t="s">
        <v>212</v>
      </c>
      <c r="AL31" s="155"/>
      <c r="AO31" s="154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C32" s="157" t="s">
        <v>46</v>
      </c>
      <c r="AD32" s="155"/>
      <c r="AE32" s="155"/>
      <c r="AF32" s="154"/>
      <c r="AG32" s="154"/>
      <c r="AH32" s="155"/>
      <c r="AI32" s="157"/>
      <c r="AK32" s="154" t="s">
        <v>46</v>
      </c>
      <c r="AL32" s="154"/>
      <c r="AO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C33" s="154" t="s">
        <v>51</v>
      </c>
      <c r="AD33" s="154"/>
      <c r="AE33" s="154"/>
      <c r="AF33" s="154"/>
      <c r="AG33" s="154"/>
      <c r="AH33" s="154"/>
      <c r="AI33" s="154"/>
      <c r="AJ33" s="159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13" zoomScale="70" zoomScaleNormal="70" workbookViewId="0">
      <selection activeCell="AH27" sqref="AH27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11.42578125" style="1" customWidth="1"/>
    <col min="36" max="36" width="23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hidden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225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302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299" t="s">
        <v>223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303"/>
      <c r="AL18" s="303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46139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'4-20-26, 2026'!W24</f>
        <v>14508</v>
      </c>
      <c r="X20" s="21">
        <f>'4-20-26, 2026'!X24</f>
        <v>3900</v>
      </c>
      <c r="Y20" s="21">
        <f>'4-20-26, 2026'!Y24</f>
        <v>0</v>
      </c>
      <c r="Z20" s="21">
        <f>'4-20-26, 2026'!Z24</f>
        <v>0</v>
      </c>
      <c r="AA20" s="21" t="e">
        <f>'4-20-26, 2026'!AA24</f>
        <v>#REF!</v>
      </c>
      <c r="AB20" s="21">
        <f>'4-20-26, 2026'!AB24</f>
        <v>18746</v>
      </c>
      <c r="AC20" s="21">
        <f>'4-20-26, 2026'!AC24</f>
        <v>5150</v>
      </c>
      <c r="AD20" s="21">
        <f>'4-20-26, 2026'!AD24</f>
        <v>15400</v>
      </c>
      <c r="AE20" s="21">
        <f>'4-20-26, 2026'!AE24</f>
        <v>1925</v>
      </c>
      <c r="AF20" s="21">
        <f>'4-20-26, 2026'!AF24</f>
        <v>4425</v>
      </c>
      <c r="AG20" s="21" t="e">
        <f>'4-20-26, 2026'!AG24</f>
        <v>#REF!</v>
      </c>
      <c r="AH20" s="21">
        <f>'4-20-26, 2026'!AH24</f>
        <v>920</v>
      </c>
      <c r="AI20" s="21">
        <f>'4-20-26, 2026'!AI24</f>
        <v>986</v>
      </c>
      <c r="AJ20" s="21">
        <f>'4-20-26, 2026'!AJ24</f>
        <v>200</v>
      </c>
      <c r="AK20" s="21">
        <f>'4-20-26, 2026'!AK24</f>
        <v>1761</v>
      </c>
      <c r="AL20" s="21">
        <f>'4-20-26, 2026'!AL24</f>
        <v>12248</v>
      </c>
      <c r="AM20" s="21">
        <f>'4-20-26, 2026'!AM24</f>
        <v>230</v>
      </c>
      <c r="AN20" s="21">
        <f>'4-20-26, 2026'!AN24</f>
        <v>8880</v>
      </c>
      <c r="AO20" s="21">
        <f>'4-20-26, 2026'!AO24</f>
        <v>0</v>
      </c>
      <c r="AP20" s="21">
        <f>'4-20-26, 2026'!AP24</f>
        <v>5100</v>
      </c>
      <c r="AQ20" s="21">
        <f>'4-20-26, 2026'!AQ24</f>
        <v>0</v>
      </c>
      <c r="AR20" s="21">
        <f>'4-20-26,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14508</v>
      </c>
      <c r="X22" s="34">
        <f>X20+X21</f>
        <v>3900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18746</v>
      </c>
      <c r="AC22" s="34">
        <f>AC20+AC21</f>
        <v>5150</v>
      </c>
      <c r="AD22" s="34">
        <f t="shared" ref="AD22" si="3">AD20+AD21</f>
        <v>15400</v>
      </c>
      <c r="AE22" s="34">
        <f>AE20+AE21</f>
        <v>1925</v>
      </c>
      <c r="AF22" s="34">
        <f t="shared" si="0"/>
        <v>4425</v>
      </c>
      <c r="AG22" s="34" t="e">
        <f t="shared" si="0"/>
        <v>#REF!</v>
      </c>
      <c r="AH22" s="34">
        <f t="shared" si="0"/>
        <v>920</v>
      </c>
      <c r="AI22" s="34">
        <f t="shared" si="0"/>
        <v>986</v>
      </c>
      <c r="AJ22" s="34">
        <f t="shared" si="0"/>
        <v>200</v>
      </c>
      <c r="AK22" s="34">
        <f t="shared" si="0"/>
        <v>1761</v>
      </c>
      <c r="AL22" s="34">
        <f t="shared" si="0"/>
        <v>12248</v>
      </c>
      <c r="AM22" s="34">
        <f t="shared" si="0"/>
        <v>230</v>
      </c>
      <c r="AN22" s="34">
        <f t="shared" si="0"/>
        <v>8880</v>
      </c>
      <c r="AO22" s="34">
        <f t="shared" si="0"/>
        <v>0</v>
      </c>
      <c r="AP22" s="34">
        <f t="shared" si="0"/>
        <v>5100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0</v>
      </c>
      <c r="X23" s="22">
        <f>W23/93*25</f>
        <v>0</v>
      </c>
      <c r="Y23" s="22"/>
      <c r="Z23" s="24"/>
      <c r="AA23" s="30"/>
      <c r="AB23" s="30">
        <v>1183</v>
      </c>
      <c r="AC23" s="22">
        <f>AB23/91*25</f>
        <v>325</v>
      </c>
      <c r="AD23" s="30">
        <v>0</v>
      </c>
      <c r="AE23" s="22">
        <f>AD23/200*25</f>
        <v>0</v>
      </c>
      <c r="AF23" s="30">
        <v>200</v>
      </c>
      <c r="AG23" s="30"/>
      <c r="AH23" s="36">
        <v>15</v>
      </c>
      <c r="AI23" s="22">
        <v>15</v>
      </c>
      <c r="AJ23" s="22">
        <v>10</v>
      </c>
      <c r="AK23" s="30">
        <v>0</v>
      </c>
      <c r="AL23" s="30">
        <v>152</v>
      </c>
      <c r="AM23" s="30">
        <v>20</v>
      </c>
      <c r="AN23" s="30">
        <v>90</v>
      </c>
      <c r="AO23" s="30"/>
      <c r="AP23" s="30">
        <v>150</v>
      </c>
      <c r="AQ23" s="22"/>
      <c r="AR23" s="38">
        <v>0</v>
      </c>
    </row>
    <row r="24" spans="2:55" s="3" customFormat="1" ht="100.5" customHeight="1" thickBot="1" x14ac:dyDescent="0.25">
      <c r="B24" s="39">
        <v>46145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14508</v>
      </c>
      <c r="X24" s="40">
        <f>X22-X23</f>
        <v>3900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17563</v>
      </c>
      <c r="AC24" s="40">
        <f>AC22-AC23</f>
        <v>4825</v>
      </c>
      <c r="AD24" s="40">
        <f>AD22-AD23</f>
        <v>15400</v>
      </c>
      <c r="AE24" s="40">
        <f>AE22-AE23</f>
        <v>1925</v>
      </c>
      <c r="AF24" s="41">
        <f>AF22-AF23</f>
        <v>4225</v>
      </c>
      <c r="AG24" s="41" t="e">
        <f t="shared" si="4"/>
        <v>#REF!</v>
      </c>
      <c r="AH24" s="93">
        <f>AH22-AH23</f>
        <v>905</v>
      </c>
      <c r="AI24" s="40">
        <f t="shared" si="4"/>
        <v>971</v>
      </c>
      <c r="AJ24" s="40">
        <f t="shared" si="4"/>
        <v>190</v>
      </c>
      <c r="AK24" s="41">
        <f t="shared" si="4"/>
        <v>1761</v>
      </c>
      <c r="AL24" s="41">
        <f t="shared" si="4"/>
        <v>12096</v>
      </c>
      <c r="AM24" s="41">
        <f t="shared" si="4"/>
        <v>210</v>
      </c>
      <c r="AN24" s="41">
        <f t="shared" si="4"/>
        <v>8790</v>
      </c>
      <c r="AO24" s="41">
        <f>AO22-AO23</f>
        <v>0</v>
      </c>
      <c r="AP24" s="41">
        <f t="shared" si="4"/>
        <v>4950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AC27" s="45" t="s">
        <v>56</v>
      </c>
      <c r="AK27" s="45" t="s">
        <v>57</v>
      </c>
      <c r="AO27" s="47"/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C28" s="49"/>
      <c r="AE28" s="49"/>
      <c r="AF28" s="49"/>
      <c r="AI28" s="49"/>
      <c r="AO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C29" s="49"/>
      <c r="AE29" s="49"/>
      <c r="AF29" s="49"/>
      <c r="AI29" s="49"/>
      <c r="AO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C30" s="153" t="s">
        <v>31</v>
      </c>
      <c r="AD30" s="155"/>
      <c r="AE30" s="155"/>
      <c r="AF30" s="153"/>
      <c r="AG30" s="155"/>
      <c r="AH30" s="155"/>
      <c r="AI30" s="153"/>
      <c r="AK30" s="156" t="s">
        <v>211</v>
      </c>
      <c r="AL30" s="155"/>
      <c r="AO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C31" s="157" t="s">
        <v>64</v>
      </c>
      <c r="AD31" s="155"/>
      <c r="AE31" s="155"/>
      <c r="AF31" s="154"/>
      <c r="AG31" s="154"/>
      <c r="AH31" s="155"/>
      <c r="AI31" s="157"/>
      <c r="AK31" s="154" t="s">
        <v>212</v>
      </c>
      <c r="AL31" s="155"/>
      <c r="AO31" s="154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C32" s="157" t="s">
        <v>46</v>
      </c>
      <c r="AD32" s="155"/>
      <c r="AE32" s="155"/>
      <c r="AF32" s="154"/>
      <c r="AG32" s="154"/>
      <c r="AH32" s="155"/>
      <c r="AI32" s="157"/>
      <c r="AK32" s="154" t="s">
        <v>46</v>
      </c>
      <c r="AL32" s="154"/>
      <c r="AO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C33" s="154" t="s">
        <v>65</v>
      </c>
      <c r="AD33" s="154"/>
      <c r="AE33" s="154"/>
      <c r="AF33" s="154"/>
      <c r="AG33" s="154"/>
      <c r="AH33" s="154"/>
      <c r="AI33" s="154"/>
      <c r="AJ33" s="159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U16:V16"/>
    <mergeCell ref="S17:T17"/>
    <mergeCell ref="U17:V17"/>
    <mergeCell ref="W17:X17"/>
    <mergeCell ref="Y17:Z17"/>
    <mergeCell ref="W16:X16"/>
    <mergeCell ref="O16:P16"/>
    <mergeCell ref="Q16:R16"/>
    <mergeCell ref="S16:T16"/>
    <mergeCell ref="G17:H17"/>
    <mergeCell ref="I17:J17"/>
    <mergeCell ref="K17:L17"/>
    <mergeCell ref="M17:N17"/>
    <mergeCell ref="O17:P17"/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10" zoomScale="70" zoomScaleNormal="70" workbookViewId="0">
      <selection activeCell="AH23" sqref="AH23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11.42578125" style="1" customWidth="1"/>
    <col min="36" max="36" width="23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hidden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226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304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299" t="s">
        <v>223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305"/>
      <c r="AL18" s="305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46146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'4-27-MAY 3, 2026'!W24</f>
        <v>14508</v>
      </c>
      <c r="X20" s="21">
        <f>'4-27-MAY 3, 2026'!X24</f>
        <v>3900</v>
      </c>
      <c r="Y20" s="21">
        <f>'4-27-MAY 3, 2026'!Y24</f>
        <v>0</v>
      </c>
      <c r="Z20" s="21">
        <f>'4-27-MAY 3, 2026'!Z24</f>
        <v>0</v>
      </c>
      <c r="AA20" s="21" t="e">
        <f>'4-27-MAY 3, 2026'!AA24</f>
        <v>#REF!</v>
      </c>
      <c r="AB20" s="21">
        <f>'4-27-MAY 3, 2026'!AB24</f>
        <v>17563</v>
      </c>
      <c r="AC20" s="21">
        <f>'4-27-MAY 3, 2026'!AC24</f>
        <v>4825</v>
      </c>
      <c r="AD20" s="21">
        <f>'4-27-MAY 3, 2026'!AD24</f>
        <v>15400</v>
      </c>
      <c r="AE20" s="21">
        <f>'4-27-MAY 3, 2026'!AE24</f>
        <v>1925</v>
      </c>
      <c r="AF20" s="21">
        <f>'4-27-MAY 3, 2026'!AF24</f>
        <v>4225</v>
      </c>
      <c r="AG20" s="21" t="e">
        <f>'4-27-MAY 3, 2026'!AG24</f>
        <v>#REF!</v>
      </c>
      <c r="AH20" s="21">
        <f>'4-27-MAY 3, 2026'!AH24</f>
        <v>905</v>
      </c>
      <c r="AI20" s="21">
        <f>'4-27-MAY 3, 2026'!AI24</f>
        <v>971</v>
      </c>
      <c r="AJ20" s="21">
        <f>'4-27-MAY 3, 2026'!AJ24</f>
        <v>190</v>
      </c>
      <c r="AK20" s="21">
        <f>'4-27-MAY 3, 2026'!AK24</f>
        <v>1761</v>
      </c>
      <c r="AL20" s="21">
        <f>'4-27-MAY 3, 2026'!AL24</f>
        <v>12096</v>
      </c>
      <c r="AM20" s="21">
        <f>'4-27-MAY 3, 2026'!AM24</f>
        <v>210</v>
      </c>
      <c r="AN20" s="21">
        <f>'4-27-MAY 3, 2026'!AN24</f>
        <v>8790</v>
      </c>
      <c r="AO20" s="21">
        <f>'4-27-MAY 3, 2026'!AO24</f>
        <v>0</v>
      </c>
      <c r="AP20" s="21">
        <f>'4-27-MAY 3, 2026'!AP24</f>
        <v>4950</v>
      </c>
      <c r="AQ20" s="21">
        <f>'4-27-MAY 3, 2026'!AQ24</f>
        <v>0</v>
      </c>
      <c r="AR20" s="21">
        <f>'4-27-MAY 3,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14508</v>
      </c>
      <c r="X22" s="34">
        <f>X20+X21</f>
        <v>3900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17563</v>
      </c>
      <c r="AC22" s="34">
        <f>AC20+AC21</f>
        <v>4825</v>
      </c>
      <c r="AD22" s="34">
        <f t="shared" ref="AD22" si="3">AD20+AD21</f>
        <v>15400</v>
      </c>
      <c r="AE22" s="34">
        <f>AE20+AE21</f>
        <v>1925</v>
      </c>
      <c r="AF22" s="34">
        <f t="shared" si="0"/>
        <v>4225</v>
      </c>
      <c r="AG22" s="34" t="e">
        <f t="shared" si="0"/>
        <v>#REF!</v>
      </c>
      <c r="AH22" s="34">
        <f t="shared" si="0"/>
        <v>905</v>
      </c>
      <c r="AI22" s="34">
        <f t="shared" si="0"/>
        <v>971</v>
      </c>
      <c r="AJ22" s="34">
        <f t="shared" si="0"/>
        <v>190</v>
      </c>
      <c r="AK22" s="34">
        <f t="shared" si="0"/>
        <v>1761</v>
      </c>
      <c r="AL22" s="34">
        <f t="shared" si="0"/>
        <v>12096</v>
      </c>
      <c r="AM22" s="34">
        <f t="shared" si="0"/>
        <v>210</v>
      </c>
      <c r="AN22" s="34">
        <f t="shared" si="0"/>
        <v>8790</v>
      </c>
      <c r="AO22" s="34">
        <f t="shared" si="0"/>
        <v>0</v>
      </c>
      <c r="AP22" s="34">
        <f t="shared" si="0"/>
        <v>4950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0</v>
      </c>
      <c r="X23" s="22">
        <f>W23/93*25</f>
        <v>0</v>
      </c>
      <c r="Y23" s="22"/>
      <c r="Z23" s="24"/>
      <c r="AA23" s="30"/>
      <c r="AB23" s="30">
        <v>1092</v>
      </c>
      <c r="AC23" s="22">
        <f>AB23/91*25</f>
        <v>300</v>
      </c>
      <c r="AD23" s="30">
        <v>0</v>
      </c>
      <c r="AE23" s="22">
        <f>AD23/200*25</f>
        <v>0</v>
      </c>
      <c r="AF23" s="30">
        <v>175</v>
      </c>
      <c r="AG23" s="30"/>
      <c r="AH23" s="36">
        <v>19</v>
      </c>
      <c r="AI23" s="22">
        <v>19</v>
      </c>
      <c r="AJ23" s="22">
        <v>50</v>
      </c>
      <c r="AK23" s="30">
        <v>0</v>
      </c>
      <c r="AL23" s="30">
        <v>152</v>
      </c>
      <c r="AM23" s="30">
        <v>0</v>
      </c>
      <c r="AN23" s="30">
        <v>90</v>
      </c>
      <c r="AO23" s="30"/>
      <c r="AP23" s="30">
        <v>225</v>
      </c>
      <c r="AQ23" s="22"/>
      <c r="AR23" s="38">
        <v>0</v>
      </c>
    </row>
    <row r="24" spans="2:55" s="3" customFormat="1" ht="100.5" customHeight="1" thickBot="1" x14ac:dyDescent="0.25">
      <c r="B24" s="39">
        <v>46152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14508</v>
      </c>
      <c r="X24" s="40">
        <f>X22-X23</f>
        <v>3900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16471</v>
      </c>
      <c r="AC24" s="40">
        <f>AC22-AC23</f>
        <v>4525</v>
      </c>
      <c r="AD24" s="40">
        <f>AD22-AD23</f>
        <v>15400</v>
      </c>
      <c r="AE24" s="40">
        <f>AE22-AE23</f>
        <v>1925</v>
      </c>
      <c r="AF24" s="41">
        <f>AF22-AF23</f>
        <v>4050</v>
      </c>
      <c r="AG24" s="41" t="e">
        <f t="shared" si="4"/>
        <v>#REF!</v>
      </c>
      <c r="AH24" s="93">
        <f>AH22-AH23</f>
        <v>886</v>
      </c>
      <c r="AI24" s="40">
        <f t="shared" si="4"/>
        <v>952</v>
      </c>
      <c r="AJ24" s="40">
        <f t="shared" si="4"/>
        <v>140</v>
      </c>
      <c r="AK24" s="41">
        <f t="shared" si="4"/>
        <v>1761</v>
      </c>
      <c r="AL24" s="41">
        <f t="shared" si="4"/>
        <v>11944</v>
      </c>
      <c r="AM24" s="41">
        <f t="shared" si="4"/>
        <v>210</v>
      </c>
      <c r="AN24" s="41">
        <f t="shared" si="4"/>
        <v>8700</v>
      </c>
      <c r="AO24" s="41">
        <f>AO22-AO23</f>
        <v>0</v>
      </c>
      <c r="AP24" s="41">
        <f t="shared" si="4"/>
        <v>4725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X27" s="47"/>
      <c r="AC27" s="45" t="s">
        <v>56</v>
      </c>
      <c r="AK27" s="45" t="s">
        <v>57</v>
      </c>
      <c r="AO27" s="47"/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C28" s="49"/>
      <c r="AE28" s="49"/>
      <c r="AF28" s="49"/>
      <c r="AI28" s="49"/>
      <c r="AO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C29" s="49"/>
      <c r="AE29" s="49"/>
      <c r="AF29" s="49"/>
      <c r="AI29" s="49"/>
      <c r="AO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C30" s="153" t="s">
        <v>107</v>
      </c>
      <c r="AD30" s="155"/>
      <c r="AE30" s="155"/>
      <c r="AF30" s="153"/>
      <c r="AG30" s="155"/>
      <c r="AI30" s="155"/>
      <c r="AJ30" s="153"/>
      <c r="AK30" s="156" t="s">
        <v>211</v>
      </c>
      <c r="AL30" s="155"/>
      <c r="AO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C31" s="157" t="s">
        <v>34</v>
      </c>
      <c r="AD31" s="155"/>
      <c r="AE31" s="155"/>
      <c r="AF31" s="154"/>
      <c r="AG31" s="154"/>
      <c r="AI31" s="155"/>
      <c r="AJ31" s="157"/>
      <c r="AK31" s="154" t="s">
        <v>212</v>
      </c>
      <c r="AL31" s="155"/>
      <c r="AO31" s="154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C32" s="157" t="s">
        <v>46</v>
      </c>
      <c r="AD32" s="155"/>
      <c r="AE32" s="155"/>
      <c r="AF32" s="154"/>
      <c r="AG32" s="154"/>
      <c r="AI32" s="155"/>
      <c r="AJ32" s="157"/>
      <c r="AK32" s="154" t="s">
        <v>46</v>
      </c>
      <c r="AL32" s="154"/>
      <c r="AO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C33" s="154" t="s">
        <v>51</v>
      </c>
      <c r="AD33" s="154"/>
      <c r="AE33" s="154"/>
      <c r="AF33" s="154"/>
      <c r="AG33" s="154" t="s">
        <v>51</v>
      </c>
      <c r="AI33" s="154"/>
      <c r="AJ33" s="154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10" zoomScale="70" zoomScaleNormal="70" workbookViewId="0">
      <selection activeCell="AI27" sqref="AI27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11.42578125" style="1" customWidth="1"/>
    <col min="36" max="36" width="23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hidden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227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306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299" t="s">
        <v>223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307"/>
      <c r="AL18" s="307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46153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'5-4-10, 2026'!W24</f>
        <v>14508</v>
      </c>
      <c r="X20" s="21">
        <f>'5-4-10, 2026'!X24</f>
        <v>3900</v>
      </c>
      <c r="Y20" s="21">
        <f>'5-4-10, 2026'!Y24</f>
        <v>0</v>
      </c>
      <c r="Z20" s="21">
        <f>'5-4-10, 2026'!Z24</f>
        <v>0</v>
      </c>
      <c r="AA20" s="21" t="e">
        <f>'5-4-10, 2026'!AA24</f>
        <v>#REF!</v>
      </c>
      <c r="AB20" s="21">
        <f>'5-4-10, 2026'!AB24</f>
        <v>16471</v>
      </c>
      <c r="AC20" s="21">
        <f>'5-4-10, 2026'!AC24</f>
        <v>4525</v>
      </c>
      <c r="AD20" s="21">
        <f>'5-4-10, 2026'!AD24</f>
        <v>15400</v>
      </c>
      <c r="AE20" s="21">
        <f>'5-4-10, 2026'!AE24</f>
        <v>1925</v>
      </c>
      <c r="AF20" s="21">
        <f>'5-4-10, 2026'!AF24</f>
        <v>4050</v>
      </c>
      <c r="AG20" s="21" t="e">
        <f>'5-4-10, 2026'!AG24</f>
        <v>#REF!</v>
      </c>
      <c r="AH20" s="21">
        <f>'5-4-10, 2026'!AH24</f>
        <v>886</v>
      </c>
      <c r="AI20" s="21">
        <f>'5-4-10, 2026'!AI24</f>
        <v>952</v>
      </c>
      <c r="AJ20" s="21">
        <f>'5-4-10, 2026'!AJ24</f>
        <v>140</v>
      </c>
      <c r="AK20" s="21">
        <f>'5-4-10, 2026'!AK24</f>
        <v>1761</v>
      </c>
      <c r="AL20" s="21">
        <f>'5-4-10, 2026'!AL24</f>
        <v>11944</v>
      </c>
      <c r="AM20" s="21">
        <f>'5-4-10, 2026'!AM24</f>
        <v>210</v>
      </c>
      <c r="AN20" s="21">
        <f>'5-4-10, 2026'!AN24</f>
        <v>8700</v>
      </c>
      <c r="AO20" s="21">
        <f>'5-4-10, 2026'!AO24</f>
        <v>0</v>
      </c>
      <c r="AP20" s="21">
        <f>'5-4-10, 2026'!AP24</f>
        <v>4725</v>
      </c>
      <c r="AQ20" s="21">
        <f>'5-4-10, 2026'!AQ24</f>
        <v>0</v>
      </c>
      <c r="AR20" s="21">
        <f>'5-4-10,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14508</v>
      </c>
      <c r="X22" s="34">
        <f>X20+X21</f>
        <v>3900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16471</v>
      </c>
      <c r="AC22" s="34">
        <f>AC20+AC21</f>
        <v>4525</v>
      </c>
      <c r="AD22" s="34">
        <f t="shared" ref="AD22" si="3">AD20+AD21</f>
        <v>15400</v>
      </c>
      <c r="AE22" s="34">
        <f>AE20+AE21</f>
        <v>1925</v>
      </c>
      <c r="AF22" s="34">
        <f t="shared" si="0"/>
        <v>4050</v>
      </c>
      <c r="AG22" s="34" t="e">
        <f t="shared" si="0"/>
        <v>#REF!</v>
      </c>
      <c r="AH22" s="34">
        <f t="shared" si="0"/>
        <v>886</v>
      </c>
      <c r="AI22" s="34">
        <f t="shared" si="0"/>
        <v>952</v>
      </c>
      <c r="AJ22" s="34">
        <f t="shared" si="0"/>
        <v>140</v>
      </c>
      <c r="AK22" s="34">
        <f t="shared" si="0"/>
        <v>1761</v>
      </c>
      <c r="AL22" s="34">
        <f t="shared" si="0"/>
        <v>11944</v>
      </c>
      <c r="AM22" s="34">
        <f t="shared" si="0"/>
        <v>210</v>
      </c>
      <c r="AN22" s="34">
        <f t="shared" si="0"/>
        <v>8700</v>
      </c>
      <c r="AO22" s="34">
        <f t="shared" si="0"/>
        <v>0</v>
      </c>
      <c r="AP22" s="34">
        <f t="shared" si="0"/>
        <v>4725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3069</v>
      </c>
      <c r="X23" s="22">
        <f>W23/93*25</f>
        <v>825</v>
      </c>
      <c r="Y23" s="22"/>
      <c r="Z23" s="24"/>
      <c r="AA23" s="30"/>
      <c r="AB23" s="30">
        <v>455</v>
      </c>
      <c r="AC23" s="22">
        <f>AB23/91*25</f>
        <v>125</v>
      </c>
      <c r="AD23" s="30">
        <v>0</v>
      </c>
      <c r="AE23" s="22">
        <f>AD23/200*25</f>
        <v>0</v>
      </c>
      <c r="AF23" s="30">
        <v>700</v>
      </c>
      <c r="AG23" s="30"/>
      <c r="AH23" s="36">
        <v>55</v>
      </c>
      <c r="AI23" s="22">
        <v>55</v>
      </c>
      <c r="AJ23" s="22">
        <v>140</v>
      </c>
      <c r="AK23" s="30">
        <v>0</v>
      </c>
      <c r="AL23" s="30">
        <v>471</v>
      </c>
      <c r="AM23" s="30">
        <v>45</v>
      </c>
      <c r="AN23" s="30">
        <v>295</v>
      </c>
      <c r="AO23" s="30"/>
      <c r="AP23" s="30">
        <v>825</v>
      </c>
      <c r="AQ23" s="22"/>
      <c r="AR23" s="38">
        <v>0</v>
      </c>
    </row>
    <row r="24" spans="2:55" s="3" customFormat="1" ht="100.5" customHeight="1" thickBot="1" x14ac:dyDescent="0.25">
      <c r="B24" s="39">
        <v>46159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11439</v>
      </c>
      <c r="X24" s="40">
        <f>X22-X23</f>
        <v>3075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16016</v>
      </c>
      <c r="AC24" s="40">
        <f>AC22-AC23</f>
        <v>4400</v>
      </c>
      <c r="AD24" s="40">
        <f>AD22-AD23</f>
        <v>15400</v>
      </c>
      <c r="AE24" s="40">
        <f>AE22-AE23</f>
        <v>1925</v>
      </c>
      <c r="AF24" s="41">
        <f>AF22-AF23</f>
        <v>3350</v>
      </c>
      <c r="AG24" s="41" t="e">
        <f t="shared" si="4"/>
        <v>#REF!</v>
      </c>
      <c r="AH24" s="93">
        <f>AH22-AH23</f>
        <v>831</v>
      </c>
      <c r="AI24" s="40">
        <f t="shared" si="4"/>
        <v>897</v>
      </c>
      <c r="AJ24" s="40">
        <f t="shared" si="4"/>
        <v>0</v>
      </c>
      <c r="AK24" s="41">
        <f t="shared" si="4"/>
        <v>1761</v>
      </c>
      <c r="AL24" s="41">
        <f t="shared" si="4"/>
        <v>11473</v>
      </c>
      <c r="AM24" s="41">
        <f t="shared" si="4"/>
        <v>165</v>
      </c>
      <c r="AN24" s="41">
        <f t="shared" si="4"/>
        <v>8405</v>
      </c>
      <c r="AO24" s="41">
        <f>AO22-AO23</f>
        <v>0</v>
      </c>
      <c r="AP24" s="41">
        <f t="shared" si="4"/>
        <v>3900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X27" s="47"/>
      <c r="AC27" s="45" t="s">
        <v>56</v>
      </c>
      <c r="AK27" s="45" t="s">
        <v>57</v>
      </c>
      <c r="AO27" s="47"/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C28" s="49"/>
      <c r="AE28" s="49"/>
      <c r="AF28" s="49"/>
      <c r="AI28" s="49"/>
      <c r="AO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C29" s="49"/>
      <c r="AE29" s="49"/>
      <c r="AF29" s="49"/>
      <c r="AI29" s="49"/>
      <c r="AO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C30" s="153" t="s">
        <v>107</v>
      </c>
      <c r="AD30" s="155"/>
      <c r="AE30" s="155"/>
      <c r="AF30" s="153"/>
      <c r="AG30" s="155"/>
      <c r="AI30" s="155"/>
      <c r="AJ30" s="153"/>
      <c r="AK30" s="156" t="s">
        <v>211</v>
      </c>
      <c r="AL30" s="155"/>
      <c r="AO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C31" s="157" t="s">
        <v>34</v>
      </c>
      <c r="AD31" s="155"/>
      <c r="AE31" s="155"/>
      <c r="AF31" s="154"/>
      <c r="AG31" s="154"/>
      <c r="AI31" s="155"/>
      <c r="AJ31" s="157"/>
      <c r="AK31" s="154" t="s">
        <v>212</v>
      </c>
      <c r="AL31" s="155"/>
      <c r="AO31" s="154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C32" s="157" t="s">
        <v>46</v>
      </c>
      <c r="AD32" s="155"/>
      <c r="AE32" s="155"/>
      <c r="AF32" s="154"/>
      <c r="AG32" s="154"/>
      <c r="AI32" s="155"/>
      <c r="AJ32" s="157"/>
      <c r="AK32" s="154" t="s">
        <v>46</v>
      </c>
      <c r="AL32" s="154"/>
      <c r="AO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C33" s="154" t="s">
        <v>51</v>
      </c>
      <c r="AD33" s="154"/>
      <c r="AE33" s="154"/>
      <c r="AF33" s="154"/>
      <c r="AG33" s="154" t="s">
        <v>51</v>
      </c>
      <c r="AI33" s="154"/>
      <c r="AJ33" s="154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16" zoomScale="70" zoomScaleNormal="70" workbookViewId="0">
      <selection activeCell="AF40" sqref="AF40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11.42578125" style="1" customWidth="1"/>
    <col min="36" max="36" width="23.140625" style="1" hidden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hidden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228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308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299" t="s">
        <v>223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309"/>
      <c r="AL18" s="309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46160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'5-11-17, 2026'!W24</f>
        <v>11439</v>
      </c>
      <c r="X20" s="21">
        <f>'5-11-17, 2026'!X24</f>
        <v>3075</v>
      </c>
      <c r="Y20" s="21">
        <f>'5-11-17, 2026'!Y24</f>
        <v>0</v>
      </c>
      <c r="Z20" s="21">
        <f>'5-11-17, 2026'!Z24</f>
        <v>0</v>
      </c>
      <c r="AA20" s="21" t="e">
        <f>'5-11-17, 2026'!AA24</f>
        <v>#REF!</v>
      </c>
      <c r="AB20" s="21">
        <f>'5-11-17, 2026'!AB24</f>
        <v>16016</v>
      </c>
      <c r="AC20" s="21">
        <f>'5-11-17, 2026'!AC24</f>
        <v>4400</v>
      </c>
      <c r="AD20" s="21">
        <f>'5-11-17, 2026'!AD24</f>
        <v>15400</v>
      </c>
      <c r="AE20" s="21">
        <f>'5-11-17, 2026'!AE24</f>
        <v>1925</v>
      </c>
      <c r="AF20" s="21">
        <f>'5-11-17, 2026'!AF24</f>
        <v>3350</v>
      </c>
      <c r="AG20" s="21" t="e">
        <f>'5-11-17, 2026'!AG24</f>
        <v>#REF!</v>
      </c>
      <c r="AH20" s="21">
        <f>'5-11-17, 2026'!AH24</f>
        <v>831</v>
      </c>
      <c r="AI20" s="21">
        <f>'5-11-17, 2026'!AI24</f>
        <v>897</v>
      </c>
      <c r="AJ20" s="21">
        <f>'5-11-17, 2026'!AJ24</f>
        <v>0</v>
      </c>
      <c r="AK20" s="21">
        <f>'5-11-17, 2026'!AK24</f>
        <v>1761</v>
      </c>
      <c r="AL20" s="21">
        <f>'5-11-17, 2026'!AL24</f>
        <v>11473</v>
      </c>
      <c r="AM20" s="21">
        <f>'5-11-17, 2026'!AM24</f>
        <v>165</v>
      </c>
      <c r="AN20" s="21">
        <f>'5-11-17, 2026'!AN24</f>
        <v>8405</v>
      </c>
      <c r="AO20" s="21">
        <f>'5-11-17, 2026'!AO24</f>
        <v>0</v>
      </c>
      <c r="AP20" s="21">
        <f>'5-11-17, 2026'!AP24</f>
        <v>3900</v>
      </c>
      <c r="AQ20" s="21">
        <f>'5-11-17, 2026'!AQ24</f>
        <v>0</v>
      </c>
      <c r="AR20" s="21">
        <f>'5-11-17,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11439</v>
      </c>
      <c r="X22" s="34">
        <f>X20+X21</f>
        <v>3075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16016</v>
      </c>
      <c r="AC22" s="34">
        <f>AC20+AC21</f>
        <v>4400</v>
      </c>
      <c r="AD22" s="34">
        <f t="shared" ref="AD22" si="3">AD20+AD21</f>
        <v>15400</v>
      </c>
      <c r="AE22" s="34">
        <f>AE20+AE21</f>
        <v>1925</v>
      </c>
      <c r="AF22" s="34">
        <f t="shared" si="0"/>
        <v>3350</v>
      </c>
      <c r="AG22" s="34" t="e">
        <f t="shared" si="0"/>
        <v>#REF!</v>
      </c>
      <c r="AH22" s="34">
        <f t="shared" si="0"/>
        <v>831</v>
      </c>
      <c r="AI22" s="34">
        <f t="shared" si="0"/>
        <v>897</v>
      </c>
      <c r="AJ22" s="34">
        <f t="shared" si="0"/>
        <v>0</v>
      </c>
      <c r="AK22" s="34">
        <f t="shared" si="0"/>
        <v>1761</v>
      </c>
      <c r="AL22" s="34">
        <f t="shared" si="0"/>
        <v>11473</v>
      </c>
      <c r="AM22" s="34">
        <f t="shared" si="0"/>
        <v>165</v>
      </c>
      <c r="AN22" s="34">
        <f t="shared" si="0"/>
        <v>8405</v>
      </c>
      <c r="AO22" s="34">
        <f t="shared" si="0"/>
        <v>0</v>
      </c>
      <c r="AP22" s="34">
        <f t="shared" si="0"/>
        <v>3900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2976</v>
      </c>
      <c r="X23" s="22">
        <f>W23/93*25</f>
        <v>800</v>
      </c>
      <c r="Y23" s="22"/>
      <c r="Z23" s="24"/>
      <c r="AA23" s="30"/>
      <c r="AB23" s="30">
        <v>2093</v>
      </c>
      <c r="AC23" s="22">
        <f>AB23/91*25</f>
        <v>575</v>
      </c>
      <c r="AD23" s="30">
        <v>0</v>
      </c>
      <c r="AE23" s="22">
        <f>AD23/200*25</f>
        <v>0</v>
      </c>
      <c r="AF23" s="30">
        <v>450</v>
      </c>
      <c r="AG23" s="30"/>
      <c r="AH23" s="36">
        <v>54</v>
      </c>
      <c r="AI23" s="22">
        <v>54</v>
      </c>
      <c r="AJ23" s="22"/>
      <c r="AK23" s="30">
        <v>4</v>
      </c>
      <c r="AL23" s="30">
        <v>321</v>
      </c>
      <c r="AM23" s="30">
        <v>90</v>
      </c>
      <c r="AN23" s="30">
        <v>305</v>
      </c>
      <c r="AO23" s="30"/>
      <c r="AP23" s="30">
        <v>225</v>
      </c>
      <c r="AQ23" s="22"/>
      <c r="AR23" s="38">
        <v>0</v>
      </c>
    </row>
    <row r="24" spans="2:55" s="3" customFormat="1" ht="100.5" customHeight="1" thickBot="1" x14ac:dyDescent="0.25">
      <c r="B24" s="39">
        <v>46166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8463</v>
      </c>
      <c r="X24" s="40">
        <f>X22-X23</f>
        <v>2275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13923</v>
      </c>
      <c r="AC24" s="40">
        <f>AC22-AC23</f>
        <v>3825</v>
      </c>
      <c r="AD24" s="40">
        <f>AD22-AD23</f>
        <v>15400</v>
      </c>
      <c r="AE24" s="40">
        <f>AE22-AE23</f>
        <v>1925</v>
      </c>
      <c r="AF24" s="41">
        <f>AF22-AF23</f>
        <v>2900</v>
      </c>
      <c r="AG24" s="41" t="e">
        <f t="shared" si="4"/>
        <v>#REF!</v>
      </c>
      <c r="AH24" s="93">
        <f>AH22-AH23</f>
        <v>777</v>
      </c>
      <c r="AI24" s="40">
        <f t="shared" si="4"/>
        <v>843</v>
      </c>
      <c r="AJ24" s="40">
        <f t="shared" si="4"/>
        <v>0</v>
      </c>
      <c r="AK24" s="41">
        <f t="shared" si="4"/>
        <v>1757</v>
      </c>
      <c r="AL24" s="41">
        <f t="shared" si="4"/>
        <v>11152</v>
      </c>
      <c r="AM24" s="41">
        <f t="shared" si="4"/>
        <v>75</v>
      </c>
      <c r="AN24" s="41">
        <f t="shared" si="4"/>
        <v>8100</v>
      </c>
      <c r="AO24" s="41">
        <f>AO22-AO23</f>
        <v>0</v>
      </c>
      <c r="AP24" s="41">
        <f t="shared" si="4"/>
        <v>3675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X27" s="47"/>
      <c r="AC27" s="45" t="s">
        <v>56</v>
      </c>
      <c r="AK27" s="45" t="s">
        <v>57</v>
      </c>
      <c r="AO27" s="47"/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C28" s="49"/>
      <c r="AE28" s="49"/>
      <c r="AF28" s="49"/>
      <c r="AI28" s="49"/>
      <c r="AO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C29" s="49"/>
      <c r="AE29" s="49"/>
      <c r="AF29" s="49"/>
      <c r="AI29" s="49"/>
      <c r="AO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C30" s="153" t="s">
        <v>31</v>
      </c>
      <c r="AD30" s="155"/>
      <c r="AE30" s="155"/>
      <c r="AF30" s="153"/>
      <c r="AG30" s="155"/>
      <c r="AI30" s="155"/>
      <c r="AJ30" s="153"/>
      <c r="AK30" s="156" t="s">
        <v>211</v>
      </c>
      <c r="AL30" s="155"/>
      <c r="AO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C31" s="157" t="s">
        <v>64</v>
      </c>
      <c r="AD31" s="155"/>
      <c r="AE31" s="155"/>
      <c r="AF31" s="154"/>
      <c r="AG31" s="154"/>
      <c r="AI31" s="155"/>
      <c r="AJ31" s="157"/>
      <c r="AK31" s="154" t="s">
        <v>212</v>
      </c>
      <c r="AL31" s="155"/>
      <c r="AO31" s="154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C32" s="157" t="s">
        <v>46</v>
      </c>
      <c r="AD32" s="155"/>
      <c r="AE32" s="155"/>
      <c r="AF32" s="154"/>
      <c r="AG32" s="154"/>
      <c r="AI32" s="155"/>
      <c r="AJ32" s="157"/>
      <c r="AK32" s="154" t="s">
        <v>46</v>
      </c>
      <c r="AL32" s="154"/>
      <c r="AO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C33" s="154" t="s">
        <v>65</v>
      </c>
      <c r="AD33" s="154"/>
      <c r="AE33" s="154"/>
      <c r="AF33" s="154"/>
      <c r="AG33" s="154" t="s">
        <v>51</v>
      </c>
      <c r="AI33" s="154"/>
      <c r="AJ33" s="154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U16:V16"/>
    <mergeCell ref="S17:T17"/>
    <mergeCell ref="U17:V17"/>
    <mergeCell ref="W17:X17"/>
    <mergeCell ref="Y17:Z17"/>
    <mergeCell ref="W16:X16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Q17:R17"/>
    <mergeCell ref="AD18:AE18"/>
    <mergeCell ref="C20:D20"/>
    <mergeCell ref="B21:D21"/>
    <mergeCell ref="B22:D22"/>
    <mergeCell ref="B23:D23"/>
    <mergeCell ref="Y18:Z18"/>
    <mergeCell ref="AB18:AC18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opLeftCell="A4" zoomScale="70" zoomScaleNormal="70" workbookViewId="0">
      <selection activeCell="AK22" sqref="AK22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11.42578125" style="1" customWidth="1"/>
    <col min="36" max="36" width="23.140625" style="1" hidden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hidden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229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310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299" t="s">
        <v>223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311"/>
      <c r="AL18" s="311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46167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'5-18-24, 2026'!W24</f>
        <v>8463</v>
      </c>
      <c r="X20" s="21">
        <f>'5-18-24, 2026'!X24</f>
        <v>2275</v>
      </c>
      <c r="Y20" s="21">
        <f>'5-18-24, 2026'!Y24</f>
        <v>0</v>
      </c>
      <c r="Z20" s="21">
        <f>'5-18-24, 2026'!Z24</f>
        <v>0</v>
      </c>
      <c r="AA20" s="21" t="e">
        <f>'5-18-24, 2026'!AA24</f>
        <v>#REF!</v>
      </c>
      <c r="AB20" s="21">
        <f>'5-18-24, 2026'!AB24</f>
        <v>13923</v>
      </c>
      <c r="AC20" s="21">
        <f>'5-18-24, 2026'!AC24</f>
        <v>3825</v>
      </c>
      <c r="AD20" s="21">
        <f>'5-18-24, 2026'!AD24</f>
        <v>15400</v>
      </c>
      <c r="AE20" s="21">
        <f>'5-18-24, 2026'!AE24</f>
        <v>1925</v>
      </c>
      <c r="AF20" s="21">
        <f>'5-18-24, 2026'!AF24</f>
        <v>2900</v>
      </c>
      <c r="AG20" s="21" t="e">
        <f>'5-18-24, 2026'!AG24</f>
        <v>#REF!</v>
      </c>
      <c r="AH20" s="21">
        <f>'5-18-24, 2026'!AH24</f>
        <v>777</v>
      </c>
      <c r="AI20" s="21">
        <f>'5-18-24, 2026'!AI24</f>
        <v>843</v>
      </c>
      <c r="AJ20" s="21">
        <f>'5-18-24, 2026'!AJ24</f>
        <v>0</v>
      </c>
      <c r="AK20" s="21">
        <f>'5-18-24, 2026'!AK24</f>
        <v>1757</v>
      </c>
      <c r="AL20" s="21">
        <f>'5-18-24, 2026'!AL24</f>
        <v>11152</v>
      </c>
      <c r="AM20" s="21">
        <f>'5-18-24, 2026'!AM24</f>
        <v>75</v>
      </c>
      <c r="AN20" s="21">
        <f>'5-18-24, 2026'!AN24</f>
        <v>8100</v>
      </c>
      <c r="AO20" s="21">
        <f>'5-18-24, 2026'!AO24</f>
        <v>0</v>
      </c>
      <c r="AP20" s="21">
        <f>'5-18-24, 2026'!AP24</f>
        <v>3675</v>
      </c>
      <c r="AQ20" s="21">
        <f>'5-18-24, 2026'!AQ24</f>
        <v>0</v>
      </c>
      <c r="AR20" s="21">
        <f>'5-18-24,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/>
      <c r="AC21" s="22">
        <f>AB21/91*25</f>
        <v>0</v>
      </c>
      <c r="AD21" s="23"/>
      <c r="AE21" s="22">
        <f>AD21/91*25</f>
        <v>0</v>
      </c>
      <c r="AF21" s="23"/>
      <c r="AG21" s="23"/>
      <c r="AH21" s="23"/>
      <c r="AI21" s="23"/>
      <c r="AJ21" s="23"/>
      <c r="AK21" s="23"/>
      <c r="AL21" s="23"/>
      <c r="AM21" s="31"/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8463</v>
      </c>
      <c r="X22" s="34">
        <f>X20+X21</f>
        <v>2275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13923</v>
      </c>
      <c r="AC22" s="34">
        <f>AC20+AC21</f>
        <v>3825</v>
      </c>
      <c r="AD22" s="34">
        <f t="shared" ref="AD22" si="3">AD20+AD21</f>
        <v>15400</v>
      </c>
      <c r="AE22" s="34">
        <f>AE20+AE21</f>
        <v>1925</v>
      </c>
      <c r="AF22" s="34">
        <f t="shared" si="0"/>
        <v>2900</v>
      </c>
      <c r="AG22" s="34" t="e">
        <f t="shared" si="0"/>
        <v>#REF!</v>
      </c>
      <c r="AH22" s="34">
        <f t="shared" si="0"/>
        <v>777</v>
      </c>
      <c r="AI22" s="34">
        <f t="shared" si="0"/>
        <v>843</v>
      </c>
      <c r="AJ22" s="34">
        <f t="shared" si="0"/>
        <v>0</v>
      </c>
      <c r="AK22" s="34">
        <f t="shared" si="0"/>
        <v>1757</v>
      </c>
      <c r="AL22" s="34">
        <f t="shared" si="0"/>
        <v>11152</v>
      </c>
      <c r="AM22" s="34">
        <f t="shared" si="0"/>
        <v>75</v>
      </c>
      <c r="AN22" s="34">
        <f t="shared" si="0"/>
        <v>8100</v>
      </c>
      <c r="AO22" s="34">
        <f t="shared" si="0"/>
        <v>0</v>
      </c>
      <c r="AP22" s="34">
        <f t="shared" si="0"/>
        <v>3675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1581</v>
      </c>
      <c r="X23" s="22">
        <f>W23/93*25</f>
        <v>425</v>
      </c>
      <c r="Y23" s="22"/>
      <c r="Z23" s="24"/>
      <c r="AA23" s="30"/>
      <c r="AB23" s="30">
        <v>637</v>
      </c>
      <c r="AC23" s="22">
        <f>AB23/91*25</f>
        <v>175</v>
      </c>
      <c r="AD23" s="30">
        <v>0</v>
      </c>
      <c r="AE23" s="22">
        <f>AD23/200*25</f>
        <v>0</v>
      </c>
      <c r="AF23" s="30">
        <v>1100</v>
      </c>
      <c r="AG23" s="30"/>
      <c r="AH23" s="36">
        <v>47</v>
      </c>
      <c r="AI23" s="22">
        <v>47</v>
      </c>
      <c r="AJ23" s="22"/>
      <c r="AK23" s="30">
        <v>0</v>
      </c>
      <c r="AL23" s="30">
        <v>405</v>
      </c>
      <c r="AM23" s="30">
        <v>75</v>
      </c>
      <c r="AN23" s="30">
        <v>376</v>
      </c>
      <c r="AO23" s="30"/>
      <c r="AP23" s="30">
        <v>300</v>
      </c>
      <c r="AQ23" s="22"/>
      <c r="AR23" s="38">
        <v>0</v>
      </c>
    </row>
    <row r="24" spans="2:55" s="3" customFormat="1" ht="100.5" customHeight="1" thickBot="1" x14ac:dyDescent="0.25">
      <c r="B24" s="39">
        <v>46173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6882</v>
      </c>
      <c r="X24" s="40">
        <f>X22-X23</f>
        <v>1850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13286</v>
      </c>
      <c r="AC24" s="40">
        <f>AC22-AC23</f>
        <v>3650</v>
      </c>
      <c r="AD24" s="40">
        <f>AD22-AD23</f>
        <v>15400</v>
      </c>
      <c r="AE24" s="40">
        <f>AE22-AE23</f>
        <v>1925</v>
      </c>
      <c r="AF24" s="41">
        <f>AF22-AF23</f>
        <v>1800</v>
      </c>
      <c r="AG24" s="41" t="e">
        <f t="shared" si="4"/>
        <v>#REF!</v>
      </c>
      <c r="AH24" s="93">
        <f>AH22-AH23</f>
        <v>730</v>
      </c>
      <c r="AI24" s="40">
        <f t="shared" si="4"/>
        <v>796</v>
      </c>
      <c r="AJ24" s="40">
        <f t="shared" si="4"/>
        <v>0</v>
      </c>
      <c r="AK24" s="41">
        <f t="shared" si="4"/>
        <v>1757</v>
      </c>
      <c r="AL24" s="41">
        <f t="shared" si="4"/>
        <v>10747</v>
      </c>
      <c r="AM24" s="41">
        <f t="shared" si="4"/>
        <v>0</v>
      </c>
      <c r="AN24" s="41">
        <f t="shared" si="4"/>
        <v>7724</v>
      </c>
      <c r="AO24" s="41">
        <f>AO22-AO23</f>
        <v>0</v>
      </c>
      <c r="AP24" s="41">
        <f t="shared" si="4"/>
        <v>3375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X27" s="47"/>
      <c r="AC27" s="45" t="s">
        <v>56</v>
      </c>
      <c r="AK27" s="45" t="s">
        <v>57</v>
      </c>
      <c r="AO27" s="47"/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C28" s="49"/>
      <c r="AE28" s="49"/>
      <c r="AF28" s="49"/>
      <c r="AI28" s="49"/>
      <c r="AO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C29" s="49"/>
      <c r="AE29" s="49"/>
      <c r="AF29" s="49"/>
      <c r="AI29" s="49"/>
      <c r="AO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C30" s="153" t="s">
        <v>31</v>
      </c>
      <c r="AD30" s="155"/>
      <c r="AE30" s="155"/>
      <c r="AF30" s="153"/>
      <c r="AG30" s="155"/>
      <c r="AI30" s="155"/>
      <c r="AJ30" s="153"/>
      <c r="AK30" s="156" t="s">
        <v>211</v>
      </c>
      <c r="AL30" s="155"/>
      <c r="AO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C31" s="157" t="s">
        <v>64</v>
      </c>
      <c r="AD31" s="155"/>
      <c r="AE31" s="155"/>
      <c r="AF31" s="154"/>
      <c r="AG31" s="154"/>
      <c r="AI31" s="155"/>
      <c r="AJ31" s="157"/>
      <c r="AK31" s="154" t="s">
        <v>212</v>
      </c>
      <c r="AL31" s="155"/>
      <c r="AO31" s="154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C32" s="157" t="s">
        <v>46</v>
      </c>
      <c r="AD32" s="155"/>
      <c r="AE32" s="155"/>
      <c r="AF32" s="154"/>
      <c r="AG32" s="154"/>
      <c r="AI32" s="155"/>
      <c r="AJ32" s="157"/>
      <c r="AK32" s="154" t="s">
        <v>46</v>
      </c>
      <c r="AL32" s="154"/>
      <c r="AO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C33" s="154" t="s">
        <v>65</v>
      </c>
      <c r="AD33" s="154"/>
      <c r="AE33" s="154"/>
      <c r="AF33" s="154"/>
      <c r="AG33" s="154" t="s">
        <v>51</v>
      </c>
      <c r="AI33" s="154"/>
      <c r="AJ33" s="154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Y18:Z18"/>
    <mergeCell ref="AB18:AC18"/>
    <mergeCell ref="AB17:AC17"/>
    <mergeCell ref="C24:D24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O18:P18"/>
    <mergeCell ref="U16:V16"/>
    <mergeCell ref="S17:T17"/>
    <mergeCell ref="U17:V17"/>
    <mergeCell ref="W17:X17"/>
    <mergeCell ref="Y17:Z17"/>
    <mergeCell ref="Q17:R17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W16:X16"/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  <mergeCell ref="AD17:AE17"/>
    <mergeCell ref="Y16:Z16"/>
    <mergeCell ref="AB16:AC16"/>
    <mergeCell ref="AD16:AE16"/>
    <mergeCell ref="E17:F17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0:BC47"/>
  <sheetViews>
    <sheetView tabSelected="1" topLeftCell="A10" zoomScale="70" zoomScaleNormal="70" workbookViewId="0">
      <selection activeCell="AE24" sqref="AE24"/>
    </sheetView>
  </sheetViews>
  <sheetFormatPr defaultRowHeight="21.75" x14ac:dyDescent="0.3"/>
  <cols>
    <col min="1" max="1" width="0.140625" style="1" customWidth="1"/>
    <col min="2" max="2" width="18.5703125" style="1" customWidth="1"/>
    <col min="3" max="3" width="18.7109375" style="1" customWidth="1"/>
    <col min="4" max="4" width="21.140625" style="1" customWidth="1"/>
    <col min="5" max="6" width="6.42578125" style="1" hidden="1" customWidth="1"/>
    <col min="7" max="7" width="14" style="1" hidden="1" customWidth="1"/>
    <col min="8" max="8" width="18.7109375" style="1" hidden="1" customWidth="1"/>
    <col min="9" max="9" width="4.42578125" style="1" hidden="1" customWidth="1"/>
    <col min="10" max="10" width="4.7109375" style="1" hidden="1" customWidth="1"/>
    <col min="11" max="11" width="6.85546875" style="1" hidden="1" customWidth="1"/>
    <col min="12" max="12" width="9.140625" style="1" hidden="1" customWidth="1"/>
    <col min="13" max="13" width="6.42578125" style="1" hidden="1" customWidth="1"/>
    <col min="14" max="14" width="7.42578125" style="1" hidden="1" customWidth="1"/>
    <col min="15" max="16" width="10.7109375" style="1" hidden="1" customWidth="1"/>
    <col min="17" max="17" width="20.140625" style="1" hidden="1" customWidth="1"/>
    <col min="18" max="18" width="16" style="1" hidden="1" customWidth="1"/>
    <col min="19" max="19" width="13" style="1" hidden="1" customWidth="1"/>
    <col min="20" max="20" width="10.85546875" style="1" hidden="1" customWidth="1"/>
    <col min="21" max="21" width="11.7109375" style="1" hidden="1" customWidth="1"/>
    <col min="22" max="22" width="16.5703125" style="1" hidden="1" customWidth="1"/>
    <col min="23" max="23" width="13.7109375" style="1" bestFit="1" customWidth="1"/>
    <col min="24" max="24" width="14.85546875" style="1" customWidth="1"/>
    <col min="25" max="26" width="12.7109375" style="1" hidden="1" customWidth="1"/>
    <col min="27" max="27" width="2.140625" style="1" hidden="1" customWidth="1"/>
    <col min="28" max="28" width="13.7109375" style="1" bestFit="1" customWidth="1"/>
    <col min="29" max="29" width="14.85546875" style="1" customWidth="1"/>
    <col min="30" max="30" width="13.7109375" style="1" bestFit="1" customWidth="1"/>
    <col min="31" max="31" width="14.85546875" style="1" customWidth="1"/>
    <col min="32" max="32" width="11.85546875" style="1" customWidth="1"/>
    <col min="33" max="33" width="7" style="1" hidden="1" customWidth="1"/>
    <col min="34" max="34" width="12" style="1" customWidth="1"/>
    <col min="35" max="35" width="11.42578125" style="1" customWidth="1"/>
    <col min="36" max="36" width="23.140625" style="1" customWidth="1"/>
    <col min="37" max="37" width="16.42578125" style="1" customWidth="1"/>
    <col min="38" max="38" width="17.7109375" style="1" customWidth="1"/>
    <col min="39" max="39" width="20.85546875" style="1" customWidth="1"/>
    <col min="40" max="40" width="18.42578125" style="1" customWidth="1"/>
    <col min="41" max="41" width="17" style="1" hidden="1" customWidth="1"/>
    <col min="42" max="42" width="17.7109375" style="1" customWidth="1"/>
    <col min="43" max="43" width="12.42578125" style="1" hidden="1" customWidth="1"/>
    <col min="44" max="44" width="9.28515625" style="1" customWidth="1"/>
    <col min="45" max="45" width="14.28515625" style="1" bestFit="1" customWidth="1"/>
    <col min="46" max="46" width="13.42578125" style="1" bestFit="1" customWidth="1"/>
    <col min="47" max="47" width="9.140625" style="1"/>
    <col min="48" max="48" width="10.7109375" style="1" bestFit="1" customWidth="1"/>
    <col min="49" max="16384" width="9.140625" style="1"/>
  </cols>
  <sheetData>
    <row r="10" spans="1:45" ht="34.5" x14ac:dyDescent="0.45">
      <c r="A10" s="314" t="s">
        <v>58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178"/>
    </row>
    <row r="11" spans="1:45" ht="34.5" x14ac:dyDescent="0.45">
      <c r="A11" s="315" t="s">
        <v>230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179"/>
    </row>
    <row r="12" spans="1:45" ht="3.75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5" ht="22.5" thickBot="1" x14ac:dyDescent="0.35"/>
    <row r="14" spans="1:45" s="3" customFormat="1" ht="18" customHeight="1" x14ac:dyDescent="0.2">
      <c r="B14" s="316" t="s">
        <v>0</v>
      </c>
      <c r="C14" s="317"/>
      <c r="D14" s="318"/>
      <c r="E14" s="316" t="s">
        <v>1</v>
      </c>
      <c r="F14" s="317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8"/>
    </row>
    <row r="15" spans="1:45" s="3" customFormat="1" ht="24" customHeight="1" thickBot="1" x14ac:dyDescent="0.25">
      <c r="B15" s="319"/>
      <c r="C15" s="320"/>
      <c r="D15" s="321"/>
      <c r="E15" s="319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1"/>
    </row>
    <row r="16" spans="1:45" s="3" customFormat="1" x14ac:dyDescent="0.2">
      <c r="B16" s="322" t="s">
        <v>2</v>
      </c>
      <c r="C16" s="325" t="s">
        <v>3</v>
      </c>
      <c r="D16" s="325"/>
      <c r="E16" s="328" t="s">
        <v>4</v>
      </c>
      <c r="F16" s="329"/>
      <c r="G16" s="328" t="s">
        <v>4</v>
      </c>
      <c r="H16" s="329"/>
      <c r="I16" s="330" t="s">
        <v>5</v>
      </c>
      <c r="J16" s="331"/>
      <c r="K16" s="328" t="s">
        <v>4</v>
      </c>
      <c r="L16" s="329"/>
      <c r="M16" s="328" t="s">
        <v>4</v>
      </c>
      <c r="N16" s="329"/>
      <c r="O16" s="330" t="s">
        <v>5</v>
      </c>
      <c r="P16" s="331"/>
      <c r="Q16" s="328" t="s">
        <v>4</v>
      </c>
      <c r="R16" s="329"/>
      <c r="S16" s="328" t="s">
        <v>4</v>
      </c>
      <c r="T16" s="329"/>
      <c r="U16" s="353" t="s">
        <v>133</v>
      </c>
      <c r="V16" s="354"/>
      <c r="W16" s="328" t="s">
        <v>206</v>
      </c>
      <c r="X16" s="329"/>
      <c r="Y16" s="328" t="s">
        <v>4</v>
      </c>
      <c r="Z16" s="329"/>
      <c r="AA16" s="5" t="s">
        <v>6</v>
      </c>
      <c r="AB16" s="328" t="s">
        <v>158</v>
      </c>
      <c r="AC16" s="329"/>
      <c r="AD16" s="328" t="s">
        <v>158</v>
      </c>
      <c r="AE16" s="329"/>
      <c r="AF16" s="6" t="s">
        <v>7</v>
      </c>
      <c r="AG16" s="6" t="s">
        <v>8</v>
      </c>
      <c r="AH16" s="7" t="s">
        <v>8</v>
      </c>
      <c r="AI16" s="5" t="s">
        <v>9</v>
      </c>
      <c r="AJ16" s="57" t="s">
        <v>215</v>
      </c>
      <c r="AK16" s="57" t="s">
        <v>10</v>
      </c>
      <c r="AL16" s="57" t="s">
        <v>10</v>
      </c>
      <c r="AM16" s="57" t="s">
        <v>216</v>
      </c>
      <c r="AN16" s="57" t="s">
        <v>40</v>
      </c>
      <c r="AO16" s="57" t="s">
        <v>41</v>
      </c>
      <c r="AP16" s="57" t="s">
        <v>41</v>
      </c>
      <c r="AQ16" s="57" t="s">
        <v>12</v>
      </c>
      <c r="AR16" s="312" t="s">
        <v>13</v>
      </c>
    </row>
    <row r="17" spans="2:55" s="3" customFormat="1" ht="19.5" customHeight="1" x14ac:dyDescent="0.2">
      <c r="B17" s="323"/>
      <c r="C17" s="326"/>
      <c r="D17" s="326"/>
      <c r="E17" s="332">
        <v>62</v>
      </c>
      <c r="F17" s="333"/>
      <c r="G17" s="332">
        <v>36</v>
      </c>
      <c r="H17" s="333"/>
      <c r="I17" s="334">
        <v>200</v>
      </c>
      <c r="J17" s="335"/>
      <c r="K17" s="332">
        <v>208</v>
      </c>
      <c r="L17" s="333"/>
      <c r="M17" s="332">
        <v>150</v>
      </c>
      <c r="N17" s="333"/>
      <c r="O17" s="334">
        <v>150</v>
      </c>
      <c r="P17" s="335"/>
      <c r="Q17" s="332">
        <v>80</v>
      </c>
      <c r="R17" s="333"/>
      <c r="S17" s="332">
        <v>91</v>
      </c>
      <c r="T17" s="333"/>
      <c r="U17" s="351">
        <v>215</v>
      </c>
      <c r="V17" s="352"/>
      <c r="W17" s="332"/>
      <c r="X17" s="333"/>
      <c r="Y17" s="332">
        <v>135</v>
      </c>
      <c r="Z17" s="333"/>
      <c r="AA17" s="8" t="s">
        <v>14</v>
      </c>
      <c r="AB17" s="332">
        <v>901</v>
      </c>
      <c r="AC17" s="333"/>
      <c r="AD17" s="332">
        <v>901</v>
      </c>
      <c r="AE17" s="333"/>
      <c r="AF17" s="9"/>
      <c r="AG17" s="9" t="s">
        <v>15</v>
      </c>
      <c r="AH17" s="10"/>
      <c r="AI17" s="8"/>
      <c r="AJ17" s="355" t="s">
        <v>223</v>
      </c>
      <c r="AK17" s="11">
        <v>2.4</v>
      </c>
      <c r="AL17" s="11">
        <v>4.9000000000000004</v>
      </c>
      <c r="AM17" s="11" t="s">
        <v>217</v>
      </c>
      <c r="AN17" s="11">
        <v>10</v>
      </c>
      <c r="AO17" s="11">
        <v>10</v>
      </c>
      <c r="AP17" s="11">
        <v>40</v>
      </c>
      <c r="AQ17" s="12"/>
      <c r="AR17" s="12"/>
    </row>
    <row r="18" spans="2:55" s="3" customFormat="1" ht="19.5" customHeight="1" x14ac:dyDescent="0.2">
      <c r="B18" s="323"/>
      <c r="C18" s="326"/>
      <c r="D18" s="326"/>
      <c r="E18" s="332" t="s">
        <v>37</v>
      </c>
      <c r="F18" s="333"/>
      <c r="G18" s="332" t="s">
        <v>38</v>
      </c>
      <c r="H18" s="333"/>
      <c r="I18" s="334" t="s">
        <v>17</v>
      </c>
      <c r="J18" s="335"/>
      <c r="K18" s="332" t="s">
        <v>18</v>
      </c>
      <c r="L18" s="333"/>
      <c r="M18" s="332" t="s">
        <v>16</v>
      </c>
      <c r="N18" s="333"/>
      <c r="O18" s="334" t="s">
        <v>19</v>
      </c>
      <c r="P18" s="335"/>
      <c r="Q18" s="332" t="s">
        <v>38</v>
      </c>
      <c r="R18" s="333"/>
      <c r="S18" s="332" t="s">
        <v>97</v>
      </c>
      <c r="T18" s="333"/>
      <c r="U18" s="351"/>
      <c r="V18" s="352"/>
      <c r="W18" s="332">
        <v>93</v>
      </c>
      <c r="X18" s="333"/>
      <c r="Y18" s="332" t="s">
        <v>19</v>
      </c>
      <c r="Z18" s="333"/>
      <c r="AA18" s="8"/>
      <c r="AB18" s="332">
        <v>91</v>
      </c>
      <c r="AC18" s="333"/>
      <c r="AD18" s="332">
        <v>200</v>
      </c>
      <c r="AE18" s="333"/>
      <c r="AF18" s="10"/>
      <c r="AG18" s="10"/>
      <c r="AH18" s="10"/>
      <c r="AI18" s="8"/>
      <c r="AJ18" s="10"/>
      <c r="AK18" s="313"/>
      <c r="AL18" s="313"/>
      <c r="AM18" s="10"/>
      <c r="AN18" s="10"/>
      <c r="AO18" s="10"/>
      <c r="AP18" s="10"/>
      <c r="AQ18" s="10"/>
      <c r="AR18" s="10"/>
    </row>
    <row r="19" spans="2:55" s="3" customFormat="1" ht="22.5" thickBot="1" x14ac:dyDescent="0.25">
      <c r="B19" s="324"/>
      <c r="C19" s="327"/>
      <c r="D19" s="327"/>
      <c r="E19" s="14" t="s">
        <v>20</v>
      </c>
      <c r="F19" s="15" t="s">
        <v>21</v>
      </c>
      <c r="G19" s="14" t="s">
        <v>20</v>
      </c>
      <c r="H19" s="15" t="s">
        <v>21</v>
      </c>
      <c r="I19" s="16" t="s">
        <v>20</v>
      </c>
      <c r="J19" s="17" t="s">
        <v>21</v>
      </c>
      <c r="K19" s="14" t="s">
        <v>20</v>
      </c>
      <c r="L19" s="15" t="s">
        <v>21</v>
      </c>
      <c r="M19" s="14" t="s">
        <v>20</v>
      </c>
      <c r="N19" s="15" t="s">
        <v>21</v>
      </c>
      <c r="O19" s="16" t="s">
        <v>20</v>
      </c>
      <c r="P19" s="17" t="s">
        <v>21</v>
      </c>
      <c r="Q19" s="14" t="s">
        <v>20</v>
      </c>
      <c r="R19" s="15" t="s">
        <v>21</v>
      </c>
      <c r="S19" s="14" t="s">
        <v>20</v>
      </c>
      <c r="T19" s="15" t="s">
        <v>21</v>
      </c>
      <c r="U19" s="14" t="s">
        <v>20</v>
      </c>
      <c r="V19" s="15" t="s">
        <v>21</v>
      </c>
      <c r="W19" s="14" t="s">
        <v>20</v>
      </c>
      <c r="X19" s="15" t="s">
        <v>21</v>
      </c>
      <c r="Y19" s="14" t="s">
        <v>20</v>
      </c>
      <c r="Z19" s="15" t="s">
        <v>21</v>
      </c>
      <c r="AA19" s="18" t="s">
        <v>20</v>
      </c>
      <c r="AB19" s="14" t="s">
        <v>20</v>
      </c>
      <c r="AC19" s="15" t="s">
        <v>21</v>
      </c>
      <c r="AD19" s="14" t="s">
        <v>20</v>
      </c>
      <c r="AE19" s="15" t="s">
        <v>21</v>
      </c>
      <c r="AF19" s="19" t="s">
        <v>21</v>
      </c>
      <c r="AG19" s="19" t="s">
        <v>22</v>
      </c>
      <c r="AH19" s="19" t="s">
        <v>22</v>
      </c>
      <c r="AI19" s="18" t="s">
        <v>20</v>
      </c>
      <c r="AJ19" s="19" t="s">
        <v>22</v>
      </c>
      <c r="AK19" s="20" t="s">
        <v>20</v>
      </c>
      <c r="AL19" s="20" t="s">
        <v>20</v>
      </c>
      <c r="AM19" s="19" t="s">
        <v>22</v>
      </c>
      <c r="AN19" s="19" t="s">
        <v>22</v>
      </c>
      <c r="AO19" s="19" t="s">
        <v>22</v>
      </c>
      <c r="AP19" s="19" t="s">
        <v>22</v>
      </c>
      <c r="AQ19" s="19" t="s">
        <v>22</v>
      </c>
      <c r="AR19" s="19" t="s">
        <v>20</v>
      </c>
    </row>
    <row r="20" spans="2:55" ht="68.25" customHeight="1" x14ac:dyDescent="0.3">
      <c r="B20" s="56">
        <v>46174</v>
      </c>
      <c r="C20" s="338" t="s">
        <v>23</v>
      </c>
      <c r="D20" s="339"/>
      <c r="E20" s="21"/>
      <c r="F20" s="21">
        <f>'4-8-14,2024'!E24</f>
        <v>0</v>
      </c>
      <c r="G20" s="21">
        <f>'5-20-26,2024'!F24</f>
        <v>0</v>
      </c>
      <c r="H20" s="21">
        <f>'5-20-26,2024'!G24</f>
        <v>0</v>
      </c>
      <c r="I20" s="21" t="e">
        <f>'5-20-26,2024'!H24</f>
        <v>#REF!</v>
      </c>
      <c r="J20" s="21" t="e">
        <f>'5-20-26,2024'!I24</f>
        <v>#REF!</v>
      </c>
      <c r="K20" s="21">
        <f>'5-20-26,2024'!J24</f>
        <v>0</v>
      </c>
      <c r="L20" s="21">
        <f>'5-20-26,2024'!K24</f>
        <v>0</v>
      </c>
      <c r="M20" s="21">
        <f>'5-20-26,2024'!L24</f>
        <v>0</v>
      </c>
      <c r="N20" s="21">
        <f>'5-20-26,2024'!M24</f>
        <v>0</v>
      </c>
      <c r="O20" s="21" t="e">
        <f>'5-20-26,2024'!N24</f>
        <v>#REF!</v>
      </c>
      <c r="P20" s="21" t="e">
        <f>'5-20-26,2024'!O24</f>
        <v>#REF!</v>
      </c>
      <c r="Q20" s="21">
        <f>'12-30-1-5, 2025'!P24</f>
        <v>0</v>
      </c>
      <c r="R20" s="21">
        <f>'12-30-1-5, 2025'!Q24</f>
        <v>0</v>
      </c>
      <c r="S20" s="21">
        <f>'3-2-8, 2026'!S24</f>
        <v>0</v>
      </c>
      <c r="T20" s="21">
        <f>'3-2-8, 2026'!T24</f>
        <v>0</v>
      </c>
      <c r="U20" s="21">
        <f>'3-2-8, 2026'!U24</f>
        <v>0</v>
      </c>
      <c r="V20" s="21">
        <f>'3-2-8, 2026'!V24</f>
        <v>0</v>
      </c>
      <c r="W20" s="21">
        <f>'5-25-31, 2026'!W24</f>
        <v>6882</v>
      </c>
      <c r="X20" s="21">
        <f>'5-25-31, 2026'!X24</f>
        <v>1850</v>
      </c>
      <c r="Y20" s="21">
        <f>'5-25-31, 2026'!Y24</f>
        <v>0</v>
      </c>
      <c r="Z20" s="21">
        <f>'5-25-31, 2026'!Z24</f>
        <v>0</v>
      </c>
      <c r="AA20" s="21" t="e">
        <f>'5-25-31, 2026'!AA24</f>
        <v>#REF!</v>
      </c>
      <c r="AB20" s="21">
        <f>'5-25-31, 2026'!AB24</f>
        <v>13286</v>
      </c>
      <c r="AC20" s="21">
        <f>'5-25-31, 2026'!AC24</f>
        <v>3650</v>
      </c>
      <c r="AD20" s="21">
        <f>'5-25-31, 2026'!AD24</f>
        <v>15400</v>
      </c>
      <c r="AE20" s="21">
        <f>'5-25-31, 2026'!AE24</f>
        <v>1925</v>
      </c>
      <c r="AF20" s="21">
        <f>'5-25-31, 2026'!AF24</f>
        <v>1800</v>
      </c>
      <c r="AG20" s="21" t="e">
        <f>'5-25-31, 2026'!AG24</f>
        <v>#REF!</v>
      </c>
      <c r="AH20" s="21">
        <f>'5-25-31, 2026'!AH24</f>
        <v>730</v>
      </c>
      <c r="AI20" s="21">
        <f>'5-25-31, 2026'!AI24</f>
        <v>796</v>
      </c>
      <c r="AJ20" s="21">
        <f>'5-25-31, 2026'!AJ24</f>
        <v>0</v>
      </c>
      <c r="AK20" s="21">
        <f>'5-25-31, 2026'!AK24</f>
        <v>1757</v>
      </c>
      <c r="AL20" s="21">
        <f>'5-25-31, 2026'!AL24</f>
        <v>10747</v>
      </c>
      <c r="AM20" s="21">
        <f>'5-25-31, 2026'!AM24</f>
        <v>0</v>
      </c>
      <c r="AN20" s="21">
        <f>'5-25-31, 2026'!AN24</f>
        <v>7724</v>
      </c>
      <c r="AO20" s="21">
        <f>'5-25-31, 2026'!AO24</f>
        <v>0</v>
      </c>
      <c r="AP20" s="21">
        <f>'5-25-31, 2026'!AP24</f>
        <v>3375</v>
      </c>
      <c r="AQ20" s="21">
        <f>'5-25-31, 2026'!AQ24</f>
        <v>0</v>
      </c>
      <c r="AR20" s="21">
        <f>'5-25-31, 2026'!AR24</f>
        <v>96</v>
      </c>
      <c r="AS20" s="28"/>
    </row>
    <row r="21" spans="2:55" ht="48" customHeight="1" x14ac:dyDescent="0.3">
      <c r="B21" s="340" t="s">
        <v>25</v>
      </c>
      <c r="C21" s="341"/>
      <c r="D21" s="342"/>
      <c r="E21" s="23"/>
      <c r="F21" s="24"/>
      <c r="G21" s="23"/>
      <c r="H21" s="22">
        <f>G21/36*25</f>
        <v>0</v>
      </c>
      <c r="I21" s="23"/>
      <c r="J21" s="23"/>
      <c r="K21" s="30"/>
      <c r="L21" s="26"/>
      <c r="M21" s="30"/>
      <c r="N21" s="26"/>
      <c r="O21" s="30"/>
      <c r="P21" s="26"/>
      <c r="Q21" s="25"/>
      <c r="R21" s="26">
        <f>Q21/80*25</f>
        <v>0</v>
      </c>
      <c r="S21" s="25"/>
      <c r="T21" s="26"/>
      <c r="U21" s="25"/>
      <c r="V21" s="26"/>
      <c r="W21" s="23"/>
      <c r="X21" s="22">
        <f>W21/93*25</f>
        <v>0</v>
      </c>
      <c r="Y21" s="23"/>
      <c r="Z21" s="26"/>
      <c r="AA21" s="23"/>
      <c r="AB21" s="23">
        <v>27300</v>
      </c>
      <c r="AC21" s="22">
        <f>AB21/91*25</f>
        <v>7500</v>
      </c>
      <c r="AD21" s="23"/>
      <c r="AE21" s="22">
        <f>AD21/91*25</f>
        <v>0</v>
      </c>
      <c r="AF21" s="23"/>
      <c r="AG21" s="23"/>
      <c r="AH21" s="23">
        <v>980</v>
      </c>
      <c r="AI21" s="23">
        <v>500</v>
      </c>
      <c r="AJ21" s="23">
        <v>150</v>
      </c>
      <c r="AK21" s="23"/>
      <c r="AL21" s="23">
        <v>6820</v>
      </c>
      <c r="AM21" s="31">
        <v>155</v>
      </c>
      <c r="AN21" s="31"/>
      <c r="AO21" s="31"/>
      <c r="AP21" s="31"/>
      <c r="AQ21" s="23"/>
      <c r="AR21" s="32"/>
      <c r="AT21" s="33"/>
    </row>
    <row r="22" spans="2:55" ht="54" customHeight="1" x14ac:dyDescent="0.3">
      <c r="B22" s="343" t="s">
        <v>26</v>
      </c>
      <c r="C22" s="344"/>
      <c r="D22" s="345"/>
      <c r="E22" s="34">
        <f>E20+E21</f>
        <v>0</v>
      </c>
      <c r="F22" s="80">
        <f t="shared" ref="F22:AR22" si="0">F20+F21</f>
        <v>0</v>
      </c>
      <c r="G22" s="34">
        <f>G20+G21</f>
        <v>0</v>
      </c>
      <c r="H22" s="111">
        <f t="shared" si="0"/>
        <v>0</v>
      </c>
      <c r="I22" s="34" t="e">
        <f t="shared" si="0"/>
        <v>#REF!</v>
      </c>
      <c r="J22" s="34" t="e">
        <f t="shared" si="0"/>
        <v>#REF!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 t="e">
        <f t="shared" si="0"/>
        <v>#REF!</v>
      </c>
      <c r="P22" s="34" t="e">
        <f t="shared" si="0"/>
        <v>#REF!</v>
      </c>
      <c r="Q22" s="34">
        <f>Q20+Q21</f>
        <v>0</v>
      </c>
      <c r="R22" s="34">
        <f t="shared" si="0"/>
        <v>0</v>
      </c>
      <c r="S22" s="34">
        <f>S20+S21</f>
        <v>0</v>
      </c>
      <c r="T22" s="34">
        <f t="shared" ref="T22" si="1">T20+T21</f>
        <v>0</v>
      </c>
      <c r="U22" s="34">
        <f>U20+U21</f>
        <v>0</v>
      </c>
      <c r="V22" s="34">
        <f t="shared" ref="V22" si="2">V20+V21</f>
        <v>0</v>
      </c>
      <c r="W22" s="34">
        <f t="shared" si="0"/>
        <v>6882</v>
      </c>
      <c r="X22" s="34">
        <f>X20+X21</f>
        <v>1850</v>
      </c>
      <c r="Y22" s="34">
        <f t="shared" si="0"/>
        <v>0</v>
      </c>
      <c r="Z22" s="34">
        <f t="shared" si="0"/>
        <v>0</v>
      </c>
      <c r="AA22" s="34" t="e">
        <f t="shared" si="0"/>
        <v>#REF!</v>
      </c>
      <c r="AB22" s="34">
        <f t="shared" si="0"/>
        <v>40586</v>
      </c>
      <c r="AC22" s="34">
        <f>AC20+AC21</f>
        <v>11150</v>
      </c>
      <c r="AD22" s="34">
        <f t="shared" ref="AD22" si="3">AD20+AD21</f>
        <v>15400</v>
      </c>
      <c r="AE22" s="34">
        <f>AE20+AE21</f>
        <v>1925</v>
      </c>
      <c r="AF22" s="34">
        <f t="shared" si="0"/>
        <v>1800</v>
      </c>
      <c r="AG22" s="34" t="e">
        <f t="shared" si="0"/>
        <v>#REF!</v>
      </c>
      <c r="AH22" s="34">
        <f t="shared" si="0"/>
        <v>1710</v>
      </c>
      <c r="AI22" s="34">
        <f t="shared" si="0"/>
        <v>1296</v>
      </c>
      <c r="AJ22" s="34">
        <f t="shared" si="0"/>
        <v>150</v>
      </c>
      <c r="AK22" s="34">
        <f t="shared" si="0"/>
        <v>1757</v>
      </c>
      <c r="AL22" s="34">
        <f t="shared" si="0"/>
        <v>17567</v>
      </c>
      <c r="AM22" s="34">
        <f t="shared" si="0"/>
        <v>155</v>
      </c>
      <c r="AN22" s="34">
        <f t="shared" si="0"/>
        <v>7724</v>
      </c>
      <c r="AO22" s="34">
        <f t="shared" si="0"/>
        <v>0</v>
      </c>
      <c r="AP22" s="34">
        <f t="shared" si="0"/>
        <v>3375</v>
      </c>
      <c r="AQ22" s="34">
        <f t="shared" si="0"/>
        <v>0</v>
      </c>
      <c r="AR22" s="165">
        <f t="shared" si="0"/>
        <v>96</v>
      </c>
    </row>
    <row r="23" spans="2:55" ht="75.75" customHeight="1" x14ac:dyDescent="0.3">
      <c r="B23" s="346" t="s">
        <v>27</v>
      </c>
      <c r="C23" s="347"/>
      <c r="D23" s="348"/>
      <c r="E23" s="23"/>
      <c r="F23" s="22">
        <f>E23/62*25</f>
        <v>0</v>
      </c>
      <c r="G23" s="22">
        <v>0</v>
      </c>
      <c r="H23" s="26">
        <f>G23/36*25</f>
        <v>0</v>
      </c>
      <c r="I23" s="30" t="e">
        <f>#REF!</f>
        <v>#REF!</v>
      </c>
      <c r="J23" s="30" t="e">
        <f>#REF!</f>
        <v>#REF!</v>
      </c>
      <c r="K23" s="30">
        <v>0</v>
      </c>
      <c r="L23" s="22">
        <f>K23/208*25</f>
        <v>0</v>
      </c>
      <c r="M23" s="30">
        <v>0</v>
      </c>
      <c r="N23" s="24">
        <f>M23/150*25</f>
        <v>0</v>
      </c>
      <c r="O23" s="30">
        <v>0</v>
      </c>
      <c r="P23" s="30">
        <f>O23/150*20</f>
        <v>0</v>
      </c>
      <c r="Q23" s="30"/>
      <c r="R23" s="21">
        <f>Q23/80*25</f>
        <v>0</v>
      </c>
      <c r="S23" s="30"/>
      <c r="T23" s="21">
        <f>S23/91*25</f>
        <v>0</v>
      </c>
      <c r="U23" s="30">
        <v>0</v>
      </c>
      <c r="V23" s="21">
        <f>U23/215*25</f>
        <v>0</v>
      </c>
      <c r="W23" s="30">
        <v>651</v>
      </c>
      <c r="X23" s="22">
        <f>W23/93*25</f>
        <v>175</v>
      </c>
      <c r="Y23" s="22"/>
      <c r="Z23" s="24"/>
      <c r="AA23" s="30"/>
      <c r="AB23" s="30">
        <v>182</v>
      </c>
      <c r="AC23" s="22">
        <f>AB23/91*25</f>
        <v>50</v>
      </c>
      <c r="AD23" s="30">
        <v>0</v>
      </c>
      <c r="AE23" s="22">
        <f>AD23/200*25</f>
        <v>0</v>
      </c>
      <c r="AF23" s="30">
        <v>125</v>
      </c>
      <c r="AG23" s="30"/>
      <c r="AH23" s="36">
        <v>10</v>
      </c>
      <c r="AI23" s="22">
        <v>10</v>
      </c>
      <c r="AJ23" s="22">
        <v>0</v>
      </c>
      <c r="AK23" s="30">
        <v>0</v>
      </c>
      <c r="AL23" s="30">
        <v>87</v>
      </c>
      <c r="AM23" s="30">
        <v>0</v>
      </c>
      <c r="AN23" s="30">
        <v>120</v>
      </c>
      <c r="AO23" s="30"/>
      <c r="AP23" s="30">
        <v>150</v>
      </c>
      <c r="AQ23" s="22"/>
      <c r="AR23" s="38">
        <v>0</v>
      </c>
    </row>
    <row r="24" spans="2:55" s="3" customFormat="1" ht="100.5" customHeight="1" thickBot="1" x14ac:dyDescent="0.25">
      <c r="B24" s="39">
        <v>46180</v>
      </c>
      <c r="C24" s="336" t="s">
        <v>28</v>
      </c>
      <c r="D24" s="337"/>
      <c r="E24" s="40">
        <f>E22-E23</f>
        <v>0</v>
      </c>
      <c r="F24" s="40">
        <f t="shared" ref="F24:AQ24" si="4">F22-F23</f>
        <v>0</v>
      </c>
      <c r="G24" s="40">
        <f>G22-G23</f>
        <v>0</v>
      </c>
      <c r="H24" s="40">
        <f t="shared" si="4"/>
        <v>0</v>
      </c>
      <c r="I24" s="41" t="e">
        <f t="shared" si="4"/>
        <v>#REF!</v>
      </c>
      <c r="J24" s="41" t="e">
        <f t="shared" si="4"/>
        <v>#REF!</v>
      </c>
      <c r="K24" s="41">
        <f>K22-K23</f>
        <v>0</v>
      </c>
      <c r="L24" s="42">
        <f t="shared" ref="L24" si="5">L22-L23</f>
        <v>0</v>
      </c>
      <c r="M24" s="41">
        <f>M22-M23</f>
        <v>0</v>
      </c>
      <c r="N24" s="42">
        <f>N22-N23</f>
        <v>0</v>
      </c>
      <c r="O24" s="41" t="e">
        <f t="shared" ref="O24:V24" si="6">O22-O23</f>
        <v>#REF!</v>
      </c>
      <c r="P24" s="41" t="e">
        <f t="shared" si="6"/>
        <v>#REF!</v>
      </c>
      <c r="Q24" s="40">
        <f>Q22-Q23</f>
        <v>0</v>
      </c>
      <c r="R24" s="40">
        <f t="shared" si="6"/>
        <v>0</v>
      </c>
      <c r="S24" s="40">
        <f>S22-S23</f>
        <v>0</v>
      </c>
      <c r="T24" s="40">
        <f t="shared" ref="T24" si="7">T22-T23</f>
        <v>0</v>
      </c>
      <c r="U24" s="40">
        <f t="shared" si="6"/>
        <v>0</v>
      </c>
      <c r="V24" s="40">
        <f t="shared" si="6"/>
        <v>0</v>
      </c>
      <c r="W24" s="40">
        <f>W22-W23</f>
        <v>6231</v>
      </c>
      <c r="X24" s="40">
        <f>X22-X23</f>
        <v>1675</v>
      </c>
      <c r="Y24" s="40">
        <f>Y22-Y23</f>
        <v>0</v>
      </c>
      <c r="Z24" s="42">
        <f t="shared" ref="Z24" si="8">Z22-Z23</f>
        <v>0</v>
      </c>
      <c r="AA24" s="41" t="e">
        <f t="shared" si="4"/>
        <v>#REF!</v>
      </c>
      <c r="AB24" s="40">
        <f>AB22-AB23</f>
        <v>40404</v>
      </c>
      <c r="AC24" s="40">
        <f>AC22-AC23</f>
        <v>11100</v>
      </c>
      <c r="AD24" s="40">
        <f>AD22-AD23</f>
        <v>15400</v>
      </c>
      <c r="AE24" s="40">
        <f>AE22-AE23</f>
        <v>1925</v>
      </c>
      <c r="AF24" s="41">
        <f>AF22-AF23</f>
        <v>1675</v>
      </c>
      <c r="AG24" s="41" t="e">
        <f t="shared" si="4"/>
        <v>#REF!</v>
      </c>
      <c r="AH24" s="93">
        <f>AH22-AH23</f>
        <v>1700</v>
      </c>
      <c r="AI24" s="40">
        <f t="shared" si="4"/>
        <v>1286</v>
      </c>
      <c r="AJ24" s="40">
        <f t="shared" si="4"/>
        <v>150</v>
      </c>
      <c r="AK24" s="41">
        <f t="shared" si="4"/>
        <v>1757</v>
      </c>
      <c r="AL24" s="41">
        <f t="shared" si="4"/>
        <v>17480</v>
      </c>
      <c r="AM24" s="41">
        <f t="shared" si="4"/>
        <v>155</v>
      </c>
      <c r="AN24" s="41">
        <f t="shared" si="4"/>
        <v>7604</v>
      </c>
      <c r="AO24" s="41">
        <f>AO22-AO23</f>
        <v>0</v>
      </c>
      <c r="AP24" s="41">
        <f t="shared" si="4"/>
        <v>3225</v>
      </c>
      <c r="AQ24" s="40">
        <f t="shared" si="4"/>
        <v>0</v>
      </c>
      <c r="AR24" s="44">
        <f>AR22-AR23</f>
        <v>96</v>
      </c>
    </row>
    <row r="25" spans="2:55" ht="24.75" customHeight="1" x14ac:dyDescent="0.3">
      <c r="E25" s="77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2:55" ht="24.75" customHeight="1" x14ac:dyDescent="0.3"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30"/>
      <c r="AM26" s="29"/>
      <c r="AN26" s="29"/>
      <c r="AO26" s="29"/>
      <c r="AP26" s="29"/>
      <c r="AQ26" s="29"/>
      <c r="AR26" s="29"/>
    </row>
    <row r="27" spans="2:55" s="45" customFormat="1" ht="24" customHeight="1" x14ac:dyDescent="0.35">
      <c r="B27" s="45" t="s">
        <v>29</v>
      </c>
      <c r="P27" s="46"/>
      <c r="Q27" s="135"/>
      <c r="S27" s="135"/>
      <c r="X27" s="47"/>
      <c r="AC27" s="45" t="s">
        <v>56</v>
      </c>
      <c r="AK27" s="45" t="s">
        <v>57</v>
      </c>
      <c r="AO27" s="47"/>
      <c r="AP27" s="47"/>
      <c r="AQ27" s="47"/>
      <c r="AR27" s="46"/>
    </row>
    <row r="28" spans="2:55" s="45" customFormat="1" ht="37.5" customHeight="1" x14ac:dyDescent="0.35">
      <c r="B28" s="48"/>
      <c r="C28" s="4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V28" s="49"/>
      <c r="AC28" s="49"/>
      <c r="AE28" s="49"/>
      <c r="AF28" s="49"/>
      <c r="AI28" s="49"/>
      <c r="AO28" s="49"/>
      <c r="AP28" s="49"/>
      <c r="AQ28" s="49"/>
      <c r="AR28" s="49"/>
      <c r="AS28" s="46"/>
    </row>
    <row r="29" spans="2:55" s="45" customFormat="1" ht="14.25" customHeight="1" x14ac:dyDescent="0.35">
      <c r="B29" s="48"/>
      <c r="C29" s="4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V29" s="49"/>
      <c r="AC29" s="49"/>
      <c r="AE29" s="49"/>
      <c r="AF29" s="49"/>
      <c r="AI29" s="49"/>
      <c r="AO29" s="49"/>
      <c r="AP29" s="49"/>
      <c r="AQ29" s="49"/>
      <c r="AR29" s="49"/>
      <c r="AS29" s="46"/>
    </row>
    <row r="30" spans="2:55" s="45" customFormat="1" ht="26.25" x14ac:dyDescent="0.4">
      <c r="B30" s="153" t="s">
        <v>168</v>
      </c>
      <c r="C30" s="154"/>
      <c r="D30" s="155"/>
      <c r="E30" s="155"/>
      <c r="F30" s="155"/>
      <c r="G30" s="155"/>
      <c r="H30" s="155"/>
      <c r="I30" s="156"/>
      <c r="J30" s="156"/>
      <c r="K30" s="156"/>
      <c r="L30" s="155"/>
      <c r="M30" s="155"/>
      <c r="N30" s="155"/>
      <c r="O30" s="154"/>
      <c r="P30" s="154"/>
      <c r="Q30" s="154"/>
      <c r="R30" s="153"/>
      <c r="S30" s="154"/>
      <c r="T30" s="153"/>
      <c r="V30" s="155"/>
      <c r="AC30" s="153" t="s">
        <v>31</v>
      </c>
      <c r="AD30" s="155"/>
      <c r="AE30" s="155"/>
      <c r="AF30" s="153"/>
      <c r="AG30" s="155"/>
      <c r="AI30" s="155"/>
      <c r="AJ30" s="153"/>
      <c r="AK30" s="156" t="s">
        <v>211</v>
      </c>
      <c r="AL30" s="155"/>
      <c r="AO30" s="155"/>
      <c r="AP30" s="155"/>
      <c r="AQ30" s="155"/>
      <c r="AS30" s="46"/>
    </row>
    <row r="31" spans="2:55" s="45" customFormat="1" ht="21.75" customHeight="1" x14ac:dyDescent="0.4">
      <c r="B31" s="157" t="s">
        <v>44</v>
      </c>
      <c r="C31" s="154"/>
      <c r="D31" s="154"/>
      <c r="E31" s="155"/>
      <c r="F31" s="155"/>
      <c r="G31" s="155"/>
      <c r="H31" s="155"/>
      <c r="I31" s="154"/>
      <c r="J31" s="154"/>
      <c r="K31" s="154"/>
      <c r="L31" s="154"/>
      <c r="M31" s="154"/>
      <c r="N31" s="154"/>
      <c r="O31" s="154"/>
      <c r="P31" s="154"/>
      <c r="Q31" s="154"/>
      <c r="R31" s="157"/>
      <c r="S31" s="154"/>
      <c r="T31" s="157"/>
      <c r="V31" s="155"/>
      <c r="AC31" s="157" t="s">
        <v>64</v>
      </c>
      <c r="AD31" s="155"/>
      <c r="AE31" s="155"/>
      <c r="AF31" s="154"/>
      <c r="AG31" s="154"/>
      <c r="AI31" s="155"/>
      <c r="AJ31" s="157"/>
      <c r="AK31" s="154" t="s">
        <v>212</v>
      </c>
      <c r="AL31" s="155"/>
      <c r="AO31" s="154"/>
      <c r="AP31" s="154"/>
      <c r="AQ31" s="154"/>
      <c r="AR31" s="46"/>
    </row>
    <row r="32" spans="2:55" s="45" customFormat="1" ht="26.25" customHeight="1" x14ac:dyDescent="0.4">
      <c r="B32" s="157" t="s">
        <v>33</v>
      </c>
      <c r="C32" s="154"/>
      <c r="D32" s="154"/>
      <c r="E32" s="155"/>
      <c r="F32" s="155"/>
      <c r="G32" s="155"/>
      <c r="H32" s="155"/>
      <c r="I32" s="154"/>
      <c r="J32" s="154"/>
      <c r="K32" s="154"/>
      <c r="L32" s="154"/>
      <c r="M32" s="154"/>
      <c r="N32" s="154"/>
      <c r="O32" s="154"/>
      <c r="P32" s="154"/>
      <c r="Q32" s="154"/>
      <c r="R32" s="157"/>
      <c r="S32" s="154"/>
      <c r="T32" s="157"/>
      <c r="V32" s="155"/>
      <c r="AC32" s="157" t="s">
        <v>46</v>
      </c>
      <c r="AD32" s="155"/>
      <c r="AE32" s="155"/>
      <c r="AF32" s="154"/>
      <c r="AG32" s="154"/>
      <c r="AI32" s="155"/>
      <c r="AJ32" s="157"/>
      <c r="AK32" s="154" t="s">
        <v>46</v>
      </c>
      <c r="AL32" s="154"/>
      <c r="AO32" s="154"/>
      <c r="AP32" s="154"/>
      <c r="AQ32" s="154"/>
      <c r="AR32" s="84"/>
      <c r="AS32" s="85"/>
      <c r="AT32" s="86"/>
      <c r="AU32" s="87"/>
      <c r="AV32" s="86"/>
      <c r="AW32" s="88"/>
      <c r="AX32" s="84"/>
      <c r="AY32" s="84"/>
      <c r="AZ32" s="86"/>
      <c r="BA32" s="86"/>
      <c r="BB32" s="86"/>
      <c r="BC32" s="84"/>
    </row>
    <row r="33" spans="2:45" s="46" customFormat="1" ht="24" customHeight="1" x14ac:dyDescent="0.4">
      <c r="B33" s="157" t="s">
        <v>164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V33" s="154"/>
      <c r="AC33" s="154" t="s">
        <v>65</v>
      </c>
      <c r="AD33" s="154"/>
      <c r="AE33" s="154"/>
      <c r="AF33" s="154"/>
      <c r="AG33" s="154" t="s">
        <v>51</v>
      </c>
      <c r="AI33" s="154"/>
      <c r="AJ33" s="154"/>
      <c r="AK33" s="154"/>
      <c r="AL33" s="154"/>
      <c r="AM33" s="154"/>
      <c r="AN33" s="154"/>
      <c r="AO33" s="154"/>
      <c r="AP33" s="154"/>
    </row>
    <row r="34" spans="2:45" s="46" customFormat="1" ht="24" customHeight="1" x14ac:dyDescent="0.35">
      <c r="B34" s="45"/>
      <c r="C34" s="45"/>
      <c r="D34" s="45"/>
      <c r="E34" s="45"/>
      <c r="F34" s="45"/>
      <c r="G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X34" s="45"/>
      <c r="Y34" s="45"/>
      <c r="Z34" s="45"/>
      <c r="AA34" s="45"/>
      <c r="AC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52"/>
    </row>
    <row r="36" spans="2:45" ht="22.5" x14ac:dyDescent="0.35">
      <c r="C36" s="55"/>
      <c r="D36" s="55"/>
      <c r="E36" s="55"/>
      <c r="F36" s="55"/>
    </row>
    <row r="37" spans="2:45" ht="15.75" customHeight="1" x14ac:dyDescent="0.3"/>
    <row r="40" spans="2:45" ht="15.75" customHeight="1" x14ac:dyDescent="0.3"/>
    <row r="42" spans="2:45" ht="22.5" x14ac:dyDescent="0.35"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</row>
    <row r="44" spans="2:45" s="55" customFormat="1" ht="22.5" x14ac:dyDescent="0.3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7" spans="2:45" ht="22.5" x14ac:dyDescent="0.35">
      <c r="B47" s="55"/>
    </row>
  </sheetData>
  <mergeCells count="50">
    <mergeCell ref="AD18:AE18"/>
    <mergeCell ref="C20:D20"/>
    <mergeCell ref="B21:D21"/>
    <mergeCell ref="B22:D22"/>
    <mergeCell ref="B23:D23"/>
    <mergeCell ref="C24:D24"/>
    <mergeCell ref="Q18:R18"/>
    <mergeCell ref="S18:T18"/>
    <mergeCell ref="U18:V18"/>
    <mergeCell ref="W18:X18"/>
    <mergeCell ref="Y18:Z18"/>
    <mergeCell ref="AB18:AC18"/>
    <mergeCell ref="E18:F18"/>
    <mergeCell ref="G18:H18"/>
    <mergeCell ref="I18:J18"/>
    <mergeCell ref="K18:L18"/>
    <mergeCell ref="M18:N18"/>
    <mergeCell ref="O18:P18"/>
    <mergeCell ref="S17:T17"/>
    <mergeCell ref="U17:V17"/>
    <mergeCell ref="W17:X17"/>
    <mergeCell ref="Y17:Z17"/>
    <mergeCell ref="AB17:AC17"/>
    <mergeCell ref="AD17:AE17"/>
    <mergeCell ref="Y16:Z16"/>
    <mergeCell ref="AB16:AC16"/>
    <mergeCell ref="AD16:AE16"/>
    <mergeCell ref="E17:F17"/>
    <mergeCell ref="G17:H17"/>
    <mergeCell ref="I17:J17"/>
    <mergeCell ref="K17:L17"/>
    <mergeCell ref="M17:N17"/>
    <mergeCell ref="O17:P17"/>
    <mergeCell ref="Q17:R17"/>
    <mergeCell ref="M16:N16"/>
    <mergeCell ref="O16:P16"/>
    <mergeCell ref="Q16:R16"/>
    <mergeCell ref="S16:T16"/>
    <mergeCell ref="U16:V16"/>
    <mergeCell ref="W16:X16"/>
    <mergeCell ref="A10:AR10"/>
    <mergeCell ref="A11:AR11"/>
    <mergeCell ref="B14:D15"/>
    <mergeCell ref="E14:AR15"/>
    <mergeCell ref="B16:B19"/>
    <mergeCell ref="C16:D19"/>
    <mergeCell ref="E16:F16"/>
    <mergeCell ref="G16:H16"/>
    <mergeCell ref="I16:J16"/>
    <mergeCell ref="K16:L16"/>
  </mergeCells>
  <pageMargins left="0.59055118110236227" right="0.11811023622047245" top="0.39370078740157483" bottom="0.31496062992125984" header="0.31496062992125984" footer="0.31496062992125984"/>
  <pageSetup paperSize="9" scale="4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148</vt:i4>
      </vt:variant>
      <vt:variant>
        <vt:lpstr>Named Ranges</vt:lpstr>
      </vt:variant>
      <vt:variant>
        <vt:i4>78</vt:i4>
      </vt:variant>
    </vt:vector>
  </HeadingPairs>
  <TitlesOfParts>
    <vt:vector size="226" baseType="lpstr">
      <vt:lpstr>8-1-7,2023</vt:lpstr>
      <vt:lpstr>8-8-14,2023</vt:lpstr>
      <vt:lpstr>8-15-21,2023</vt:lpstr>
      <vt:lpstr>8-22-30,2023</vt:lpstr>
      <vt:lpstr>9-1-7,2023</vt:lpstr>
      <vt:lpstr>9-8-14,2023</vt:lpstr>
      <vt:lpstr>9-15-21,2023</vt:lpstr>
      <vt:lpstr>9-22-31,2023</vt:lpstr>
      <vt:lpstr>10-1-8,2023</vt:lpstr>
      <vt:lpstr>10-9-15,2023</vt:lpstr>
      <vt:lpstr>10-16-22,2023</vt:lpstr>
      <vt:lpstr>10-23-31,2023</vt:lpstr>
      <vt:lpstr>11-1-5,2023</vt:lpstr>
      <vt:lpstr>11-6-12,2023</vt:lpstr>
      <vt:lpstr>11-13-19,2023</vt:lpstr>
      <vt:lpstr>11-20-26,2023</vt:lpstr>
      <vt:lpstr>11-26-12-3,2023</vt:lpstr>
      <vt:lpstr>12-4-10,2023</vt:lpstr>
      <vt:lpstr>12-11-17,2023</vt:lpstr>
      <vt:lpstr>12-18-24,2023</vt:lpstr>
      <vt:lpstr>12-25-31,2023</vt:lpstr>
      <vt:lpstr>01-1-7,2024</vt:lpstr>
      <vt:lpstr>1-8-14,2024</vt:lpstr>
      <vt:lpstr>1-15-21,2024</vt:lpstr>
      <vt:lpstr>1-22-28,2024</vt:lpstr>
      <vt:lpstr>1-29-2-4,2024</vt:lpstr>
      <vt:lpstr>2-5-11,2024</vt:lpstr>
      <vt:lpstr>2-12-18,2024</vt:lpstr>
      <vt:lpstr>2-19-25,2024</vt:lpstr>
      <vt:lpstr>2-26-3-3,2024</vt:lpstr>
      <vt:lpstr>3-4-10,2024</vt:lpstr>
      <vt:lpstr>3-11-17,2024</vt:lpstr>
      <vt:lpstr>3-18-24,2024</vt:lpstr>
      <vt:lpstr>3-25-31</vt:lpstr>
      <vt:lpstr>4-1-7-2024</vt:lpstr>
      <vt:lpstr>4-8-14,2024</vt:lpstr>
      <vt:lpstr>4-15-21,2024</vt:lpstr>
      <vt:lpstr>4-22-28,2024 </vt:lpstr>
      <vt:lpstr>4-29-5-5,2024</vt:lpstr>
      <vt:lpstr>5-6-12,2024</vt:lpstr>
      <vt:lpstr>5-13-19,2024</vt:lpstr>
      <vt:lpstr>5-20-26,2024</vt:lpstr>
      <vt:lpstr>5-27-JUNE 2, 2024</vt:lpstr>
      <vt:lpstr>6-3-9, 2024</vt:lpstr>
      <vt:lpstr>6-10-16,2024</vt:lpstr>
      <vt:lpstr>6-17-23, 2024</vt:lpstr>
      <vt:lpstr>6-24-30,2024</vt:lpstr>
      <vt:lpstr>7-1-7.2024</vt:lpstr>
      <vt:lpstr>7-8-14, 2024</vt:lpstr>
      <vt:lpstr>7-15-21, 2024</vt:lpstr>
      <vt:lpstr>7-22-28,2024</vt:lpstr>
      <vt:lpstr>7-29-8-4,2024</vt:lpstr>
      <vt:lpstr>8-5-11,2024</vt:lpstr>
      <vt:lpstr>8-12-18, 2024</vt:lpstr>
      <vt:lpstr>8-19-25,2024</vt:lpstr>
      <vt:lpstr>8-26-9-1, 2024</vt:lpstr>
      <vt:lpstr>9-2-8,2024</vt:lpstr>
      <vt:lpstr>9-9-15, 2024</vt:lpstr>
      <vt:lpstr>9-16-22, 2024</vt:lpstr>
      <vt:lpstr>9-23-29, 2024</vt:lpstr>
      <vt:lpstr>9-30-10-6, 2024</vt:lpstr>
      <vt:lpstr>10-7-13, 2024</vt:lpstr>
      <vt:lpstr>10-14-20, 2024</vt:lpstr>
      <vt:lpstr>10-21-27, 2024</vt:lpstr>
      <vt:lpstr>10-28-11-3, 2024</vt:lpstr>
      <vt:lpstr>11-4-10, 2024</vt:lpstr>
      <vt:lpstr>11-11-17, 2024</vt:lpstr>
      <vt:lpstr>11-18-24, 2024</vt:lpstr>
      <vt:lpstr>11-25-12-1, 2024</vt:lpstr>
      <vt:lpstr>12-2-8, 2024</vt:lpstr>
      <vt:lpstr>12-9-15, 2024</vt:lpstr>
      <vt:lpstr>12-16-22, 2024</vt:lpstr>
      <vt:lpstr>12-23-29, 2024</vt:lpstr>
      <vt:lpstr>12-30-1-5, 2025</vt:lpstr>
      <vt:lpstr>1-6-12, 2025</vt:lpstr>
      <vt:lpstr>1-13-19, 2025</vt:lpstr>
      <vt:lpstr>1-20-26, 2025</vt:lpstr>
      <vt:lpstr>1-27-2-2, 2025</vt:lpstr>
      <vt:lpstr>2-3-9, 2025</vt:lpstr>
      <vt:lpstr>2-10-16, 2025</vt:lpstr>
      <vt:lpstr>2-17-23, 2025</vt:lpstr>
      <vt:lpstr>2-24-03-2, 2025</vt:lpstr>
      <vt:lpstr>3-3-9, 2025</vt:lpstr>
      <vt:lpstr>3-10-16, 2025</vt:lpstr>
      <vt:lpstr>3-17-23, 2025</vt:lpstr>
      <vt:lpstr>3-24-30, 2025</vt:lpstr>
      <vt:lpstr>3-30-4-6, 2025</vt:lpstr>
      <vt:lpstr>4-7-13, 2025</vt:lpstr>
      <vt:lpstr>4-14-20, 2025</vt:lpstr>
      <vt:lpstr>4-21-27, 2025</vt:lpstr>
      <vt:lpstr>4-28-MAY 4, 2025</vt:lpstr>
      <vt:lpstr>5-5-11, 2025</vt:lpstr>
      <vt:lpstr>5-12-18, 2025</vt:lpstr>
      <vt:lpstr>5-19-25, 2025</vt:lpstr>
      <vt:lpstr>5-26-6-1, 2025</vt:lpstr>
      <vt:lpstr>6-2-8, 2025</vt:lpstr>
      <vt:lpstr>6-9-15,2025</vt:lpstr>
      <vt:lpstr>6-16-22,2025</vt:lpstr>
      <vt:lpstr>6-23-29, 2025</vt:lpstr>
      <vt:lpstr>6-30-7-6, 2025</vt:lpstr>
      <vt:lpstr>7-7-13, 2025</vt:lpstr>
      <vt:lpstr>7-14-20, 2025</vt:lpstr>
      <vt:lpstr>7-21-27, 2025</vt:lpstr>
      <vt:lpstr>7-28-8-3, 2025</vt:lpstr>
      <vt:lpstr>8-4-10, 2025</vt:lpstr>
      <vt:lpstr>8-11-17, 2025</vt:lpstr>
      <vt:lpstr>8-18-24, 2025</vt:lpstr>
      <vt:lpstr>8-25-31, 2025</vt:lpstr>
      <vt:lpstr>9-1-7, 2025</vt:lpstr>
      <vt:lpstr>9-8-14, 2025</vt:lpstr>
      <vt:lpstr>9-15-21, 2025</vt:lpstr>
      <vt:lpstr>9-22-28, 2025</vt:lpstr>
      <vt:lpstr>9-29-10-5, 2025</vt:lpstr>
      <vt:lpstr>10-6-12, 2025</vt:lpstr>
      <vt:lpstr>10-13-19, 2025</vt:lpstr>
      <vt:lpstr>10-20-26, 2025</vt:lpstr>
      <vt:lpstr>10-27-11-2, 2025</vt:lpstr>
      <vt:lpstr>11-3-9, 2025</vt:lpstr>
      <vt:lpstr>11-10-16, 2025</vt:lpstr>
      <vt:lpstr>11-17-23, 2025</vt:lpstr>
      <vt:lpstr>11-24-30, 2025</vt:lpstr>
      <vt:lpstr>12-1-7, 2025</vt:lpstr>
      <vt:lpstr>12-8-14, 2025</vt:lpstr>
      <vt:lpstr>12-15-21, 2025</vt:lpstr>
      <vt:lpstr>12-22-28, 2025</vt:lpstr>
      <vt:lpstr>12-29-1-4, 2026</vt:lpstr>
      <vt:lpstr>1-5-11, 2026</vt:lpstr>
      <vt:lpstr>1-12-18, 2026</vt:lpstr>
      <vt:lpstr>1-19-25, 2026</vt:lpstr>
      <vt:lpstr>1-26-2-1, 2026</vt:lpstr>
      <vt:lpstr>2-2-8, 2026</vt:lpstr>
      <vt:lpstr>2-9-15, 2026</vt:lpstr>
      <vt:lpstr>2-16-22, 2026</vt:lpstr>
      <vt:lpstr>2-23-3-1, 2026</vt:lpstr>
      <vt:lpstr>3-2-8, 2026</vt:lpstr>
      <vt:lpstr>3-9-15, 2026</vt:lpstr>
      <vt:lpstr>3-16-22, 2026</vt:lpstr>
      <vt:lpstr>3-23-29, 2026</vt:lpstr>
      <vt:lpstr>3-30-4-5, 2026</vt:lpstr>
      <vt:lpstr>4-6-12, 2026</vt:lpstr>
      <vt:lpstr>4-13-19, 2026</vt:lpstr>
      <vt:lpstr>4-20-26, 2026</vt:lpstr>
      <vt:lpstr>4-27-MAY 3, 2026</vt:lpstr>
      <vt:lpstr>5-4-10, 2026</vt:lpstr>
      <vt:lpstr>5-11-17, 2026</vt:lpstr>
      <vt:lpstr>5-18-24, 2026</vt:lpstr>
      <vt:lpstr>5-25-31, 2026</vt:lpstr>
      <vt:lpstr>6-1-7, 2026</vt:lpstr>
      <vt:lpstr>'10-13-19, 2025'!Print_Area</vt:lpstr>
      <vt:lpstr>'10-20-26, 2025'!Print_Area</vt:lpstr>
      <vt:lpstr>'10-27-11-2, 2025'!Print_Area</vt:lpstr>
      <vt:lpstr>'10-6-12, 2025'!Print_Area</vt:lpstr>
      <vt:lpstr>'11-10-16, 2025'!Print_Area</vt:lpstr>
      <vt:lpstr>'11-17-23, 2025'!Print_Area</vt:lpstr>
      <vt:lpstr>'1-12-18, 2026'!Print_Area</vt:lpstr>
      <vt:lpstr>'11-24-30, 2025'!Print_Area</vt:lpstr>
      <vt:lpstr>'1-13-19, 2025'!Print_Area</vt:lpstr>
      <vt:lpstr>'11-3-9, 2025'!Print_Area</vt:lpstr>
      <vt:lpstr>'1-19-25, 2026'!Print_Area</vt:lpstr>
      <vt:lpstr>'1-20-26, 2025'!Print_Area</vt:lpstr>
      <vt:lpstr>'12-15-21, 2025'!Print_Area</vt:lpstr>
      <vt:lpstr>'12-16-22, 2024'!Print_Area</vt:lpstr>
      <vt:lpstr>'12-1-7, 2025'!Print_Area</vt:lpstr>
      <vt:lpstr>'12-22-28, 2025'!Print_Area</vt:lpstr>
      <vt:lpstr>'12-23-29, 2024'!Print_Area</vt:lpstr>
      <vt:lpstr>'12-29-1-4, 2026'!Print_Area</vt:lpstr>
      <vt:lpstr>'12-30-1-5, 2025'!Print_Area</vt:lpstr>
      <vt:lpstr>'1-26-2-1, 2026'!Print_Area</vt:lpstr>
      <vt:lpstr>'1-27-2-2, 2025'!Print_Area</vt:lpstr>
      <vt:lpstr>'12-8-14, 2025'!Print_Area</vt:lpstr>
      <vt:lpstr>'12-9-15, 2024'!Print_Area</vt:lpstr>
      <vt:lpstr>'1-5-11, 2026'!Print_Area</vt:lpstr>
      <vt:lpstr>'1-6-12, 2025'!Print_Area</vt:lpstr>
      <vt:lpstr>'2-10-16, 2025'!Print_Area</vt:lpstr>
      <vt:lpstr>'2-16-22, 2026'!Print_Area</vt:lpstr>
      <vt:lpstr>'2-17-23, 2025'!Print_Area</vt:lpstr>
      <vt:lpstr>'2-23-3-1, 2026'!Print_Area</vt:lpstr>
      <vt:lpstr>'2-24-03-2, 2025'!Print_Area</vt:lpstr>
      <vt:lpstr>'2-2-8, 2026'!Print_Area</vt:lpstr>
      <vt:lpstr>'2-3-9, 2025'!Print_Area</vt:lpstr>
      <vt:lpstr>'2-9-15, 2026'!Print_Area</vt:lpstr>
      <vt:lpstr>'3-10-16, 2025'!Print_Area</vt:lpstr>
      <vt:lpstr>'3-16-22, 2026'!Print_Area</vt:lpstr>
      <vt:lpstr>'3-17-23, 2025'!Print_Area</vt:lpstr>
      <vt:lpstr>'3-23-29, 2026'!Print_Area</vt:lpstr>
      <vt:lpstr>'3-24-30, 2025'!Print_Area</vt:lpstr>
      <vt:lpstr>'3-2-8, 2026'!Print_Area</vt:lpstr>
      <vt:lpstr>'3-30-4-5, 2026'!Print_Area</vt:lpstr>
      <vt:lpstr>'3-30-4-6, 2025'!Print_Area</vt:lpstr>
      <vt:lpstr>'3-3-9, 2025'!Print_Area</vt:lpstr>
      <vt:lpstr>'3-9-15, 2026'!Print_Area</vt:lpstr>
      <vt:lpstr>'4-13-19, 2026'!Print_Area</vt:lpstr>
      <vt:lpstr>'4-14-20, 2025'!Print_Area</vt:lpstr>
      <vt:lpstr>'4-20-26, 2026'!Print_Area</vt:lpstr>
      <vt:lpstr>'4-21-27, 2025'!Print_Area</vt:lpstr>
      <vt:lpstr>'4-27-MAY 3, 2026'!Print_Area</vt:lpstr>
      <vt:lpstr>'4-28-MAY 4, 2025'!Print_Area</vt:lpstr>
      <vt:lpstr>'4-6-12, 2026'!Print_Area</vt:lpstr>
      <vt:lpstr>'4-7-13, 2025'!Print_Area</vt:lpstr>
      <vt:lpstr>'5-11-17, 2026'!Print_Area</vt:lpstr>
      <vt:lpstr>'5-12-18, 2025'!Print_Area</vt:lpstr>
      <vt:lpstr>'5-18-24, 2026'!Print_Area</vt:lpstr>
      <vt:lpstr>'5-19-25, 2025'!Print_Area</vt:lpstr>
      <vt:lpstr>'5-25-31, 2026'!Print_Area</vt:lpstr>
      <vt:lpstr>'5-26-6-1, 2025'!Print_Area</vt:lpstr>
      <vt:lpstr>'5-4-10, 2026'!Print_Area</vt:lpstr>
      <vt:lpstr>'5-5-11, 2025'!Print_Area</vt:lpstr>
      <vt:lpstr>'6-16-22,2025'!Print_Area</vt:lpstr>
      <vt:lpstr>'6-1-7, 2026'!Print_Area</vt:lpstr>
      <vt:lpstr>'6-23-29, 2025'!Print_Area</vt:lpstr>
      <vt:lpstr>'6-2-8, 2025'!Print_Area</vt:lpstr>
      <vt:lpstr>'6-30-7-6, 2025'!Print_Area</vt:lpstr>
      <vt:lpstr>'6-9-15,2025'!Print_Area</vt:lpstr>
      <vt:lpstr>'7-14-20, 2025'!Print_Area</vt:lpstr>
      <vt:lpstr>'7-21-27, 2025'!Print_Area</vt:lpstr>
      <vt:lpstr>'7-28-8-3, 2025'!Print_Area</vt:lpstr>
      <vt:lpstr>'7-7-13, 2025'!Print_Area</vt:lpstr>
      <vt:lpstr>'8-11-17, 2025'!Print_Area</vt:lpstr>
      <vt:lpstr>'8-18-24, 2025'!Print_Area</vt:lpstr>
      <vt:lpstr>'8-25-31, 2025'!Print_Area</vt:lpstr>
      <vt:lpstr>'8-4-10, 2025'!Print_Area</vt:lpstr>
      <vt:lpstr>'9-15-21, 2025'!Print_Area</vt:lpstr>
      <vt:lpstr>'9-1-7, 2025'!Print_Area</vt:lpstr>
      <vt:lpstr>'9-22-28, 2025'!Print_Area</vt:lpstr>
      <vt:lpstr>'9-29-10-5, 2025'!Print_Area</vt:lpstr>
      <vt:lpstr>'9-8-14, 2025'!Print_Area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Venos L. Mandabon</cp:lastModifiedBy>
  <cp:lastPrinted>2026-06-08T07:31:05Z</cp:lastPrinted>
  <dcterms:created xsi:type="dcterms:W3CDTF">2023-08-21T07:26:16Z</dcterms:created>
  <dcterms:modified xsi:type="dcterms:W3CDTF">2026-06-08T07:33:59Z</dcterms:modified>
</cp:coreProperties>
</file>