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drawings/drawing36.xml" ContentType="application/vnd.openxmlformats-officedocument.drawing+xml"/>
  <Override PartName="/xl/comments36.xml" ContentType="application/vnd.openxmlformats-officedocument.spreadsheetml.comments+xml"/>
  <Override PartName="/xl/drawings/drawing37.xml" ContentType="application/vnd.openxmlformats-officedocument.drawing+xml"/>
  <Override PartName="/xl/comments37.xml" ContentType="application/vnd.openxmlformats-officedocument.spreadsheetml.comments+xml"/>
  <Override PartName="/xl/drawings/drawing38.xml" ContentType="application/vnd.openxmlformats-officedocument.drawing+xml"/>
  <Override PartName="/xl/comments38.xml" ContentType="application/vnd.openxmlformats-officedocument.spreadsheetml.comments+xml"/>
  <Override PartName="/xl/drawings/drawing39.xml" ContentType="application/vnd.openxmlformats-officedocument.drawing+xml"/>
  <Override PartName="/xl/comments39.xml" ContentType="application/vnd.openxmlformats-officedocument.spreadsheetml.comments+xml"/>
  <Override PartName="/xl/drawings/drawing40.xml" ContentType="application/vnd.openxmlformats-officedocument.drawing+xml"/>
  <Override PartName="/xl/comments40.xml" ContentType="application/vnd.openxmlformats-officedocument.spreadsheetml.comments+xml"/>
  <Override PartName="/xl/drawings/drawing41.xml" ContentType="application/vnd.openxmlformats-officedocument.drawing+xml"/>
  <Override PartName="/xl/comments41.xml" ContentType="application/vnd.openxmlformats-officedocument.spreadsheetml.comments+xml"/>
  <Override PartName="/xl/drawings/drawing42.xml" ContentType="application/vnd.openxmlformats-officedocument.drawing+xml"/>
  <Override PartName="/xl/comments42.xml" ContentType="application/vnd.openxmlformats-officedocument.spreadsheetml.comments+xml"/>
  <Override PartName="/xl/drawings/drawing43.xml" ContentType="application/vnd.openxmlformats-officedocument.drawing+xml"/>
  <Override PartName="/xl/comments43.xml" ContentType="application/vnd.openxmlformats-officedocument.spreadsheetml.comments+xml"/>
  <Override PartName="/xl/drawings/drawing44.xml" ContentType="application/vnd.openxmlformats-officedocument.drawing+xml"/>
  <Override PartName="/xl/comments44.xml" ContentType="application/vnd.openxmlformats-officedocument.spreadsheetml.comments+xml"/>
  <Override PartName="/xl/drawings/drawing45.xml" ContentType="application/vnd.openxmlformats-officedocument.drawing+xml"/>
  <Override PartName="/xl/comments45.xml" ContentType="application/vnd.openxmlformats-officedocument.spreadsheetml.comments+xml"/>
  <Override PartName="/xl/drawings/drawing46.xml" ContentType="application/vnd.openxmlformats-officedocument.drawing+xml"/>
  <Override PartName="/xl/comments46.xml" ContentType="application/vnd.openxmlformats-officedocument.spreadsheetml.comments+xml"/>
  <Override PartName="/xl/drawings/drawing47.xml" ContentType="application/vnd.openxmlformats-officedocument.drawing+xml"/>
  <Override PartName="/xl/comments47.xml" ContentType="application/vnd.openxmlformats-officedocument.spreadsheetml.comments+xml"/>
  <Override PartName="/xl/drawings/drawing48.xml" ContentType="application/vnd.openxmlformats-officedocument.drawing+xml"/>
  <Override PartName="/xl/comments48.xml" ContentType="application/vnd.openxmlformats-officedocument.spreadsheetml.comments+xml"/>
  <Override PartName="/xl/drawings/drawing49.xml" ContentType="application/vnd.openxmlformats-officedocument.drawing+xml"/>
  <Override PartName="/xl/comments49.xml" ContentType="application/vnd.openxmlformats-officedocument.spreadsheetml.comments+xml"/>
  <Override PartName="/xl/drawings/drawing50.xml" ContentType="application/vnd.openxmlformats-officedocument.drawing+xml"/>
  <Override PartName="/xl/comments50.xml" ContentType="application/vnd.openxmlformats-officedocument.spreadsheetml.comments+xml"/>
  <Override PartName="/xl/drawings/drawing51.xml" ContentType="application/vnd.openxmlformats-officedocument.drawing+xml"/>
  <Override PartName="/xl/comments51.xml" ContentType="application/vnd.openxmlformats-officedocument.spreadsheetml.comments+xml"/>
  <Override PartName="/xl/drawings/drawing52.xml" ContentType="application/vnd.openxmlformats-officedocument.drawing+xml"/>
  <Override PartName="/xl/comments52.xml" ContentType="application/vnd.openxmlformats-officedocument.spreadsheetml.comments+xml"/>
  <Override PartName="/xl/drawings/drawing53.xml" ContentType="application/vnd.openxmlformats-officedocument.drawing+xml"/>
  <Override PartName="/xl/comments53.xml" ContentType="application/vnd.openxmlformats-officedocument.spreadsheetml.comments+xml"/>
  <Override PartName="/xl/drawings/drawing54.xml" ContentType="application/vnd.openxmlformats-officedocument.drawing+xml"/>
  <Override PartName="/xl/comments54.xml" ContentType="application/vnd.openxmlformats-officedocument.spreadsheetml.comments+xml"/>
  <Override PartName="/xl/drawings/drawing55.xml" ContentType="application/vnd.openxmlformats-officedocument.drawing+xml"/>
  <Override PartName="/xl/comments55.xml" ContentType="application/vnd.openxmlformats-officedocument.spreadsheetml.comments+xml"/>
  <Override PartName="/xl/drawings/drawing56.xml" ContentType="application/vnd.openxmlformats-officedocument.drawing+xml"/>
  <Override PartName="/xl/comments56.xml" ContentType="application/vnd.openxmlformats-officedocument.spreadsheetml.comments+xml"/>
  <Override PartName="/xl/drawings/drawing57.xml" ContentType="application/vnd.openxmlformats-officedocument.drawing+xml"/>
  <Override PartName="/xl/comments57.xml" ContentType="application/vnd.openxmlformats-officedocument.spreadsheetml.comments+xml"/>
  <Override PartName="/xl/drawings/drawing58.xml" ContentType="application/vnd.openxmlformats-officedocument.drawing+xml"/>
  <Override PartName="/xl/comments58.xml" ContentType="application/vnd.openxmlformats-officedocument.spreadsheetml.comments+xml"/>
  <Override PartName="/xl/drawings/drawing59.xml" ContentType="application/vnd.openxmlformats-officedocument.drawing+xml"/>
  <Override PartName="/xl/comments59.xml" ContentType="application/vnd.openxmlformats-officedocument.spreadsheetml.comments+xml"/>
  <Override PartName="/xl/drawings/drawing60.xml" ContentType="application/vnd.openxmlformats-officedocument.drawing+xml"/>
  <Override PartName="/xl/comments60.xml" ContentType="application/vnd.openxmlformats-officedocument.spreadsheetml.comments+xml"/>
  <Override PartName="/xl/drawings/drawing61.xml" ContentType="application/vnd.openxmlformats-officedocument.drawing+xml"/>
  <Override PartName="/xl/comments61.xml" ContentType="application/vnd.openxmlformats-officedocument.spreadsheetml.comments+xml"/>
  <Override PartName="/xl/drawings/drawing62.xml" ContentType="application/vnd.openxmlformats-officedocument.drawing+xml"/>
  <Override PartName="/xl/comments62.xml" ContentType="application/vnd.openxmlformats-officedocument.spreadsheetml.comments+xml"/>
  <Override PartName="/xl/drawings/drawing63.xml" ContentType="application/vnd.openxmlformats-officedocument.drawing+xml"/>
  <Override PartName="/xl/comments63.xml" ContentType="application/vnd.openxmlformats-officedocument.spreadsheetml.comments+xml"/>
  <Override PartName="/xl/drawings/drawing64.xml" ContentType="application/vnd.openxmlformats-officedocument.drawing+xml"/>
  <Override PartName="/xl/comments64.xml" ContentType="application/vnd.openxmlformats-officedocument.spreadsheetml.comments+xml"/>
  <Override PartName="/xl/drawings/drawing65.xml" ContentType="application/vnd.openxmlformats-officedocument.drawing+xml"/>
  <Override PartName="/xl/comments65.xml" ContentType="application/vnd.openxmlformats-officedocument.spreadsheetml.comments+xml"/>
  <Override PartName="/xl/drawings/drawing66.xml" ContentType="application/vnd.openxmlformats-officedocument.drawing+xml"/>
  <Override PartName="/xl/comments66.xml" ContentType="application/vnd.openxmlformats-officedocument.spreadsheetml.comments+xml"/>
  <Override PartName="/xl/drawings/drawing67.xml" ContentType="application/vnd.openxmlformats-officedocument.drawing+xml"/>
  <Override PartName="/xl/comments67.xml" ContentType="application/vnd.openxmlformats-officedocument.spreadsheetml.comments+xml"/>
  <Override PartName="/xl/drawings/drawing68.xml" ContentType="application/vnd.openxmlformats-officedocument.drawing+xml"/>
  <Override PartName="/xl/comments68.xml" ContentType="application/vnd.openxmlformats-officedocument.spreadsheetml.comments+xml"/>
  <Override PartName="/xl/drawings/drawing69.xml" ContentType="application/vnd.openxmlformats-officedocument.drawing+xml"/>
  <Override PartName="/xl/comments69.xml" ContentType="application/vnd.openxmlformats-officedocument.spreadsheetml.comments+xml"/>
  <Override PartName="/xl/drawings/drawing70.xml" ContentType="application/vnd.openxmlformats-officedocument.drawing+xml"/>
  <Override PartName="/xl/comments70.xml" ContentType="application/vnd.openxmlformats-officedocument.spreadsheetml.comments+xml"/>
  <Override PartName="/xl/drawings/drawing71.xml" ContentType="application/vnd.openxmlformats-officedocument.drawing+xml"/>
  <Override PartName="/xl/comments71.xml" ContentType="application/vnd.openxmlformats-officedocument.spreadsheetml.comments+xml"/>
  <Override PartName="/xl/drawings/drawing72.xml" ContentType="application/vnd.openxmlformats-officedocument.drawing+xml"/>
  <Override PartName="/xl/comments72.xml" ContentType="application/vnd.openxmlformats-officedocument.spreadsheetml.comments+xml"/>
  <Override PartName="/xl/drawings/drawing73.xml" ContentType="application/vnd.openxmlformats-officedocument.drawing+xml"/>
  <Override PartName="/xl/comments73.xml" ContentType="application/vnd.openxmlformats-officedocument.spreadsheetml.comments+xml"/>
  <Override PartName="/xl/drawings/drawing74.xml" ContentType="application/vnd.openxmlformats-officedocument.drawing+xml"/>
  <Override PartName="/xl/comments74.xml" ContentType="application/vnd.openxmlformats-officedocument.spreadsheetml.comments+xml"/>
  <Override PartName="/xl/drawings/drawing75.xml" ContentType="application/vnd.openxmlformats-officedocument.drawing+xml"/>
  <Override PartName="/xl/comments75.xml" ContentType="application/vnd.openxmlformats-officedocument.spreadsheetml.comments+xml"/>
  <Override PartName="/xl/drawings/drawing76.xml" ContentType="application/vnd.openxmlformats-officedocument.drawing+xml"/>
  <Override PartName="/xl/comments76.xml" ContentType="application/vnd.openxmlformats-officedocument.spreadsheetml.comments+xml"/>
  <Override PartName="/xl/drawings/drawing77.xml" ContentType="application/vnd.openxmlformats-officedocument.drawing+xml"/>
  <Override PartName="/xl/comments77.xml" ContentType="application/vnd.openxmlformats-officedocument.spreadsheetml.comments+xml"/>
  <Override PartName="/xl/drawings/drawing78.xml" ContentType="application/vnd.openxmlformats-officedocument.drawing+xml"/>
  <Override PartName="/xl/comments78.xml" ContentType="application/vnd.openxmlformats-officedocument.spreadsheetml.comments+xml"/>
  <Override PartName="/xl/drawings/drawing79.xml" ContentType="application/vnd.openxmlformats-officedocument.drawing+xml"/>
  <Override PartName="/xl/comments79.xml" ContentType="application/vnd.openxmlformats-officedocument.spreadsheetml.comments+xml"/>
  <Override PartName="/xl/drawings/drawing80.xml" ContentType="application/vnd.openxmlformats-officedocument.drawing+xml"/>
  <Override PartName="/xl/comments80.xml" ContentType="application/vnd.openxmlformats-officedocument.spreadsheetml.comments+xml"/>
  <Override PartName="/xl/drawings/drawing81.xml" ContentType="application/vnd.openxmlformats-officedocument.drawing+xml"/>
  <Override PartName="/xl/comments81.xml" ContentType="application/vnd.openxmlformats-officedocument.spreadsheetml.comments+xml"/>
  <Override PartName="/xl/drawings/drawing82.xml" ContentType="application/vnd.openxmlformats-officedocument.drawing+xml"/>
  <Override PartName="/xl/comments82.xml" ContentType="application/vnd.openxmlformats-officedocument.spreadsheetml.comments+xml"/>
  <Override PartName="/xl/drawings/drawing83.xml" ContentType="application/vnd.openxmlformats-officedocument.drawing+xml"/>
  <Override PartName="/xl/comments83.xml" ContentType="application/vnd.openxmlformats-officedocument.spreadsheetml.comments+xml"/>
  <Override PartName="/xl/drawings/drawing84.xml" ContentType="application/vnd.openxmlformats-officedocument.drawing+xml"/>
  <Override PartName="/xl/comments84.xml" ContentType="application/vnd.openxmlformats-officedocument.spreadsheetml.comments+xml"/>
  <Override PartName="/xl/drawings/drawing85.xml" ContentType="application/vnd.openxmlformats-officedocument.drawing+xml"/>
  <Override PartName="/xl/comments85.xml" ContentType="application/vnd.openxmlformats-officedocument.spreadsheetml.comments+xml"/>
  <Override PartName="/xl/drawings/drawing86.xml" ContentType="application/vnd.openxmlformats-officedocument.drawing+xml"/>
  <Override PartName="/xl/comments86.xml" ContentType="application/vnd.openxmlformats-officedocument.spreadsheetml.comments+xml"/>
  <Override PartName="/xl/drawings/drawing87.xml" ContentType="application/vnd.openxmlformats-officedocument.drawing+xml"/>
  <Override PartName="/xl/comments87.xml" ContentType="application/vnd.openxmlformats-officedocument.spreadsheetml.comments+xml"/>
  <Override PartName="/xl/drawings/drawing88.xml" ContentType="application/vnd.openxmlformats-officedocument.drawing+xml"/>
  <Override PartName="/xl/comments88.xml" ContentType="application/vnd.openxmlformats-officedocument.spreadsheetml.comments+xml"/>
  <Override PartName="/xl/drawings/drawing89.xml" ContentType="application/vnd.openxmlformats-officedocument.drawing+xml"/>
  <Override PartName="/xl/comments89.xml" ContentType="application/vnd.openxmlformats-officedocument.spreadsheetml.comments+xml"/>
  <Override PartName="/xl/drawings/drawing90.xml" ContentType="application/vnd.openxmlformats-officedocument.drawing+xml"/>
  <Override PartName="/xl/comments90.xml" ContentType="application/vnd.openxmlformats-officedocument.spreadsheetml.comments+xml"/>
  <Override PartName="/xl/drawings/drawing91.xml" ContentType="application/vnd.openxmlformats-officedocument.drawing+xml"/>
  <Override PartName="/xl/comments91.xml" ContentType="application/vnd.openxmlformats-officedocument.spreadsheetml.comments+xml"/>
  <Override PartName="/xl/drawings/drawing92.xml" ContentType="application/vnd.openxmlformats-officedocument.drawing+xml"/>
  <Override PartName="/xl/comments92.xml" ContentType="application/vnd.openxmlformats-officedocument.spreadsheetml.comments+xml"/>
  <Override PartName="/xl/drawings/drawing93.xml" ContentType="application/vnd.openxmlformats-officedocument.drawing+xml"/>
  <Override PartName="/xl/comments93.xml" ContentType="application/vnd.openxmlformats-officedocument.spreadsheetml.comments+xml"/>
  <Override PartName="/xl/drawings/drawing94.xml" ContentType="application/vnd.openxmlformats-officedocument.drawing+xml"/>
  <Override PartName="/xl/comments94.xml" ContentType="application/vnd.openxmlformats-officedocument.spreadsheetml.comments+xml"/>
  <Override PartName="/xl/drawings/drawing95.xml" ContentType="application/vnd.openxmlformats-officedocument.drawing+xml"/>
  <Override PartName="/xl/comments95.xml" ContentType="application/vnd.openxmlformats-officedocument.spreadsheetml.comments+xml"/>
  <Override PartName="/xl/drawings/drawing96.xml" ContentType="application/vnd.openxmlformats-officedocument.drawing+xml"/>
  <Override PartName="/xl/comments96.xml" ContentType="application/vnd.openxmlformats-officedocument.spreadsheetml.comments+xml"/>
  <Override PartName="/xl/drawings/drawing97.xml" ContentType="application/vnd.openxmlformats-officedocument.drawing+xml"/>
  <Override PartName="/xl/comments97.xml" ContentType="application/vnd.openxmlformats-officedocument.spreadsheetml.comments+xml"/>
  <Override PartName="/xl/drawings/drawing98.xml" ContentType="application/vnd.openxmlformats-officedocument.drawing+xml"/>
  <Override PartName="/xl/comments98.xml" ContentType="application/vnd.openxmlformats-officedocument.spreadsheetml.comments+xml"/>
  <Override PartName="/xl/drawings/drawing99.xml" ContentType="application/vnd.openxmlformats-officedocument.drawing+xml"/>
  <Override PartName="/xl/comments99.xml" ContentType="application/vnd.openxmlformats-officedocument.spreadsheetml.comments+xml"/>
  <Override PartName="/xl/drawings/drawing100.xml" ContentType="application/vnd.openxmlformats-officedocument.drawing+xml"/>
  <Override PartName="/xl/comments100.xml" ContentType="application/vnd.openxmlformats-officedocument.spreadsheetml.comments+xml"/>
  <Override PartName="/xl/drawings/drawing101.xml" ContentType="application/vnd.openxmlformats-officedocument.drawing+xml"/>
  <Override PartName="/xl/comments101.xml" ContentType="application/vnd.openxmlformats-officedocument.spreadsheetml.comments+xml"/>
  <Override PartName="/xl/drawings/drawing102.xml" ContentType="application/vnd.openxmlformats-officedocument.drawing+xml"/>
  <Override PartName="/xl/comments102.xml" ContentType="application/vnd.openxmlformats-officedocument.spreadsheetml.comments+xml"/>
  <Override PartName="/xl/drawings/drawing103.xml" ContentType="application/vnd.openxmlformats-officedocument.drawing+xml"/>
  <Override PartName="/xl/comments103.xml" ContentType="application/vnd.openxmlformats-officedocument.spreadsheetml.comments+xml"/>
  <Override PartName="/xl/drawings/drawing104.xml" ContentType="application/vnd.openxmlformats-officedocument.drawing+xml"/>
  <Override PartName="/xl/comments104.xml" ContentType="application/vnd.openxmlformats-officedocument.spreadsheetml.comments+xml"/>
  <Override PartName="/xl/drawings/drawing105.xml" ContentType="application/vnd.openxmlformats-officedocument.drawing+xml"/>
  <Override PartName="/xl/comments105.xml" ContentType="application/vnd.openxmlformats-officedocument.spreadsheetml.comments+xml"/>
  <Override PartName="/xl/drawings/drawing106.xml" ContentType="application/vnd.openxmlformats-officedocument.drawing+xml"/>
  <Override PartName="/xl/comments106.xml" ContentType="application/vnd.openxmlformats-officedocument.spreadsheetml.comments+xml"/>
  <Override PartName="/xl/drawings/drawing107.xml" ContentType="application/vnd.openxmlformats-officedocument.drawing+xml"/>
  <Override PartName="/xl/comments107.xml" ContentType="application/vnd.openxmlformats-officedocument.spreadsheetml.comments+xml"/>
  <Override PartName="/xl/drawings/drawing108.xml" ContentType="application/vnd.openxmlformats-officedocument.drawing+xml"/>
  <Override PartName="/xl/comments108.xml" ContentType="application/vnd.openxmlformats-officedocument.spreadsheetml.comments+xml"/>
  <Override PartName="/xl/drawings/drawing109.xml" ContentType="application/vnd.openxmlformats-officedocument.drawing+xml"/>
  <Override PartName="/xl/comments109.xml" ContentType="application/vnd.openxmlformats-officedocument.spreadsheetml.comments+xml"/>
  <Override PartName="/xl/drawings/drawing110.xml" ContentType="application/vnd.openxmlformats-officedocument.drawing+xml"/>
  <Override PartName="/xl/comments110.xml" ContentType="application/vnd.openxmlformats-officedocument.spreadsheetml.comments+xml"/>
  <Override PartName="/xl/drawings/drawing111.xml" ContentType="application/vnd.openxmlformats-officedocument.drawing+xml"/>
  <Override PartName="/xl/comments111.xml" ContentType="application/vnd.openxmlformats-officedocument.spreadsheetml.comments+xml"/>
  <Override PartName="/xl/drawings/drawing112.xml" ContentType="application/vnd.openxmlformats-officedocument.drawing+xml"/>
  <Override PartName="/xl/comments112.xml" ContentType="application/vnd.openxmlformats-officedocument.spreadsheetml.comments+xml"/>
  <Override PartName="/xl/drawings/drawing113.xml" ContentType="application/vnd.openxmlformats-officedocument.drawing+xml"/>
  <Override PartName="/xl/comments113.xml" ContentType="application/vnd.openxmlformats-officedocument.spreadsheetml.comments+xml"/>
  <Override PartName="/xl/drawings/drawing114.xml" ContentType="application/vnd.openxmlformats-officedocument.drawing+xml"/>
  <Override PartName="/xl/comments114.xml" ContentType="application/vnd.openxmlformats-officedocument.spreadsheetml.comments+xml"/>
  <Override PartName="/xl/drawings/drawing115.xml" ContentType="application/vnd.openxmlformats-officedocument.drawing+xml"/>
  <Override PartName="/xl/comments115.xml" ContentType="application/vnd.openxmlformats-officedocument.spreadsheetml.comments+xml"/>
  <Override PartName="/xl/drawings/drawing116.xml" ContentType="application/vnd.openxmlformats-officedocument.drawing+xml"/>
  <Override PartName="/xl/comments116.xml" ContentType="application/vnd.openxmlformats-officedocument.spreadsheetml.comments+xml"/>
  <Override PartName="/xl/drawings/drawing117.xml" ContentType="application/vnd.openxmlformats-officedocument.drawing+xml"/>
  <Override PartName="/xl/comments117.xml" ContentType="application/vnd.openxmlformats-officedocument.spreadsheetml.comments+xml"/>
  <Override PartName="/xl/drawings/drawing118.xml" ContentType="application/vnd.openxmlformats-officedocument.drawing+xml"/>
  <Override PartName="/xl/comments118.xml" ContentType="application/vnd.openxmlformats-officedocument.spreadsheetml.comments+xml"/>
  <Override PartName="/xl/drawings/drawing119.xml" ContentType="application/vnd.openxmlformats-officedocument.drawing+xml"/>
  <Override PartName="/xl/comments119.xml" ContentType="application/vnd.openxmlformats-officedocument.spreadsheetml.comments+xml"/>
  <Override PartName="/xl/drawings/drawing120.xml" ContentType="application/vnd.openxmlformats-officedocument.drawing+xml"/>
  <Override PartName="/xl/comments120.xml" ContentType="application/vnd.openxmlformats-officedocument.spreadsheetml.comments+xml"/>
  <Override PartName="/xl/drawings/drawing121.xml" ContentType="application/vnd.openxmlformats-officedocument.drawing+xml"/>
  <Override PartName="/xl/comments121.xml" ContentType="application/vnd.openxmlformats-officedocument.spreadsheetml.comments+xml"/>
  <Override PartName="/xl/drawings/drawing122.xml" ContentType="application/vnd.openxmlformats-officedocument.drawing+xml"/>
  <Override PartName="/xl/comments122.xml" ContentType="application/vnd.openxmlformats-officedocument.spreadsheetml.comments+xml"/>
  <Override PartName="/xl/drawings/drawing123.xml" ContentType="application/vnd.openxmlformats-officedocument.drawing+xml"/>
  <Override PartName="/xl/comments123.xml" ContentType="application/vnd.openxmlformats-officedocument.spreadsheetml.comments+xml"/>
  <Override PartName="/xl/drawings/drawing124.xml" ContentType="application/vnd.openxmlformats-officedocument.drawing+xml"/>
  <Override PartName="/xl/comments124.xml" ContentType="application/vnd.openxmlformats-officedocument.spreadsheetml.comments+xml"/>
  <Override PartName="/xl/drawings/drawing125.xml" ContentType="application/vnd.openxmlformats-officedocument.drawing+xml"/>
  <Override PartName="/xl/comments125.xml" ContentType="application/vnd.openxmlformats-officedocument.spreadsheetml.comments+xml"/>
  <Override PartName="/xl/drawings/drawing126.xml" ContentType="application/vnd.openxmlformats-officedocument.drawing+xml"/>
  <Override PartName="/xl/comments126.xml" ContentType="application/vnd.openxmlformats-officedocument.spreadsheetml.comments+xml"/>
  <Override PartName="/xl/drawings/drawing127.xml" ContentType="application/vnd.openxmlformats-officedocument.drawing+xml"/>
  <Override PartName="/xl/comments127.xml" ContentType="application/vnd.openxmlformats-officedocument.spreadsheetml.comments+xml"/>
  <Override PartName="/xl/drawings/drawing128.xml" ContentType="application/vnd.openxmlformats-officedocument.drawing+xml"/>
  <Override PartName="/xl/comments128.xml" ContentType="application/vnd.openxmlformats-officedocument.spreadsheetml.comments+xml"/>
  <Override PartName="/xl/drawings/drawing129.xml" ContentType="application/vnd.openxmlformats-officedocument.drawing+xml"/>
  <Override PartName="/xl/comments129.xml" ContentType="application/vnd.openxmlformats-officedocument.spreadsheetml.comments+xml"/>
  <Override PartName="/xl/drawings/drawing130.xml" ContentType="application/vnd.openxmlformats-officedocument.drawing+xml"/>
  <Override PartName="/xl/comments130.xml" ContentType="application/vnd.openxmlformats-officedocument.spreadsheetml.comments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07.MINE EXPLOSIVES REPORTS\02. RCSU WEEKLY REPORT\2026\"/>
    </mc:Choice>
  </mc:AlternateContent>
  <bookViews>
    <workbookView xWindow="0" yWindow="0" windowWidth="28800" windowHeight="10815" firstSheet="170" activeTab="178"/>
  </bookViews>
  <sheets>
    <sheet name="01-01-07,2023" sheetId="1" r:id="rId1"/>
    <sheet name="01-08-14,2023" sheetId="2" r:id="rId2"/>
    <sheet name="01-15-21,2023" sheetId="3" r:id="rId3"/>
    <sheet name="01-22-28,2023" sheetId="4" r:id="rId4"/>
    <sheet name="1-29-2-4,2023" sheetId="5" r:id="rId5"/>
    <sheet name="2-5-11,2023" sheetId="6" r:id="rId6"/>
    <sheet name="2-12-18,2023" sheetId="7" r:id="rId7"/>
    <sheet name="2-19-25,2023" sheetId="8" r:id="rId8"/>
    <sheet name="2-26-3-4,2023" sheetId="9" r:id="rId9"/>
    <sheet name="3-5-11,2023" sheetId="10" r:id="rId10"/>
    <sheet name="3-12-18,2023" sheetId="11" r:id="rId11"/>
    <sheet name="3-19-25,2023" sheetId="12" r:id="rId12"/>
    <sheet name="3-26-4-1,2023" sheetId="13" r:id="rId13"/>
    <sheet name="4-2-8,2023" sheetId="14" r:id="rId14"/>
    <sheet name="4-9-15,2023" sheetId="15" r:id="rId15"/>
    <sheet name="4-16-22,2023" sheetId="16" r:id="rId16"/>
    <sheet name="4-23-29,2023" sheetId="17" r:id="rId17"/>
    <sheet name="4-30-5-6,2023" sheetId="18" r:id="rId18"/>
    <sheet name="5-7-13,2023" sheetId="19" r:id="rId19"/>
    <sheet name="5-14-20,2023" sheetId="20" r:id="rId20"/>
    <sheet name="5-21-27,2023" sheetId="21" r:id="rId21"/>
    <sheet name="5-28-6-3,2023" sheetId="22" r:id="rId22"/>
    <sheet name="6-4-10,2023" sheetId="23" r:id="rId23"/>
    <sheet name="6-11-17,2023" sheetId="25" r:id="rId24"/>
    <sheet name="6-18-24,2023" sheetId="24" r:id="rId25"/>
    <sheet name="6-25-7-1,2023" sheetId="26" r:id="rId26"/>
    <sheet name="7-2-8,2023" sheetId="27" r:id="rId27"/>
    <sheet name="7-9-15,2023" sheetId="28" r:id="rId28"/>
    <sheet name="7-16-22,2023" sheetId="29" r:id="rId29"/>
    <sheet name="7-23-29,2023" sheetId="30" r:id="rId30"/>
    <sheet name="7-30-8-5,2023" sheetId="31" r:id="rId31"/>
    <sheet name="8-6-12,20230" sheetId="32" r:id="rId32"/>
    <sheet name="8-13-19,2023" sheetId="33" r:id="rId33"/>
    <sheet name="8-20-26,2023" sheetId="34" r:id="rId34"/>
    <sheet name="8-27-9-2,2023" sheetId="35" r:id="rId35"/>
    <sheet name="9-3-9,2023" sheetId="36" r:id="rId36"/>
    <sheet name="9-10-16,2023" sheetId="37" r:id="rId37"/>
    <sheet name="9-17-23,2023" sheetId="38" r:id="rId38"/>
    <sheet name="9-24-30,2023" sheetId="39" r:id="rId39"/>
    <sheet name="10-1-7,2023" sheetId="40" r:id="rId40"/>
    <sheet name="10-8-14,2023" sheetId="41" r:id="rId41"/>
    <sheet name="10-15-21,2023" sheetId="42" r:id="rId42"/>
    <sheet name="10-22-31" sheetId="43" r:id="rId43"/>
    <sheet name="11-1-5,2023" sheetId="44" r:id="rId44"/>
    <sheet name="11-6-12,2023" sheetId="45" r:id="rId45"/>
    <sheet name="11-13-19,2023" sheetId="46" r:id="rId46"/>
    <sheet name="11-20-26,2023" sheetId="47" r:id="rId47"/>
    <sheet name="11-27-12-3,2023" sheetId="48" r:id="rId48"/>
    <sheet name="12-4-10,2023" sheetId="49" r:id="rId49"/>
    <sheet name="12-11-17,2023" sheetId="50" r:id="rId50"/>
    <sheet name="12-18-24,2023" sheetId="51" r:id="rId51"/>
    <sheet name="12-25-31,2023" sheetId="52" r:id="rId52"/>
    <sheet name="01-01-7-2024" sheetId="53" r:id="rId53"/>
    <sheet name="01-08-14,2024" sheetId="54" r:id="rId54"/>
    <sheet name="01-15-21,2024" sheetId="55" r:id="rId55"/>
    <sheet name="01-22-28,2024" sheetId="56" r:id="rId56"/>
    <sheet name="01-29-2-4,2024 " sheetId="57" r:id="rId57"/>
    <sheet name="2-5-11,2024" sheetId="58" r:id="rId58"/>
    <sheet name="2-12-18,2024" sheetId="59" r:id="rId59"/>
    <sheet name="2-19-25,2024" sheetId="60" r:id="rId60"/>
    <sheet name="2-26-3-3,2024" sheetId="61" r:id="rId61"/>
    <sheet name="3-4-10,2024" sheetId="62" r:id="rId62"/>
    <sheet name="3-11-17,2024" sheetId="63" r:id="rId63"/>
    <sheet name="3-18-24,2024" sheetId="64" r:id="rId64"/>
    <sheet name="3-25-31,2024" sheetId="65" r:id="rId65"/>
    <sheet name="4-1-7,2024" sheetId="66" r:id="rId66"/>
    <sheet name="4-8-14,2024" sheetId="67" r:id="rId67"/>
    <sheet name="4-15-21,2024" sheetId="68" r:id="rId68"/>
    <sheet name="4-22-28,2024" sheetId="69" r:id="rId69"/>
    <sheet name="4-29-5-5-2024" sheetId="70" r:id="rId70"/>
    <sheet name="5-6-12,2024" sheetId="71" r:id="rId71"/>
    <sheet name="5-13-19,2024" sheetId="72" r:id="rId72"/>
    <sheet name="5-20-26,2024" sheetId="74" r:id="rId73"/>
    <sheet name="5-27-JUNE 2, 2024" sheetId="73" r:id="rId74"/>
    <sheet name="JUNE 3-9, 2024" sheetId="75" r:id="rId75"/>
    <sheet name="JUNE 10-16, 2024" sheetId="76" r:id="rId76"/>
    <sheet name="JUNE 17-23, 2024" sheetId="77" r:id="rId77"/>
    <sheet name="JUNE 24-30" sheetId="78" r:id="rId78"/>
    <sheet name="JULY 1-7" sheetId="79" r:id="rId79"/>
    <sheet name="JULY 8-14" sheetId="80" r:id="rId80"/>
    <sheet name="JULY 15-21" sheetId="81" r:id="rId81"/>
    <sheet name="JULY 22-28" sheetId="82" r:id="rId82"/>
    <sheet name="JULY 29-AUGUST 4" sheetId="83" r:id="rId83"/>
    <sheet name="AUGUST 5-11, " sheetId="84" r:id="rId84"/>
    <sheet name="AUGUST 12-18" sheetId="85" r:id="rId85"/>
    <sheet name="AUGUST 19-25" sheetId="86" r:id="rId86"/>
    <sheet name="AUGUST 26-SEPTEMBER 1" sheetId="87" r:id="rId87"/>
    <sheet name="SEPTEMBER 2-8" sheetId="88" r:id="rId88"/>
    <sheet name="SEPTEMBER 9-15" sheetId="89" r:id="rId89"/>
    <sheet name="SEPTEMBER 16-22" sheetId="90" r:id="rId90"/>
    <sheet name="SEPTEMBER 23-29" sheetId="91" r:id="rId91"/>
    <sheet name="SEPTEMBER 30-OCT. 6" sheetId="92" r:id="rId92"/>
    <sheet name="OCTOBER 7-13" sheetId="93" r:id="rId93"/>
    <sheet name="OCTOBER 14-20" sheetId="94" r:id="rId94"/>
    <sheet name="OCTOBER 21-27" sheetId="95" r:id="rId95"/>
    <sheet name="OCTOBER 28-NOVEMBER 3" sheetId="96" r:id="rId96"/>
    <sheet name="NOVEMBER 4-10" sheetId="97" r:id="rId97"/>
    <sheet name="NOVEMBER 11-17" sheetId="98" r:id="rId98"/>
    <sheet name="NOVEMBER 18-24" sheetId="99" r:id="rId99"/>
    <sheet name="NOVEMBER 25-DECEMBER 1" sheetId="100" r:id="rId100"/>
    <sheet name="DECEMBER 2-8" sheetId="101" r:id="rId101"/>
    <sheet name="DECEMBER 9-15" sheetId="102" r:id="rId102"/>
    <sheet name="DECEMBER 16-22" sheetId="103" r:id="rId103"/>
    <sheet name="DECEMBER 23-29" sheetId="104" r:id="rId104"/>
    <sheet name="DECEMBER 30-JANUARY 5" sheetId="105" r:id="rId105"/>
    <sheet name="JANUARY 6-12" sheetId="106" r:id="rId106"/>
    <sheet name="JANUARY 13-19" sheetId="107" r:id="rId107"/>
    <sheet name="JANUARY 20-26" sheetId="108" r:id="rId108"/>
    <sheet name="JANUARY 27-FEBRUARY 2" sheetId="109" r:id="rId109"/>
    <sheet name="FEBRUARY 3-9" sheetId="110" r:id="rId110"/>
    <sheet name="FEBRUARY 10-16" sheetId="111" r:id="rId111"/>
    <sheet name="FEBRUARY 17-23" sheetId="112" r:id="rId112"/>
    <sheet name="FEBRUARY 24-MARCH 2" sheetId="113" r:id="rId113"/>
    <sheet name="MARCH 3-9" sheetId="114" r:id="rId114"/>
    <sheet name="MARCH 10-16" sheetId="115" r:id="rId115"/>
    <sheet name="MARCH 17-23" sheetId="116" r:id="rId116"/>
    <sheet name="MARCH 24-30" sheetId="117" r:id="rId117"/>
    <sheet name="MARCH 31-APRIL 6" sheetId="118" r:id="rId118"/>
    <sheet name="APRIL 7-13, 2025" sheetId="119" r:id="rId119"/>
    <sheet name="APRIL 14-20" sheetId="120" r:id="rId120"/>
    <sheet name="APRIL 21-27" sheetId="121" r:id="rId121"/>
    <sheet name="APRIL 28-MAY 4" sheetId="122" r:id="rId122"/>
    <sheet name="MAY 5-11" sheetId="123" r:id="rId123"/>
    <sheet name="MAY 12-18" sheetId="124" r:id="rId124"/>
    <sheet name="MAY 19-25" sheetId="125" r:id="rId125"/>
    <sheet name="MAY 26-JUNE 1" sheetId="126" r:id="rId126"/>
    <sheet name="JUNE 2-8" sheetId="128" r:id="rId127"/>
    <sheet name="JUNE 9-15" sheetId="127" r:id="rId128"/>
    <sheet name="JUNE 16-22" sheetId="129" r:id="rId129"/>
    <sheet name="JUNE 23-29" sheetId="130" r:id="rId130"/>
    <sheet name="JUNE 30-JULY 6" sheetId="131" r:id="rId131"/>
    <sheet name="JULY 7-13" sheetId="132" r:id="rId132"/>
    <sheet name="JULY 14-20" sheetId="133" r:id="rId133"/>
    <sheet name="JULY 21-27" sheetId="134" r:id="rId134"/>
    <sheet name="JULY 28-AUGUST 3" sheetId="135" r:id="rId135"/>
    <sheet name="AUGUST 4-10" sheetId="136" r:id="rId136"/>
    <sheet name="AUGUST 11-17" sheetId="137" r:id="rId137"/>
    <sheet name="AUGUST 18-24" sheetId="138" r:id="rId138"/>
    <sheet name="AUGUST 25-31" sheetId="139" r:id="rId139"/>
    <sheet name="SEPTEMBER 1-7" sheetId="140" r:id="rId140"/>
    <sheet name="SEPTEMBER 8-14" sheetId="141" r:id="rId141"/>
    <sheet name="SEPTEMBER 15-21" sheetId="142" r:id="rId142"/>
    <sheet name="SEPTEMBER 22-28" sheetId="143" r:id="rId143"/>
    <sheet name="SEPTEMBER 29-OCTOBER 5" sheetId="144" r:id="rId144"/>
    <sheet name="OCTOBER 6-12" sheetId="145" r:id="rId145"/>
    <sheet name="OCTOBER 13-19" sheetId="146" r:id="rId146"/>
    <sheet name="OCTOBER 20-26" sheetId="147" r:id="rId147"/>
    <sheet name="OCTOBER 27-NOVEMBER 2" sheetId="148" r:id="rId148"/>
    <sheet name="NOVEMBER 3-9" sheetId="149" r:id="rId149"/>
    <sheet name="NOVEMBER 10-16" sheetId="150" r:id="rId150"/>
    <sheet name="NOVEMBER 17-23" sheetId="151" r:id="rId151"/>
    <sheet name="NOVEMBER 24-30" sheetId="152" r:id="rId152"/>
    <sheet name="DECEMBER 1-7" sheetId="153" r:id="rId153"/>
    <sheet name="DECEMBER 8-14" sheetId="154" r:id="rId154"/>
    <sheet name="DECEMBER 15-21" sheetId="155" r:id="rId155"/>
    <sheet name="DECEMBER 22-28" sheetId="156" r:id="rId156"/>
    <sheet name="DECEMBER 29-JANUARY 4" sheetId="157" r:id="rId157"/>
    <sheet name="JANUARY 5-11" sheetId="158" r:id="rId158"/>
    <sheet name="JANUARY 12-18" sheetId="159" r:id="rId159"/>
    <sheet name="JANUARY 19-25" sheetId="160" r:id="rId160"/>
    <sheet name="JANUARY 26-FEB. 1" sheetId="161" r:id="rId161"/>
    <sheet name="FEBRUARY 2-8" sheetId="162" r:id="rId162"/>
    <sheet name="FEBRUARY 9-15" sheetId="163" r:id="rId163"/>
    <sheet name="FEBRUARY 16-22" sheetId="164" r:id="rId164"/>
    <sheet name="FEBRUARY 23-MARCH 1" sheetId="165" r:id="rId165"/>
    <sheet name="MARCH 2-8" sheetId="166" r:id="rId166"/>
    <sheet name="MARCH 9-15" sheetId="167" r:id="rId167"/>
    <sheet name="MARCH 16-22" sheetId="168" r:id="rId168"/>
    <sheet name="MARCH 23-29" sheetId="169" r:id="rId169"/>
    <sheet name="MARCH 30-APRIL 5" sheetId="170" r:id="rId170"/>
    <sheet name="APRIL 6-12" sheetId="171" r:id="rId171"/>
    <sheet name="APRIL 13-19" sheetId="172" r:id="rId172"/>
    <sheet name="APRIL 20-26" sheetId="173" r:id="rId173"/>
    <sheet name="APRIL 27-MAY 3" sheetId="174" r:id="rId174"/>
    <sheet name="MAY 4-10" sheetId="175" r:id="rId175"/>
    <sheet name="MAY 11-17" sheetId="176" r:id="rId176"/>
    <sheet name="MAY 18-24" sheetId="177" r:id="rId177"/>
    <sheet name="MAY 25-31" sheetId="178" r:id="rId178"/>
    <sheet name="JUNE 1-7" sheetId="179" r:id="rId179"/>
  </sheets>
  <externalReferences>
    <externalReference r:id="rId180"/>
  </externalReferences>
  <definedNames>
    <definedName name="_xlnm._FilterDatabase" localSheetId="0" hidden="1">'01-01-07,2023'!$A$16:$AF$19</definedName>
    <definedName name="_xlnm._FilterDatabase" localSheetId="52" hidden="1">'01-01-7-2024'!$A$16:$AH$19</definedName>
    <definedName name="_xlnm._FilterDatabase" localSheetId="1" hidden="1">'01-08-14,2023'!$A$16:$AF$19</definedName>
    <definedName name="_xlnm._FilterDatabase" localSheetId="53" hidden="1">'01-08-14,2024'!$A$16:$AH$19</definedName>
    <definedName name="_xlnm._FilterDatabase" localSheetId="2" hidden="1">'01-15-21,2023'!$A$16:$AF$19</definedName>
    <definedName name="_xlnm._FilterDatabase" localSheetId="54" hidden="1">'01-15-21,2024'!$A$16:$AH$19</definedName>
    <definedName name="_xlnm._FilterDatabase" localSheetId="3" hidden="1">'01-22-28,2023'!$A$16:$AF$19</definedName>
    <definedName name="_xlnm._FilterDatabase" localSheetId="55" hidden="1">'01-22-28,2024'!$A$16:$AH$19</definedName>
    <definedName name="_xlnm._FilterDatabase" localSheetId="56" hidden="1">'01-29-2-4,2024 '!$A$16:$AH$19</definedName>
    <definedName name="_xlnm._FilterDatabase" localSheetId="41" hidden="1">'10-15-21,2023'!$A$16:$AH$19</definedName>
    <definedName name="_xlnm._FilterDatabase" localSheetId="39" hidden="1">'10-1-7,2023'!$A$16:$AH$19</definedName>
    <definedName name="_xlnm._FilterDatabase" localSheetId="42" hidden="1">'10-22-31'!$A$16:$AH$19</definedName>
    <definedName name="_xlnm._FilterDatabase" localSheetId="40" hidden="1">'10-8-14,2023'!$A$16:$AH$19</definedName>
    <definedName name="_xlnm._FilterDatabase" localSheetId="45" hidden="1">'11-13-19,2023'!$A$16:$AH$19</definedName>
    <definedName name="_xlnm._FilterDatabase" localSheetId="43" hidden="1">'11-1-5,2023'!$A$16:$AH$19</definedName>
    <definedName name="_xlnm._FilterDatabase" localSheetId="46" hidden="1">'11-20-26,2023'!$A$16:$AH$19</definedName>
    <definedName name="_xlnm._FilterDatabase" localSheetId="47" hidden="1">'11-27-12-3,2023'!$A$16:$AH$19</definedName>
    <definedName name="_xlnm._FilterDatabase" localSheetId="44" hidden="1">'11-6-12,2023'!$A$16:$AH$19</definedName>
    <definedName name="_xlnm._FilterDatabase" localSheetId="49" hidden="1">'12-11-17,2023'!$A$16:$AH$19</definedName>
    <definedName name="_xlnm._FilterDatabase" localSheetId="50" hidden="1">'12-18-24,2023'!$A$16:$AH$19</definedName>
    <definedName name="_xlnm._FilterDatabase" localSheetId="51" hidden="1">'12-25-31,2023'!$A$16:$AH$19</definedName>
    <definedName name="_xlnm._FilterDatabase" localSheetId="48" hidden="1">'12-4-10,2023'!$A$16:$AH$19</definedName>
    <definedName name="_xlnm._FilterDatabase" localSheetId="4" hidden="1">'1-29-2-4,2023'!$A$16:$AF$19</definedName>
    <definedName name="_xlnm._FilterDatabase" localSheetId="6" hidden="1">'2-12-18,2023'!$A$16:$AF$19</definedName>
    <definedName name="_xlnm._FilterDatabase" localSheetId="58" hidden="1">'2-12-18,2024'!$A$16:$AH$19</definedName>
    <definedName name="_xlnm._FilterDatabase" localSheetId="7" hidden="1">'2-19-25,2023'!$A$16:$AF$19</definedName>
    <definedName name="_xlnm._FilterDatabase" localSheetId="59" hidden="1">'2-19-25,2024'!$A$16:$AH$19</definedName>
    <definedName name="_xlnm._FilterDatabase" localSheetId="60" hidden="1">'2-26-3-3,2024'!$A$16:$AH$19</definedName>
    <definedName name="_xlnm._FilterDatabase" localSheetId="8" hidden="1">'2-26-3-4,2023'!$A$16:$AF$19</definedName>
    <definedName name="_xlnm._FilterDatabase" localSheetId="5" hidden="1">'2-5-11,2023'!$A$16:$AF$19</definedName>
    <definedName name="_xlnm._FilterDatabase" localSheetId="57" hidden="1">'2-5-11,2024'!$A$16:$AH$19</definedName>
    <definedName name="_xlnm._FilterDatabase" localSheetId="62" hidden="1">'3-11-17,2024'!$A$16:$AH$19</definedName>
    <definedName name="_xlnm._FilterDatabase" localSheetId="10" hidden="1">'3-12-18,2023'!$A$16:$AF$19</definedName>
    <definedName name="_xlnm._FilterDatabase" localSheetId="63" hidden="1">'3-18-24,2024'!$A$16:$AH$19</definedName>
    <definedName name="_xlnm._FilterDatabase" localSheetId="11" hidden="1">'3-19-25,2023'!$A$16:$AF$19</definedName>
    <definedName name="_xlnm._FilterDatabase" localSheetId="64" hidden="1">'3-25-31,2024'!$A$16:$AH$19</definedName>
    <definedName name="_xlnm._FilterDatabase" localSheetId="12" hidden="1">'3-26-4-1,2023'!$A$16:$AF$19</definedName>
    <definedName name="_xlnm._FilterDatabase" localSheetId="61" hidden="1">'3-4-10,2024'!$A$16:$AH$19</definedName>
    <definedName name="_xlnm._FilterDatabase" localSheetId="9" hidden="1">'3-5-11,2023'!$A$16:$AF$19</definedName>
    <definedName name="_xlnm._FilterDatabase" localSheetId="67" hidden="1">'4-15-21,2024'!$A$16:$AH$19</definedName>
    <definedName name="_xlnm._FilterDatabase" localSheetId="15" hidden="1">'4-16-22,2023'!$A$16:$AF$19</definedName>
    <definedName name="_xlnm._FilterDatabase" localSheetId="65" hidden="1">'4-1-7,2024'!$A$16:$AH$19</definedName>
    <definedName name="_xlnm._FilterDatabase" localSheetId="68" hidden="1">'4-22-28,2024'!$A$16:$AH$19</definedName>
    <definedName name="_xlnm._FilterDatabase" localSheetId="16" hidden="1">'4-23-29,2023'!$A$16:$AF$19</definedName>
    <definedName name="_xlnm._FilterDatabase" localSheetId="13" hidden="1">'4-2-8,2023'!$A$16:$AF$19</definedName>
    <definedName name="_xlnm._FilterDatabase" localSheetId="69" hidden="1">'4-29-5-5-2024'!$A$16:$AH$19</definedName>
    <definedName name="_xlnm._FilterDatabase" localSheetId="17" hidden="1">'4-30-5-6,2023'!$A$16:$AF$19</definedName>
    <definedName name="_xlnm._FilterDatabase" localSheetId="66" hidden="1">'4-8-14,2024'!$A$16:$AH$19</definedName>
    <definedName name="_xlnm._FilterDatabase" localSheetId="14" hidden="1">'4-9-15,2023'!$A$16:$AF$19</definedName>
    <definedName name="_xlnm._FilterDatabase" localSheetId="71" hidden="1">'5-13-19,2024'!$A$16:$AH$19</definedName>
    <definedName name="_xlnm._FilterDatabase" localSheetId="19" hidden="1">'5-14-20,2023'!$A$16:$AH$19</definedName>
    <definedName name="_xlnm._FilterDatabase" localSheetId="72" hidden="1">'5-20-26,2024'!$A$16:$AH$19</definedName>
    <definedName name="_xlnm._FilterDatabase" localSheetId="20" hidden="1">'5-21-27,2023'!$A$16:$AH$19</definedName>
    <definedName name="_xlnm._FilterDatabase" localSheetId="73" hidden="1">'5-27-JUNE 2, 2024'!$A$16:$AH$19</definedName>
    <definedName name="_xlnm._FilterDatabase" localSheetId="21" hidden="1">'5-28-6-3,2023'!$A$16:$AH$19</definedName>
    <definedName name="_xlnm._FilterDatabase" localSheetId="70" hidden="1">'5-6-12,2024'!$A$16:$AH$19</definedName>
    <definedName name="_xlnm._FilterDatabase" localSheetId="18" hidden="1">'5-7-13,2023'!$A$16:$AF$19</definedName>
    <definedName name="_xlnm._FilterDatabase" localSheetId="23" hidden="1">'6-11-17,2023'!$A$16:$AH$19</definedName>
    <definedName name="_xlnm._FilterDatabase" localSheetId="24" hidden="1">'6-18-24,2023'!$A$16:$AH$19</definedName>
    <definedName name="_xlnm._FilterDatabase" localSheetId="25" hidden="1">'6-25-7-1,2023'!$A$16:$AH$19</definedName>
    <definedName name="_xlnm._FilterDatabase" localSheetId="22" hidden="1">'6-4-10,2023'!$A$16:$AH$19</definedName>
    <definedName name="_xlnm._FilterDatabase" localSheetId="28" hidden="1">'7-16-22,2023'!$A$16:$AH$19</definedName>
    <definedName name="_xlnm._FilterDatabase" localSheetId="29" hidden="1">'7-23-29,2023'!$A$16:$AH$19</definedName>
    <definedName name="_xlnm._FilterDatabase" localSheetId="26" hidden="1">'7-2-8,2023'!$A$16:$AH$19</definedName>
    <definedName name="_xlnm._FilterDatabase" localSheetId="30" hidden="1">'7-30-8-5,2023'!$A$16:$AH$19</definedName>
    <definedName name="_xlnm._FilterDatabase" localSheetId="27" hidden="1">'7-9-15,2023'!$A$16:$AH$19</definedName>
    <definedName name="_xlnm._FilterDatabase" localSheetId="32" hidden="1">'8-13-19,2023'!$A$16:$AH$19</definedName>
    <definedName name="_xlnm._FilterDatabase" localSheetId="33" hidden="1">'8-20-26,2023'!$A$16:$AH$19</definedName>
    <definedName name="_xlnm._FilterDatabase" localSheetId="34" hidden="1">'8-27-9-2,2023'!$A$16:$AH$19</definedName>
    <definedName name="_xlnm._FilterDatabase" localSheetId="31" hidden="1">'8-6-12,20230'!$A$16:$AH$19</definedName>
    <definedName name="_xlnm._FilterDatabase" localSheetId="36" hidden="1">'9-10-16,2023'!$A$16:$AH$19</definedName>
    <definedName name="_xlnm._FilterDatabase" localSheetId="37" hidden="1">'9-17-23,2023'!$A$16:$AH$19</definedName>
    <definedName name="_xlnm._FilterDatabase" localSheetId="38" hidden="1">'9-24-30,2023'!$A$16:$AH$19</definedName>
    <definedName name="_xlnm._FilterDatabase" localSheetId="35" hidden="1">'9-3-9,2023'!$A$16:$AH$19</definedName>
    <definedName name="_xlnm._FilterDatabase" localSheetId="171" hidden="1">'APRIL 13-19'!$A$16:$AG$19</definedName>
    <definedName name="_xlnm._FilterDatabase" localSheetId="119" hidden="1">'APRIL 14-20'!$A$16:$AH$19</definedName>
    <definedName name="_xlnm._FilterDatabase" localSheetId="172" hidden="1">'APRIL 20-26'!$A$16:$AG$19</definedName>
    <definedName name="_xlnm._FilterDatabase" localSheetId="120" hidden="1">'APRIL 21-27'!$A$16:$AH$19</definedName>
    <definedName name="_xlnm._FilterDatabase" localSheetId="173" hidden="1">'APRIL 27-MAY 3'!$A$16:$AG$19</definedName>
    <definedName name="_xlnm._FilterDatabase" localSheetId="121" hidden="1">'APRIL 28-MAY 4'!$A$16:$AH$19</definedName>
    <definedName name="_xlnm._FilterDatabase" localSheetId="170" hidden="1">'APRIL 6-12'!$A$16:$AG$19</definedName>
    <definedName name="_xlnm._FilterDatabase" localSheetId="118" hidden="1">'APRIL 7-13, 2025'!$A$16:$AH$19</definedName>
    <definedName name="_xlnm._FilterDatabase" localSheetId="136" hidden="1">'AUGUST 11-17'!$A$16:$AG$19</definedName>
    <definedName name="_xlnm._FilterDatabase" localSheetId="84" hidden="1">'AUGUST 12-18'!$A$16:$AH$19</definedName>
    <definedName name="_xlnm._FilterDatabase" localSheetId="137" hidden="1">'AUGUST 18-24'!$A$16:$AG$19</definedName>
    <definedName name="_xlnm._FilterDatabase" localSheetId="85" hidden="1">'AUGUST 19-25'!$A$16:$AH$19</definedName>
    <definedName name="_xlnm._FilterDatabase" localSheetId="138" hidden="1">'AUGUST 25-31'!$A$16:$AG$19</definedName>
    <definedName name="_xlnm._FilterDatabase" localSheetId="86" hidden="1">'AUGUST 26-SEPTEMBER 1'!$A$16:$AH$19</definedName>
    <definedName name="_xlnm._FilterDatabase" localSheetId="135" hidden="1">'AUGUST 4-10'!$A$16:$AG$19</definedName>
    <definedName name="_xlnm._FilterDatabase" localSheetId="83" hidden="1">'AUGUST 5-11, '!$A$16:$AH$19</definedName>
    <definedName name="_xlnm._FilterDatabase" localSheetId="154" hidden="1">'DECEMBER 15-21'!$A$16:$AG$19</definedName>
    <definedName name="_xlnm._FilterDatabase" localSheetId="102" hidden="1">'DECEMBER 16-22'!$A$16:$AH$19</definedName>
    <definedName name="_xlnm._FilterDatabase" localSheetId="152" hidden="1">'DECEMBER 1-7'!$A$16:$AG$19</definedName>
    <definedName name="_xlnm._FilterDatabase" localSheetId="155" hidden="1">'DECEMBER 22-28'!$A$16:$AG$19</definedName>
    <definedName name="_xlnm._FilterDatabase" localSheetId="103" hidden="1">'DECEMBER 23-29'!$A$16:$AH$19</definedName>
    <definedName name="_xlnm._FilterDatabase" localSheetId="100" hidden="1">'DECEMBER 2-8'!$A$16:$AH$19</definedName>
    <definedName name="_xlnm._FilterDatabase" localSheetId="156" hidden="1">'DECEMBER 29-JANUARY 4'!$A$16:$AG$19</definedName>
    <definedName name="_xlnm._FilterDatabase" localSheetId="104" hidden="1">'DECEMBER 30-JANUARY 5'!$A$16:$AH$19</definedName>
    <definedName name="_xlnm._FilterDatabase" localSheetId="153" hidden="1">'DECEMBER 8-14'!$A$16:$AG$19</definedName>
    <definedName name="_xlnm._FilterDatabase" localSheetId="101" hidden="1">'DECEMBER 9-15'!$A$16:$AH$19</definedName>
    <definedName name="_xlnm._FilterDatabase" localSheetId="110" hidden="1">'FEBRUARY 10-16'!$A$16:$AH$19</definedName>
    <definedName name="_xlnm._FilterDatabase" localSheetId="163" hidden="1">'FEBRUARY 16-22'!$A$16:$AG$19</definedName>
    <definedName name="_xlnm._FilterDatabase" localSheetId="111" hidden="1">'FEBRUARY 17-23'!$A$16:$AH$19</definedName>
    <definedName name="_xlnm._FilterDatabase" localSheetId="164" hidden="1">'FEBRUARY 23-MARCH 1'!$A$16:$AG$19</definedName>
    <definedName name="_xlnm._FilterDatabase" localSheetId="112" hidden="1">'FEBRUARY 24-MARCH 2'!$A$16:$AH$19</definedName>
    <definedName name="_xlnm._FilterDatabase" localSheetId="161" hidden="1">'FEBRUARY 2-8'!$A$16:$AG$19</definedName>
    <definedName name="_xlnm._FilterDatabase" localSheetId="109" hidden="1">'FEBRUARY 3-9'!$A$16:$AH$19</definedName>
    <definedName name="_xlnm._FilterDatabase" localSheetId="162" hidden="1">'FEBRUARY 9-15'!$A$16:$AG$19</definedName>
    <definedName name="_xlnm._FilterDatabase" localSheetId="158" hidden="1">'JANUARY 12-18'!$A$16:$AG$19</definedName>
    <definedName name="_xlnm._FilterDatabase" localSheetId="106" hidden="1">'JANUARY 13-19'!$A$16:$AH$19</definedName>
    <definedName name="_xlnm._FilterDatabase" localSheetId="159" hidden="1">'JANUARY 19-25'!$A$16:$AG$19</definedName>
    <definedName name="_xlnm._FilterDatabase" localSheetId="107" hidden="1">'JANUARY 20-26'!$A$16:$AH$19</definedName>
    <definedName name="_xlnm._FilterDatabase" localSheetId="160" hidden="1">'JANUARY 26-FEB. 1'!$A$16:$AG$19</definedName>
    <definedName name="_xlnm._FilterDatabase" localSheetId="108" hidden="1">'JANUARY 27-FEBRUARY 2'!$A$16:$AH$19</definedName>
    <definedName name="_xlnm._FilterDatabase" localSheetId="157" hidden="1">'JANUARY 5-11'!$A$16:$AG$19</definedName>
    <definedName name="_xlnm._FilterDatabase" localSheetId="105" hidden="1">'JANUARY 6-12'!$A$16:$AH$19</definedName>
    <definedName name="_xlnm._FilterDatabase" localSheetId="132" hidden="1">'JULY 14-20'!$A$16:$AG$19</definedName>
    <definedName name="_xlnm._FilterDatabase" localSheetId="80" hidden="1">'JULY 15-21'!$A$16:$AH$19</definedName>
    <definedName name="_xlnm._FilterDatabase" localSheetId="78" hidden="1">'JULY 1-7'!$A$16:$AH$19</definedName>
    <definedName name="_xlnm._FilterDatabase" localSheetId="133" hidden="1">'JULY 21-27'!$A$16:$AG$19</definedName>
    <definedName name="_xlnm._FilterDatabase" localSheetId="81" hidden="1">'JULY 22-28'!$A$16:$AH$19</definedName>
    <definedName name="_xlnm._FilterDatabase" localSheetId="134" hidden="1">'JULY 28-AUGUST 3'!$A$16:$AG$19</definedName>
    <definedName name="_xlnm._FilterDatabase" localSheetId="82" hidden="1">'JULY 29-AUGUST 4'!$A$16:$AH$19</definedName>
    <definedName name="_xlnm._FilterDatabase" localSheetId="131" hidden="1">'JULY 7-13'!$A$16:$AG$19</definedName>
    <definedName name="_xlnm._FilterDatabase" localSheetId="79" hidden="1">'JULY 8-14'!$A$16:$AH$19</definedName>
    <definedName name="_xlnm._FilterDatabase" localSheetId="75" hidden="1">'JUNE 10-16, 2024'!$A$16:$AH$19</definedName>
    <definedName name="_xlnm._FilterDatabase" localSheetId="128" hidden="1">'JUNE 16-22'!$A$16:$AG$19</definedName>
    <definedName name="_xlnm._FilterDatabase" localSheetId="178" hidden="1">'JUNE 1-7'!$A$16:$AG$19</definedName>
    <definedName name="_xlnm._FilterDatabase" localSheetId="76" hidden="1">'JUNE 17-23, 2024'!$A$16:$AH$19</definedName>
    <definedName name="_xlnm._FilterDatabase" localSheetId="129" hidden="1">'JUNE 23-29'!$A$16:$AG$19</definedName>
    <definedName name="_xlnm._FilterDatabase" localSheetId="77" hidden="1">'JUNE 24-30'!$A$16:$AH$19</definedName>
    <definedName name="_xlnm._FilterDatabase" localSheetId="126" hidden="1">'JUNE 2-8'!$A$16:$AH$19</definedName>
    <definedName name="_xlnm._FilterDatabase" localSheetId="130" hidden="1">'JUNE 30-JULY 6'!$A$16:$AG$19</definedName>
    <definedName name="_xlnm._FilterDatabase" localSheetId="74" hidden="1">'JUNE 3-9, 2024'!$A$16:$AH$19</definedName>
    <definedName name="_xlnm._FilterDatabase" localSheetId="127" hidden="1">'JUNE 9-15'!$A$16:$AG$19</definedName>
    <definedName name="_xlnm._FilterDatabase" localSheetId="114" hidden="1">'MARCH 10-16'!$A$16:$AH$19</definedName>
    <definedName name="_xlnm._FilterDatabase" localSheetId="167" hidden="1">'MARCH 16-22'!$A$16:$AG$19</definedName>
    <definedName name="_xlnm._FilterDatabase" localSheetId="115" hidden="1">'MARCH 17-23'!$A$16:$AH$19</definedName>
    <definedName name="_xlnm._FilterDatabase" localSheetId="168" hidden="1">'MARCH 23-29'!$A$16:$AG$19</definedName>
    <definedName name="_xlnm._FilterDatabase" localSheetId="116" hidden="1">'MARCH 24-30'!$A$16:$AH$19</definedName>
    <definedName name="_xlnm._FilterDatabase" localSheetId="165" hidden="1">'MARCH 2-8'!$A$16:$AG$19</definedName>
    <definedName name="_xlnm._FilterDatabase" localSheetId="169" hidden="1">'MARCH 30-APRIL 5'!$A$16:$AG$19</definedName>
    <definedName name="_xlnm._FilterDatabase" localSheetId="117" hidden="1">'MARCH 31-APRIL 6'!$A$16:$AH$19</definedName>
    <definedName name="_xlnm._FilterDatabase" localSheetId="113" hidden="1">'MARCH 3-9'!$A$16:$AH$19</definedName>
    <definedName name="_xlnm._FilterDatabase" localSheetId="166" hidden="1">'MARCH 9-15'!$A$16:$AG$19</definedName>
    <definedName name="_xlnm._FilterDatabase" localSheetId="175" hidden="1">'MAY 11-17'!$A$16:$AG$19</definedName>
    <definedName name="_xlnm._FilterDatabase" localSheetId="123" hidden="1">'MAY 12-18'!$A$16:$AH$19</definedName>
    <definedName name="_xlnm._FilterDatabase" localSheetId="176" hidden="1">'MAY 18-24'!$A$16:$AG$19</definedName>
    <definedName name="_xlnm._FilterDatabase" localSheetId="124" hidden="1">'MAY 19-25'!$A$16:$AH$19</definedName>
    <definedName name="_xlnm._FilterDatabase" localSheetId="177" hidden="1">'MAY 25-31'!$A$16:$AG$19</definedName>
    <definedName name="_xlnm._FilterDatabase" localSheetId="125" hidden="1">'MAY 26-JUNE 1'!$A$16:$AH$19</definedName>
    <definedName name="_xlnm._FilterDatabase" localSheetId="174" hidden="1">'MAY 4-10'!$A$16:$AG$19</definedName>
    <definedName name="_xlnm._FilterDatabase" localSheetId="122" hidden="1">'MAY 5-11'!$A$16:$AH$19</definedName>
    <definedName name="_xlnm._FilterDatabase" localSheetId="149" hidden="1">'NOVEMBER 10-16'!$A$16:$AG$19</definedName>
    <definedName name="_xlnm._FilterDatabase" localSheetId="97" hidden="1">'NOVEMBER 11-17'!$A$16:$AH$19</definedName>
    <definedName name="_xlnm._FilterDatabase" localSheetId="150" hidden="1">'NOVEMBER 17-23'!$A$16:$AG$19</definedName>
    <definedName name="_xlnm._FilterDatabase" localSheetId="98" hidden="1">'NOVEMBER 18-24'!$A$16:$AH$19</definedName>
    <definedName name="_xlnm._FilterDatabase" localSheetId="151" hidden="1">'NOVEMBER 24-30'!$A$16:$AG$19</definedName>
    <definedName name="_xlnm._FilterDatabase" localSheetId="99" hidden="1">'NOVEMBER 25-DECEMBER 1'!$A$16:$AH$19</definedName>
    <definedName name="_xlnm._FilterDatabase" localSheetId="148" hidden="1">'NOVEMBER 3-9'!$A$16:$AG$19</definedName>
    <definedName name="_xlnm._FilterDatabase" localSheetId="96" hidden="1">'NOVEMBER 4-10'!$A$16:$AH$19</definedName>
    <definedName name="_xlnm._FilterDatabase" localSheetId="145" hidden="1">'OCTOBER 13-19'!$A$16:$AG$19</definedName>
    <definedName name="_xlnm._FilterDatabase" localSheetId="93" hidden="1">'OCTOBER 14-20'!$A$16:$AH$19</definedName>
    <definedName name="_xlnm._FilterDatabase" localSheetId="146" hidden="1">'OCTOBER 20-26'!$A$16:$AG$19</definedName>
    <definedName name="_xlnm._FilterDatabase" localSheetId="94" hidden="1">'OCTOBER 21-27'!$A$16:$AH$19</definedName>
    <definedName name="_xlnm._FilterDatabase" localSheetId="147" hidden="1">'OCTOBER 27-NOVEMBER 2'!$A$16:$AG$19</definedName>
    <definedName name="_xlnm._FilterDatabase" localSheetId="95" hidden="1">'OCTOBER 28-NOVEMBER 3'!$A$16:$AH$19</definedName>
    <definedName name="_xlnm._FilterDatabase" localSheetId="144" hidden="1">'OCTOBER 6-12'!$A$16:$AG$19</definedName>
    <definedName name="_xlnm._FilterDatabase" localSheetId="92" hidden="1">'OCTOBER 7-13'!$A$16:$AH$19</definedName>
    <definedName name="_xlnm._FilterDatabase" localSheetId="141" hidden="1">'SEPTEMBER 15-21'!$A$16:$AG$19</definedName>
    <definedName name="_xlnm._FilterDatabase" localSheetId="89" hidden="1">'SEPTEMBER 16-22'!$A$16:$AH$19</definedName>
    <definedName name="_xlnm._FilterDatabase" localSheetId="139" hidden="1">'SEPTEMBER 1-7'!$A$16:$AG$19</definedName>
    <definedName name="_xlnm._FilterDatabase" localSheetId="142" hidden="1">'SEPTEMBER 22-28'!$A$16:$AG$19</definedName>
    <definedName name="_xlnm._FilterDatabase" localSheetId="90" hidden="1">'SEPTEMBER 23-29'!$A$16:$AH$19</definedName>
    <definedName name="_xlnm._FilterDatabase" localSheetId="87" hidden="1">'SEPTEMBER 2-8'!$A$16:$AH$19</definedName>
    <definedName name="_xlnm._FilterDatabase" localSheetId="143" hidden="1">'SEPTEMBER 29-OCTOBER 5'!$A$16:$AG$19</definedName>
    <definedName name="_xlnm._FilterDatabase" localSheetId="91" hidden="1">'SEPTEMBER 30-OCT. 6'!$A$16:$AH$19</definedName>
    <definedName name="_xlnm._FilterDatabase" localSheetId="140" hidden="1">'SEPTEMBER 8-14'!$A$16:$AG$19</definedName>
    <definedName name="_xlnm._FilterDatabase" localSheetId="88" hidden="1">'SEPTEMBER 9-15'!$A$16:$AH$19</definedName>
    <definedName name="_xlnm.Print_Area" localSheetId="155">'DECEMBER 22-28'!$A$1:$AG$40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179" l="1"/>
  <c r="G25" i="179"/>
  <c r="S24" i="179"/>
  <c r="S26" i="179" s="1"/>
  <c r="O24" i="179"/>
  <c r="O26" i="179" s="1"/>
  <c r="K24" i="179"/>
  <c r="K26" i="179" s="1"/>
  <c r="U23" i="179"/>
  <c r="G23" i="179"/>
  <c r="E23" i="179"/>
  <c r="AG22" i="179"/>
  <c r="AG24" i="179" s="1"/>
  <c r="AG26" i="179" s="1"/>
  <c r="AF22" i="179"/>
  <c r="AF24" i="179" s="1"/>
  <c r="AF26" i="179" s="1"/>
  <c r="AE22" i="179"/>
  <c r="AE24" i="179" s="1"/>
  <c r="AE26" i="179" s="1"/>
  <c r="AD22" i="179"/>
  <c r="AD24" i="179" s="1"/>
  <c r="AD26" i="179" s="1"/>
  <c r="AC22" i="179"/>
  <c r="AC24" i="179" s="1"/>
  <c r="AC26" i="179" s="1"/>
  <c r="AB22" i="179"/>
  <c r="AB24" i="179" s="1"/>
  <c r="AB26" i="179" s="1"/>
  <c r="AA22" i="179"/>
  <c r="AA24" i="179" s="1"/>
  <c r="AA26" i="179" s="1"/>
  <c r="Z22" i="179"/>
  <c r="Z24" i="179" s="1"/>
  <c r="Z26" i="179" s="1"/>
  <c r="Y22" i="179"/>
  <c r="Y24" i="179" s="1"/>
  <c r="Y26" i="179" s="1"/>
  <c r="X22" i="179"/>
  <c r="X24" i="179" s="1"/>
  <c r="X26" i="179" s="1"/>
  <c r="W22" i="179"/>
  <c r="W24" i="179" s="1"/>
  <c r="W26" i="179" s="1"/>
  <c r="V22" i="179"/>
  <c r="V24" i="179" s="1"/>
  <c r="V26" i="179" s="1"/>
  <c r="T22" i="179"/>
  <c r="T24" i="179" s="1"/>
  <c r="T26" i="179" s="1"/>
  <c r="S22" i="179"/>
  <c r="R22" i="179"/>
  <c r="R24" i="179" s="1"/>
  <c r="R26" i="179" s="1"/>
  <c r="Q22" i="179"/>
  <c r="Q24" i="179" s="1"/>
  <c r="Q26" i="179" s="1"/>
  <c r="P22" i="179"/>
  <c r="P24" i="179" s="1"/>
  <c r="P26" i="179" s="1"/>
  <c r="O22" i="179"/>
  <c r="N22" i="179"/>
  <c r="N24" i="179" s="1"/>
  <c r="N26" i="179" s="1"/>
  <c r="M22" i="179"/>
  <c r="M24" i="179" s="1"/>
  <c r="M26" i="179" s="1"/>
  <c r="L22" i="179"/>
  <c r="L24" i="179" s="1"/>
  <c r="L26" i="179" s="1"/>
  <c r="K22" i="179"/>
  <c r="J22" i="179"/>
  <c r="J24" i="179" s="1"/>
  <c r="J26" i="179" s="1"/>
  <c r="I22" i="179"/>
  <c r="I24" i="179" s="1"/>
  <c r="I26" i="179" s="1"/>
  <c r="H22" i="179"/>
  <c r="H24" i="179" s="1"/>
  <c r="H26" i="179" s="1"/>
  <c r="F22" i="179"/>
  <c r="F24" i="179" s="1"/>
  <c r="F26" i="179" s="1"/>
  <c r="D22" i="179"/>
  <c r="D24" i="179" s="1"/>
  <c r="D26" i="179" s="1"/>
  <c r="U21" i="179"/>
  <c r="U22" i="179" s="1"/>
  <c r="U24" i="179" s="1"/>
  <c r="G21" i="179"/>
  <c r="G22" i="179" s="1"/>
  <c r="G24" i="179" s="1"/>
  <c r="G26" i="179" s="1"/>
  <c r="E21" i="179"/>
  <c r="E20" i="179"/>
  <c r="E22" i="179" s="1"/>
  <c r="E24" i="179" s="1"/>
  <c r="E26" i="179" s="1"/>
  <c r="U26" i="179" l="1"/>
  <c r="U25" i="178"/>
  <c r="G25" i="178"/>
  <c r="S24" i="178"/>
  <c r="S26" i="178" s="1"/>
  <c r="O24" i="178"/>
  <c r="O26" i="178" s="1"/>
  <c r="K24" i="178"/>
  <c r="K26" i="178" s="1"/>
  <c r="U23" i="178"/>
  <c r="G23" i="178"/>
  <c r="E23" i="178"/>
  <c r="AG22" i="178"/>
  <c r="AG24" i="178" s="1"/>
  <c r="AG26" i="178" s="1"/>
  <c r="AF22" i="178"/>
  <c r="AF24" i="178" s="1"/>
  <c r="AF26" i="178" s="1"/>
  <c r="AE22" i="178"/>
  <c r="AE24" i="178" s="1"/>
  <c r="AE26" i="178" s="1"/>
  <c r="AD22" i="178"/>
  <c r="AD24" i="178" s="1"/>
  <c r="AD26" i="178" s="1"/>
  <c r="AC22" i="178"/>
  <c r="AC24" i="178" s="1"/>
  <c r="AC26" i="178" s="1"/>
  <c r="AB22" i="178"/>
  <c r="AB24" i="178" s="1"/>
  <c r="AB26" i="178" s="1"/>
  <c r="AA22" i="178"/>
  <c r="AA24" i="178" s="1"/>
  <c r="AA26" i="178" s="1"/>
  <c r="Z22" i="178"/>
  <c r="Z24" i="178" s="1"/>
  <c r="Z26" i="178" s="1"/>
  <c r="Y22" i="178"/>
  <c r="Y24" i="178" s="1"/>
  <c r="Y26" i="178" s="1"/>
  <c r="X22" i="178"/>
  <c r="X24" i="178" s="1"/>
  <c r="X26" i="178" s="1"/>
  <c r="W22" i="178"/>
  <c r="W24" i="178" s="1"/>
  <c r="W26" i="178" s="1"/>
  <c r="V22" i="178"/>
  <c r="V24" i="178" s="1"/>
  <c r="V26" i="178" s="1"/>
  <c r="T22" i="178"/>
  <c r="T24" i="178" s="1"/>
  <c r="T26" i="178" s="1"/>
  <c r="S22" i="178"/>
  <c r="R22" i="178"/>
  <c r="R24" i="178" s="1"/>
  <c r="R26" i="178" s="1"/>
  <c r="Q22" i="178"/>
  <c r="Q24" i="178" s="1"/>
  <c r="Q26" i="178" s="1"/>
  <c r="P22" i="178"/>
  <c r="P24" i="178" s="1"/>
  <c r="P26" i="178" s="1"/>
  <c r="O22" i="178"/>
  <c r="N22" i="178"/>
  <c r="N24" i="178" s="1"/>
  <c r="N26" i="178" s="1"/>
  <c r="M22" i="178"/>
  <c r="M24" i="178" s="1"/>
  <c r="M26" i="178" s="1"/>
  <c r="L22" i="178"/>
  <c r="L24" i="178" s="1"/>
  <c r="L26" i="178" s="1"/>
  <c r="K22" i="178"/>
  <c r="J22" i="178"/>
  <c r="J24" i="178" s="1"/>
  <c r="J26" i="178" s="1"/>
  <c r="I22" i="178"/>
  <c r="I24" i="178" s="1"/>
  <c r="I26" i="178" s="1"/>
  <c r="H22" i="178"/>
  <c r="H24" i="178" s="1"/>
  <c r="H26" i="178" s="1"/>
  <c r="F22" i="178"/>
  <c r="F24" i="178" s="1"/>
  <c r="F26" i="178" s="1"/>
  <c r="D22" i="178"/>
  <c r="D24" i="178" s="1"/>
  <c r="D26" i="178" s="1"/>
  <c r="U21" i="178"/>
  <c r="U22" i="178" s="1"/>
  <c r="G21" i="178"/>
  <c r="G22" i="178" s="1"/>
  <c r="E21" i="178"/>
  <c r="E20" i="178"/>
  <c r="E22" i="178" s="1"/>
  <c r="E24" i="178" s="1"/>
  <c r="E26" i="178" s="1"/>
  <c r="G24" i="178" l="1"/>
  <c r="G26" i="178" s="1"/>
  <c r="U24" i="178"/>
  <c r="U26" i="178" s="1"/>
  <c r="U25" i="177"/>
  <c r="G25" i="177"/>
  <c r="AD24" i="177"/>
  <c r="AD26" i="177" s="1"/>
  <c r="V24" i="177"/>
  <c r="V26" i="177" s="1"/>
  <c r="R24" i="177"/>
  <c r="R26" i="177" s="1"/>
  <c r="N24" i="177"/>
  <c r="N26" i="177" s="1"/>
  <c r="J24" i="177"/>
  <c r="J26" i="177" s="1"/>
  <c r="U23" i="177"/>
  <c r="G23" i="177"/>
  <c r="E23" i="177"/>
  <c r="AG22" i="177"/>
  <c r="AG24" i="177" s="1"/>
  <c r="AG26" i="177" s="1"/>
  <c r="AF22" i="177"/>
  <c r="AF24" i="177" s="1"/>
  <c r="AF26" i="177" s="1"/>
  <c r="AE22" i="177"/>
  <c r="AE24" i="177" s="1"/>
  <c r="AE26" i="177" s="1"/>
  <c r="AD22" i="177"/>
  <c r="AC22" i="177"/>
  <c r="AC24" i="177" s="1"/>
  <c r="AC26" i="177" s="1"/>
  <c r="AB22" i="177"/>
  <c r="AB24" i="177" s="1"/>
  <c r="AB26" i="177" s="1"/>
  <c r="AA22" i="177"/>
  <c r="AA24" i="177" s="1"/>
  <c r="AA26" i="177" s="1"/>
  <c r="Z22" i="177"/>
  <c r="Z24" i="177" s="1"/>
  <c r="Z26" i="177" s="1"/>
  <c r="Y22" i="177"/>
  <c r="Y24" i="177" s="1"/>
  <c r="Y26" i="177" s="1"/>
  <c r="X22" i="177"/>
  <c r="X24" i="177" s="1"/>
  <c r="X26" i="177" s="1"/>
  <c r="W22" i="177"/>
  <c r="W24" i="177" s="1"/>
  <c r="W26" i="177" s="1"/>
  <c r="V22" i="177"/>
  <c r="T22" i="177"/>
  <c r="T24" i="177" s="1"/>
  <c r="T26" i="177" s="1"/>
  <c r="S22" i="177"/>
  <c r="S24" i="177" s="1"/>
  <c r="S26" i="177" s="1"/>
  <c r="R22" i="177"/>
  <c r="Q22" i="177"/>
  <c r="Q24" i="177" s="1"/>
  <c r="Q26" i="177" s="1"/>
  <c r="P22" i="177"/>
  <c r="P24" i="177" s="1"/>
  <c r="P26" i="177" s="1"/>
  <c r="O22" i="177"/>
  <c r="O24" i="177" s="1"/>
  <c r="O26" i="177" s="1"/>
  <c r="N22" i="177"/>
  <c r="M22" i="177"/>
  <c r="M24" i="177" s="1"/>
  <c r="M26" i="177" s="1"/>
  <c r="L22" i="177"/>
  <c r="L24" i="177" s="1"/>
  <c r="L26" i="177" s="1"/>
  <c r="K22" i="177"/>
  <c r="K24" i="177" s="1"/>
  <c r="K26" i="177" s="1"/>
  <c r="J22" i="177"/>
  <c r="I22" i="177"/>
  <c r="I24" i="177" s="1"/>
  <c r="I26" i="177" s="1"/>
  <c r="H22" i="177"/>
  <c r="H24" i="177" s="1"/>
  <c r="H26" i="177" s="1"/>
  <c r="F22" i="177"/>
  <c r="F24" i="177" s="1"/>
  <c r="F26" i="177" s="1"/>
  <c r="D22" i="177"/>
  <c r="D24" i="177" s="1"/>
  <c r="D26" i="177" s="1"/>
  <c r="U21" i="177"/>
  <c r="U22" i="177" s="1"/>
  <c r="U24" i="177" s="1"/>
  <c r="G21" i="177"/>
  <c r="G22" i="177" s="1"/>
  <c r="G24" i="177" s="1"/>
  <c r="G26" i="177" s="1"/>
  <c r="E21" i="177"/>
  <c r="E20" i="177"/>
  <c r="E22" i="177" s="1"/>
  <c r="E24" i="177" s="1"/>
  <c r="E26" i="177" s="1"/>
  <c r="U26" i="177" l="1"/>
  <c r="U25" i="176"/>
  <c r="G25" i="176"/>
  <c r="AB24" i="176"/>
  <c r="AB26" i="176" s="1"/>
  <c r="X24" i="176"/>
  <c r="X26" i="176" s="1"/>
  <c r="P24" i="176"/>
  <c r="P26" i="176" s="1"/>
  <c r="L24" i="176"/>
  <c r="L26" i="176" s="1"/>
  <c r="H24" i="176"/>
  <c r="H26" i="176" s="1"/>
  <c r="D24" i="176"/>
  <c r="D26" i="176" s="1"/>
  <c r="U23" i="176"/>
  <c r="G23" i="176"/>
  <c r="E23" i="176"/>
  <c r="AG22" i="176"/>
  <c r="AG24" i="176" s="1"/>
  <c r="AG26" i="176" s="1"/>
  <c r="AF22" i="176"/>
  <c r="AF24" i="176" s="1"/>
  <c r="AF26" i="176" s="1"/>
  <c r="AE22" i="176"/>
  <c r="AE24" i="176" s="1"/>
  <c r="AE26" i="176" s="1"/>
  <c r="AD22" i="176"/>
  <c r="AD24" i="176" s="1"/>
  <c r="AD26" i="176" s="1"/>
  <c r="AC22" i="176"/>
  <c r="AC24" i="176" s="1"/>
  <c r="AC26" i="176" s="1"/>
  <c r="AB22" i="176"/>
  <c r="AA22" i="176"/>
  <c r="AA24" i="176" s="1"/>
  <c r="AA26" i="176" s="1"/>
  <c r="Z22" i="176"/>
  <c r="Z24" i="176" s="1"/>
  <c r="Z26" i="176" s="1"/>
  <c r="Y22" i="176"/>
  <c r="Y24" i="176" s="1"/>
  <c r="Y26" i="176" s="1"/>
  <c r="X22" i="176"/>
  <c r="W22" i="176"/>
  <c r="W24" i="176" s="1"/>
  <c r="W26" i="176" s="1"/>
  <c r="V22" i="176"/>
  <c r="V24" i="176" s="1"/>
  <c r="V26" i="176" s="1"/>
  <c r="T22" i="176"/>
  <c r="T24" i="176" s="1"/>
  <c r="T26" i="176" s="1"/>
  <c r="S22" i="176"/>
  <c r="S24" i="176" s="1"/>
  <c r="S26" i="176" s="1"/>
  <c r="R22" i="176"/>
  <c r="R24" i="176" s="1"/>
  <c r="R26" i="176" s="1"/>
  <c r="Q22" i="176"/>
  <c r="Q24" i="176" s="1"/>
  <c r="Q26" i="176" s="1"/>
  <c r="P22" i="176"/>
  <c r="O22" i="176"/>
  <c r="O24" i="176" s="1"/>
  <c r="O26" i="176" s="1"/>
  <c r="N22" i="176"/>
  <c r="N24" i="176" s="1"/>
  <c r="N26" i="176" s="1"/>
  <c r="M22" i="176"/>
  <c r="M24" i="176" s="1"/>
  <c r="M26" i="176" s="1"/>
  <c r="L22" i="176"/>
  <c r="K22" i="176"/>
  <c r="K24" i="176" s="1"/>
  <c r="K26" i="176" s="1"/>
  <c r="J22" i="176"/>
  <c r="J24" i="176" s="1"/>
  <c r="J26" i="176" s="1"/>
  <c r="I22" i="176"/>
  <c r="I24" i="176" s="1"/>
  <c r="I26" i="176" s="1"/>
  <c r="H22" i="176"/>
  <c r="F22" i="176"/>
  <c r="F24" i="176" s="1"/>
  <c r="F26" i="176" s="1"/>
  <c r="D22" i="176"/>
  <c r="U21" i="176"/>
  <c r="U22" i="176" s="1"/>
  <c r="G21" i="176"/>
  <c r="G22" i="176" s="1"/>
  <c r="E21" i="176"/>
  <c r="E22" i="176" s="1"/>
  <c r="E24" i="176" s="1"/>
  <c r="E26" i="176" s="1"/>
  <c r="E20" i="176"/>
  <c r="U24" i="176" l="1"/>
  <c r="U26" i="176" s="1"/>
  <c r="G24" i="176"/>
  <c r="G26" i="176" s="1"/>
  <c r="U25" i="175"/>
  <c r="G25" i="175"/>
  <c r="AD24" i="175"/>
  <c r="AD26" i="175" s="1"/>
  <c r="AB24" i="175"/>
  <c r="AB26" i="175" s="1"/>
  <c r="X24" i="175"/>
  <c r="X26" i="175" s="1"/>
  <c r="V24" i="175"/>
  <c r="V26" i="175" s="1"/>
  <c r="R24" i="175"/>
  <c r="R26" i="175" s="1"/>
  <c r="P24" i="175"/>
  <c r="P26" i="175" s="1"/>
  <c r="N24" i="175"/>
  <c r="N26" i="175" s="1"/>
  <c r="L24" i="175"/>
  <c r="L26" i="175" s="1"/>
  <c r="J24" i="175"/>
  <c r="J26" i="175" s="1"/>
  <c r="H24" i="175"/>
  <c r="H26" i="175" s="1"/>
  <c r="D24" i="175"/>
  <c r="D26" i="175" s="1"/>
  <c r="U23" i="175"/>
  <c r="G23" i="175"/>
  <c r="E23" i="175"/>
  <c r="AG22" i="175"/>
  <c r="AG24" i="175" s="1"/>
  <c r="AG26" i="175" s="1"/>
  <c r="AF22" i="175"/>
  <c r="AF24" i="175" s="1"/>
  <c r="AF26" i="175" s="1"/>
  <c r="AE22" i="175"/>
  <c r="AE24" i="175" s="1"/>
  <c r="AE26" i="175" s="1"/>
  <c r="AD22" i="175"/>
  <c r="AC22" i="175"/>
  <c r="AC24" i="175" s="1"/>
  <c r="AC26" i="175" s="1"/>
  <c r="AB22" i="175"/>
  <c r="AA22" i="175"/>
  <c r="AA24" i="175" s="1"/>
  <c r="AA26" i="175" s="1"/>
  <c r="Z22" i="175"/>
  <c r="Z24" i="175" s="1"/>
  <c r="Z26" i="175" s="1"/>
  <c r="Y22" i="175"/>
  <c r="Y24" i="175" s="1"/>
  <c r="Y26" i="175" s="1"/>
  <c r="X22" i="175"/>
  <c r="W22" i="175"/>
  <c r="W24" i="175" s="1"/>
  <c r="W26" i="175" s="1"/>
  <c r="V22" i="175"/>
  <c r="T22" i="175"/>
  <c r="T24" i="175" s="1"/>
  <c r="T26" i="175" s="1"/>
  <c r="S22" i="175"/>
  <c r="S24" i="175" s="1"/>
  <c r="S26" i="175" s="1"/>
  <c r="R22" i="175"/>
  <c r="Q22" i="175"/>
  <c r="Q24" i="175" s="1"/>
  <c r="Q26" i="175" s="1"/>
  <c r="P22" i="175"/>
  <c r="O22" i="175"/>
  <c r="O24" i="175" s="1"/>
  <c r="O26" i="175" s="1"/>
  <c r="N22" i="175"/>
  <c r="M22" i="175"/>
  <c r="M24" i="175" s="1"/>
  <c r="M26" i="175" s="1"/>
  <c r="L22" i="175"/>
  <c r="K22" i="175"/>
  <c r="K24" i="175" s="1"/>
  <c r="K26" i="175" s="1"/>
  <c r="J22" i="175"/>
  <c r="I22" i="175"/>
  <c r="I24" i="175" s="1"/>
  <c r="I26" i="175" s="1"/>
  <c r="H22" i="175"/>
  <c r="F22" i="175"/>
  <c r="F24" i="175" s="1"/>
  <c r="F26" i="175" s="1"/>
  <c r="D22" i="175"/>
  <c r="U21" i="175"/>
  <c r="U22" i="175" s="1"/>
  <c r="G21" i="175"/>
  <c r="G22" i="175" s="1"/>
  <c r="G24" i="175" s="1"/>
  <c r="E21" i="175"/>
  <c r="E22" i="175" s="1"/>
  <c r="E24" i="175" s="1"/>
  <c r="E26" i="175" s="1"/>
  <c r="E20" i="175"/>
  <c r="G26" i="175" l="1"/>
  <c r="U24" i="175"/>
  <c r="U26" i="175" s="1"/>
  <c r="U25" i="174"/>
  <c r="G25" i="174"/>
  <c r="AB24" i="174"/>
  <c r="AB26" i="174" s="1"/>
  <c r="X24" i="174"/>
  <c r="X26" i="174" s="1"/>
  <c r="P24" i="174"/>
  <c r="P26" i="174" s="1"/>
  <c r="L24" i="174"/>
  <c r="L26" i="174" s="1"/>
  <c r="H24" i="174"/>
  <c r="H26" i="174" s="1"/>
  <c r="D24" i="174"/>
  <c r="D26" i="174" s="1"/>
  <c r="U23" i="174"/>
  <c r="G23" i="174"/>
  <c r="E23" i="174"/>
  <c r="AG22" i="174"/>
  <c r="AG24" i="174" s="1"/>
  <c r="AG26" i="174" s="1"/>
  <c r="AF22" i="174"/>
  <c r="AF24" i="174" s="1"/>
  <c r="AF26" i="174" s="1"/>
  <c r="AE22" i="174"/>
  <c r="AE24" i="174" s="1"/>
  <c r="AE26" i="174" s="1"/>
  <c r="AD22" i="174"/>
  <c r="AD24" i="174" s="1"/>
  <c r="AD26" i="174" s="1"/>
  <c r="AC22" i="174"/>
  <c r="AC24" i="174" s="1"/>
  <c r="AC26" i="174" s="1"/>
  <c r="AB22" i="174"/>
  <c r="AA22" i="174"/>
  <c r="AA24" i="174" s="1"/>
  <c r="AA26" i="174" s="1"/>
  <c r="Z22" i="174"/>
  <c r="Z24" i="174" s="1"/>
  <c r="Z26" i="174" s="1"/>
  <c r="Y22" i="174"/>
  <c r="Y24" i="174" s="1"/>
  <c r="Y26" i="174" s="1"/>
  <c r="X22" i="174"/>
  <c r="W22" i="174"/>
  <c r="W24" i="174" s="1"/>
  <c r="W26" i="174" s="1"/>
  <c r="V22" i="174"/>
  <c r="V24" i="174" s="1"/>
  <c r="V26" i="174" s="1"/>
  <c r="T22" i="174"/>
  <c r="T24" i="174" s="1"/>
  <c r="T26" i="174" s="1"/>
  <c r="S22" i="174"/>
  <c r="S24" i="174" s="1"/>
  <c r="S26" i="174" s="1"/>
  <c r="R22" i="174"/>
  <c r="R24" i="174" s="1"/>
  <c r="R26" i="174" s="1"/>
  <c r="Q22" i="174"/>
  <c r="Q24" i="174" s="1"/>
  <c r="Q26" i="174" s="1"/>
  <c r="P22" i="174"/>
  <c r="O22" i="174"/>
  <c r="O24" i="174" s="1"/>
  <c r="O26" i="174" s="1"/>
  <c r="N22" i="174"/>
  <c r="N24" i="174" s="1"/>
  <c r="N26" i="174" s="1"/>
  <c r="M22" i="174"/>
  <c r="M24" i="174" s="1"/>
  <c r="M26" i="174" s="1"/>
  <c r="L22" i="174"/>
  <c r="K22" i="174"/>
  <c r="K24" i="174" s="1"/>
  <c r="K26" i="174" s="1"/>
  <c r="J22" i="174"/>
  <c r="J24" i="174" s="1"/>
  <c r="J26" i="174" s="1"/>
  <c r="I22" i="174"/>
  <c r="I24" i="174" s="1"/>
  <c r="I26" i="174" s="1"/>
  <c r="H22" i="174"/>
  <c r="F22" i="174"/>
  <c r="F24" i="174" s="1"/>
  <c r="F26" i="174" s="1"/>
  <c r="D22" i="174"/>
  <c r="U21" i="174"/>
  <c r="U22" i="174" s="1"/>
  <c r="G21" i="174"/>
  <c r="G22" i="174" s="1"/>
  <c r="E21" i="174"/>
  <c r="E22" i="174" s="1"/>
  <c r="E24" i="174" s="1"/>
  <c r="E26" i="174" s="1"/>
  <c r="E20" i="174"/>
  <c r="U24" i="174" l="1"/>
  <c r="G24" i="174"/>
  <c r="G26" i="174" s="1"/>
  <c r="U26" i="174"/>
  <c r="AJ29" i="173"/>
  <c r="Y25" i="173" l="1"/>
  <c r="U25" i="173" l="1"/>
  <c r="G25" i="173"/>
  <c r="X24" i="173"/>
  <c r="X26" i="173" s="1"/>
  <c r="P24" i="173"/>
  <c r="P26" i="173" s="1"/>
  <c r="L24" i="173"/>
  <c r="L26" i="173" s="1"/>
  <c r="H24" i="173"/>
  <c r="H26" i="173" s="1"/>
  <c r="D24" i="173"/>
  <c r="D26" i="173" s="1"/>
  <c r="U23" i="173"/>
  <c r="G23" i="173"/>
  <c r="E23" i="173"/>
  <c r="AG22" i="173"/>
  <c r="AG24" i="173" s="1"/>
  <c r="AG26" i="173" s="1"/>
  <c r="AF22" i="173"/>
  <c r="AF24" i="173" s="1"/>
  <c r="AF26" i="173" s="1"/>
  <c r="AE22" i="173"/>
  <c r="AE24" i="173" s="1"/>
  <c r="AE26" i="173" s="1"/>
  <c r="AD22" i="173"/>
  <c r="AD24" i="173" s="1"/>
  <c r="AD26" i="173" s="1"/>
  <c r="AC22" i="173"/>
  <c r="AC24" i="173" s="1"/>
  <c r="AC26" i="173" s="1"/>
  <c r="AB22" i="173"/>
  <c r="AB24" i="173" s="1"/>
  <c r="AB26" i="173" s="1"/>
  <c r="AA22" i="173"/>
  <c r="AA24" i="173" s="1"/>
  <c r="AA26" i="173" s="1"/>
  <c r="Z22" i="173"/>
  <c r="Z24" i="173" s="1"/>
  <c r="Z26" i="173" s="1"/>
  <c r="Y22" i="173"/>
  <c r="Y24" i="173" s="1"/>
  <c r="Y26" i="173" s="1"/>
  <c r="X22" i="173"/>
  <c r="W22" i="173"/>
  <c r="W24" i="173" s="1"/>
  <c r="W26" i="173" s="1"/>
  <c r="V22" i="173"/>
  <c r="V24" i="173" s="1"/>
  <c r="V26" i="173" s="1"/>
  <c r="T22" i="173"/>
  <c r="T24" i="173" s="1"/>
  <c r="T26" i="173" s="1"/>
  <c r="S22" i="173"/>
  <c r="S24" i="173" s="1"/>
  <c r="S26" i="173" s="1"/>
  <c r="R22" i="173"/>
  <c r="R24" i="173" s="1"/>
  <c r="R26" i="173" s="1"/>
  <c r="Q22" i="173"/>
  <c r="Q24" i="173" s="1"/>
  <c r="Q26" i="173" s="1"/>
  <c r="P22" i="173"/>
  <c r="O22" i="173"/>
  <c r="O24" i="173" s="1"/>
  <c r="O26" i="173" s="1"/>
  <c r="N22" i="173"/>
  <c r="N24" i="173" s="1"/>
  <c r="N26" i="173" s="1"/>
  <c r="M22" i="173"/>
  <c r="M24" i="173" s="1"/>
  <c r="M26" i="173" s="1"/>
  <c r="L22" i="173"/>
  <c r="K22" i="173"/>
  <c r="K24" i="173" s="1"/>
  <c r="K26" i="173" s="1"/>
  <c r="J22" i="173"/>
  <c r="J24" i="173" s="1"/>
  <c r="J26" i="173" s="1"/>
  <c r="I22" i="173"/>
  <c r="I24" i="173" s="1"/>
  <c r="I26" i="173" s="1"/>
  <c r="H22" i="173"/>
  <c r="F22" i="173"/>
  <c r="F24" i="173" s="1"/>
  <c r="F26" i="173" s="1"/>
  <c r="D22" i="173"/>
  <c r="U21" i="173"/>
  <c r="U22" i="173" s="1"/>
  <c r="G21" i="173"/>
  <c r="G22" i="173" s="1"/>
  <c r="E21" i="173"/>
  <c r="E22" i="173" s="1"/>
  <c r="E24" i="173" s="1"/>
  <c r="E26" i="173" s="1"/>
  <c r="E20" i="173"/>
  <c r="U24" i="173" l="1"/>
  <c r="G24" i="173"/>
  <c r="G26" i="173" s="1"/>
  <c r="U26" i="173"/>
  <c r="U25" i="172"/>
  <c r="G25" i="172"/>
  <c r="S24" i="172"/>
  <c r="S26" i="172" s="1"/>
  <c r="O24" i="172"/>
  <c r="O26" i="172" s="1"/>
  <c r="K24" i="172"/>
  <c r="K26" i="172" s="1"/>
  <c r="U23" i="172"/>
  <c r="G23" i="172"/>
  <c r="E23" i="172"/>
  <c r="AG22" i="172"/>
  <c r="AG24" i="172" s="1"/>
  <c r="AG26" i="172" s="1"/>
  <c r="AF22" i="172"/>
  <c r="AF24" i="172" s="1"/>
  <c r="AF26" i="172" s="1"/>
  <c r="AE22" i="172"/>
  <c r="AE24" i="172" s="1"/>
  <c r="AE26" i="172" s="1"/>
  <c r="AD22" i="172"/>
  <c r="AD24" i="172" s="1"/>
  <c r="AD26" i="172" s="1"/>
  <c r="AC22" i="172"/>
  <c r="AC24" i="172" s="1"/>
  <c r="AC26" i="172" s="1"/>
  <c r="AB22" i="172"/>
  <c r="AB24" i="172" s="1"/>
  <c r="AB26" i="172" s="1"/>
  <c r="AA22" i="172"/>
  <c r="AA24" i="172" s="1"/>
  <c r="AA26" i="172" s="1"/>
  <c r="Z22" i="172"/>
  <c r="Z24" i="172" s="1"/>
  <c r="Z26" i="172" s="1"/>
  <c r="Y22" i="172"/>
  <c r="Y24" i="172" s="1"/>
  <c r="Y26" i="172" s="1"/>
  <c r="X22" i="172"/>
  <c r="X24" i="172" s="1"/>
  <c r="X26" i="172" s="1"/>
  <c r="W22" i="172"/>
  <c r="W24" i="172" s="1"/>
  <c r="W26" i="172" s="1"/>
  <c r="V22" i="172"/>
  <c r="V24" i="172" s="1"/>
  <c r="V26" i="172" s="1"/>
  <c r="T22" i="172"/>
  <c r="T24" i="172" s="1"/>
  <c r="T26" i="172" s="1"/>
  <c r="S22" i="172"/>
  <c r="R22" i="172"/>
  <c r="R24" i="172" s="1"/>
  <c r="R26" i="172" s="1"/>
  <c r="Q22" i="172"/>
  <c r="Q24" i="172" s="1"/>
  <c r="Q26" i="172" s="1"/>
  <c r="P22" i="172"/>
  <c r="P24" i="172" s="1"/>
  <c r="P26" i="172" s="1"/>
  <c r="O22" i="172"/>
  <c r="N22" i="172"/>
  <c r="N24" i="172" s="1"/>
  <c r="N26" i="172" s="1"/>
  <c r="M22" i="172"/>
  <c r="M24" i="172" s="1"/>
  <c r="M26" i="172" s="1"/>
  <c r="L22" i="172"/>
  <c r="L24" i="172" s="1"/>
  <c r="L26" i="172" s="1"/>
  <c r="K22" i="172"/>
  <c r="J22" i="172"/>
  <c r="J24" i="172" s="1"/>
  <c r="J26" i="172" s="1"/>
  <c r="I22" i="172"/>
  <c r="I24" i="172" s="1"/>
  <c r="I26" i="172" s="1"/>
  <c r="H22" i="172"/>
  <c r="H24" i="172" s="1"/>
  <c r="H26" i="172" s="1"/>
  <c r="F22" i="172"/>
  <c r="F24" i="172" s="1"/>
  <c r="F26" i="172" s="1"/>
  <c r="D22" i="172"/>
  <c r="D24" i="172" s="1"/>
  <c r="D26" i="172" s="1"/>
  <c r="U21" i="172"/>
  <c r="U22" i="172" s="1"/>
  <c r="U24" i="172" s="1"/>
  <c r="U26" i="172" s="1"/>
  <c r="G21" i="172"/>
  <c r="G22" i="172" s="1"/>
  <c r="G24" i="172" s="1"/>
  <c r="E21" i="172"/>
  <c r="E20" i="172"/>
  <c r="E22" i="172" s="1"/>
  <c r="G26" i="172" l="1"/>
  <c r="E24" i="172"/>
  <c r="E26" i="172" s="1"/>
  <c r="E23" i="171"/>
  <c r="U25" i="171" l="1"/>
  <c r="G25" i="171"/>
  <c r="U23" i="171"/>
  <c r="G23" i="171"/>
  <c r="AG22" i="171"/>
  <c r="AG24" i="171" s="1"/>
  <c r="AG26" i="171" s="1"/>
  <c r="AF22" i="171"/>
  <c r="AF24" i="171" s="1"/>
  <c r="AF26" i="171" s="1"/>
  <c r="AE22" i="171"/>
  <c r="AE24" i="171" s="1"/>
  <c r="AE26" i="171" s="1"/>
  <c r="AD22" i="171"/>
  <c r="AD24" i="171" s="1"/>
  <c r="AD26" i="171" s="1"/>
  <c r="AC22" i="171"/>
  <c r="AC24" i="171" s="1"/>
  <c r="AC26" i="171" s="1"/>
  <c r="AB22" i="171"/>
  <c r="AB24" i="171" s="1"/>
  <c r="AB26" i="171" s="1"/>
  <c r="AA22" i="171"/>
  <c r="AA24" i="171" s="1"/>
  <c r="AA26" i="171" s="1"/>
  <c r="Z22" i="171"/>
  <c r="Z24" i="171" s="1"/>
  <c r="Z26" i="171" s="1"/>
  <c r="Y22" i="171"/>
  <c r="Y24" i="171" s="1"/>
  <c r="Y26" i="171" s="1"/>
  <c r="X22" i="171"/>
  <c r="X24" i="171" s="1"/>
  <c r="X26" i="171" s="1"/>
  <c r="W22" i="171"/>
  <c r="W24" i="171" s="1"/>
  <c r="W26" i="171" s="1"/>
  <c r="V22" i="171"/>
  <c r="V24" i="171" s="1"/>
  <c r="V26" i="171" s="1"/>
  <c r="T22" i="171"/>
  <c r="T24" i="171" s="1"/>
  <c r="T26" i="171" s="1"/>
  <c r="S22" i="171"/>
  <c r="S24" i="171" s="1"/>
  <c r="S26" i="171" s="1"/>
  <c r="R22" i="171"/>
  <c r="R24" i="171" s="1"/>
  <c r="R26" i="171" s="1"/>
  <c r="Q22" i="171"/>
  <c r="Q24" i="171" s="1"/>
  <c r="Q26" i="171" s="1"/>
  <c r="P22" i="171"/>
  <c r="P24" i="171" s="1"/>
  <c r="P26" i="171" s="1"/>
  <c r="O22" i="171"/>
  <c r="O24" i="171" s="1"/>
  <c r="O26" i="171" s="1"/>
  <c r="N22" i="171"/>
  <c r="N24" i="171" s="1"/>
  <c r="N26" i="171" s="1"/>
  <c r="M22" i="171"/>
  <c r="M24" i="171" s="1"/>
  <c r="M26" i="171" s="1"/>
  <c r="L22" i="171"/>
  <c r="L24" i="171" s="1"/>
  <c r="L26" i="171" s="1"/>
  <c r="K22" i="171"/>
  <c r="K24" i="171" s="1"/>
  <c r="K26" i="171" s="1"/>
  <c r="J22" i="171"/>
  <c r="J24" i="171" s="1"/>
  <c r="J26" i="171" s="1"/>
  <c r="I22" i="171"/>
  <c r="I24" i="171" s="1"/>
  <c r="I26" i="171" s="1"/>
  <c r="H22" i="171"/>
  <c r="H24" i="171" s="1"/>
  <c r="H26" i="171" s="1"/>
  <c r="F22" i="171"/>
  <c r="F24" i="171" s="1"/>
  <c r="F26" i="171" s="1"/>
  <c r="D22" i="171"/>
  <c r="D24" i="171" s="1"/>
  <c r="D26" i="171" s="1"/>
  <c r="U21" i="171"/>
  <c r="U22" i="171" s="1"/>
  <c r="G21" i="171"/>
  <c r="G22" i="171" s="1"/>
  <c r="G24" i="171" s="1"/>
  <c r="E21" i="171"/>
  <c r="E20" i="171"/>
  <c r="E22" i="171" s="1"/>
  <c r="E24" i="171" s="1"/>
  <c r="E26" i="171" s="1"/>
  <c r="G26" i="171" l="1"/>
  <c r="U24" i="171"/>
  <c r="U26" i="171"/>
  <c r="U25" i="170"/>
  <c r="G25" i="170"/>
  <c r="U23" i="170"/>
  <c r="G23" i="170"/>
  <c r="AG22" i="170"/>
  <c r="AG24" i="170" s="1"/>
  <c r="AG26" i="170" s="1"/>
  <c r="AF22" i="170"/>
  <c r="AF24" i="170" s="1"/>
  <c r="AF26" i="170" s="1"/>
  <c r="AE22" i="170"/>
  <c r="AE24" i="170" s="1"/>
  <c r="AE26" i="170" s="1"/>
  <c r="AD22" i="170"/>
  <c r="AD24" i="170" s="1"/>
  <c r="AD26" i="170" s="1"/>
  <c r="AC22" i="170"/>
  <c r="AC24" i="170" s="1"/>
  <c r="AC26" i="170" s="1"/>
  <c r="AB22" i="170"/>
  <c r="AB24" i="170" s="1"/>
  <c r="AB26" i="170" s="1"/>
  <c r="AA22" i="170"/>
  <c r="AA24" i="170" s="1"/>
  <c r="AA26" i="170" s="1"/>
  <c r="Z22" i="170"/>
  <c r="Z24" i="170" s="1"/>
  <c r="Z26" i="170" s="1"/>
  <c r="Y22" i="170"/>
  <c r="Y24" i="170" s="1"/>
  <c r="Y26" i="170" s="1"/>
  <c r="X22" i="170"/>
  <c r="X24" i="170" s="1"/>
  <c r="X26" i="170" s="1"/>
  <c r="W22" i="170"/>
  <c r="W24" i="170" s="1"/>
  <c r="W26" i="170" s="1"/>
  <c r="V22" i="170"/>
  <c r="V24" i="170" s="1"/>
  <c r="V26" i="170" s="1"/>
  <c r="T22" i="170"/>
  <c r="T24" i="170" s="1"/>
  <c r="T26" i="170" s="1"/>
  <c r="S22" i="170"/>
  <c r="S24" i="170" s="1"/>
  <c r="S26" i="170" s="1"/>
  <c r="R22" i="170"/>
  <c r="R24" i="170" s="1"/>
  <c r="R26" i="170" s="1"/>
  <c r="Q22" i="170"/>
  <c r="Q24" i="170" s="1"/>
  <c r="Q26" i="170" s="1"/>
  <c r="P22" i="170"/>
  <c r="P24" i="170" s="1"/>
  <c r="P26" i="170" s="1"/>
  <c r="O22" i="170"/>
  <c r="O24" i="170" s="1"/>
  <c r="O26" i="170" s="1"/>
  <c r="N22" i="170"/>
  <c r="N24" i="170" s="1"/>
  <c r="N26" i="170" s="1"/>
  <c r="M22" i="170"/>
  <c r="M24" i="170" s="1"/>
  <c r="M26" i="170" s="1"/>
  <c r="L22" i="170"/>
  <c r="L24" i="170" s="1"/>
  <c r="L26" i="170" s="1"/>
  <c r="K22" i="170"/>
  <c r="K24" i="170" s="1"/>
  <c r="K26" i="170" s="1"/>
  <c r="J22" i="170"/>
  <c r="J24" i="170" s="1"/>
  <c r="J26" i="170" s="1"/>
  <c r="I22" i="170"/>
  <c r="I24" i="170" s="1"/>
  <c r="I26" i="170" s="1"/>
  <c r="H22" i="170"/>
  <c r="H24" i="170" s="1"/>
  <c r="H26" i="170" s="1"/>
  <c r="F22" i="170"/>
  <c r="F24" i="170" s="1"/>
  <c r="F26" i="170" s="1"/>
  <c r="D22" i="170"/>
  <c r="D24" i="170" s="1"/>
  <c r="D26" i="170" s="1"/>
  <c r="U21" i="170"/>
  <c r="U22" i="170" s="1"/>
  <c r="U24" i="170" s="1"/>
  <c r="G21" i="170"/>
  <c r="G22" i="170" s="1"/>
  <c r="G24" i="170" s="1"/>
  <c r="E21" i="170"/>
  <c r="E20" i="170"/>
  <c r="E22" i="170" s="1"/>
  <c r="E24" i="170" s="1"/>
  <c r="E26" i="170" s="1"/>
  <c r="U26" i="170" l="1"/>
  <c r="G26" i="170"/>
  <c r="U25" i="169"/>
  <c r="G25" i="169"/>
  <c r="U23" i="169"/>
  <c r="G23" i="169"/>
  <c r="AG22" i="169"/>
  <c r="AG24" i="169" s="1"/>
  <c r="AG26" i="169" s="1"/>
  <c r="AF22" i="169"/>
  <c r="AF24" i="169" s="1"/>
  <c r="AF26" i="169" s="1"/>
  <c r="AE22" i="169"/>
  <c r="AE24" i="169" s="1"/>
  <c r="AE26" i="169" s="1"/>
  <c r="AD22" i="169"/>
  <c r="AD24" i="169" s="1"/>
  <c r="AD26" i="169" s="1"/>
  <c r="AC22" i="169"/>
  <c r="AC24" i="169" s="1"/>
  <c r="AC26" i="169" s="1"/>
  <c r="AB22" i="169"/>
  <c r="AB24" i="169" s="1"/>
  <c r="AB26" i="169" s="1"/>
  <c r="AA22" i="169"/>
  <c r="AA24" i="169" s="1"/>
  <c r="AA26" i="169" s="1"/>
  <c r="Z22" i="169"/>
  <c r="Z24" i="169" s="1"/>
  <c r="Z26" i="169" s="1"/>
  <c r="Y22" i="169"/>
  <c r="Y24" i="169" s="1"/>
  <c r="Y26" i="169" s="1"/>
  <c r="X22" i="169"/>
  <c r="X24" i="169" s="1"/>
  <c r="X26" i="169" s="1"/>
  <c r="W22" i="169"/>
  <c r="W24" i="169" s="1"/>
  <c r="W26" i="169" s="1"/>
  <c r="V22" i="169"/>
  <c r="V24" i="169" s="1"/>
  <c r="V26" i="169" s="1"/>
  <c r="T22" i="169"/>
  <c r="T24" i="169" s="1"/>
  <c r="T26" i="169" s="1"/>
  <c r="S22" i="169"/>
  <c r="S24" i="169" s="1"/>
  <c r="S26" i="169" s="1"/>
  <c r="R22" i="169"/>
  <c r="R24" i="169" s="1"/>
  <c r="R26" i="169" s="1"/>
  <c r="Q22" i="169"/>
  <c r="Q24" i="169" s="1"/>
  <c r="Q26" i="169" s="1"/>
  <c r="P22" i="169"/>
  <c r="P24" i="169" s="1"/>
  <c r="P26" i="169" s="1"/>
  <c r="O22" i="169"/>
  <c r="O24" i="169" s="1"/>
  <c r="O26" i="169" s="1"/>
  <c r="N22" i="169"/>
  <c r="N24" i="169" s="1"/>
  <c r="N26" i="169" s="1"/>
  <c r="M22" i="169"/>
  <c r="M24" i="169" s="1"/>
  <c r="M26" i="169" s="1"/>
  <c r="L22" i="169"/>
  <c r="L24" i="169" s="1"/>
  <c r="L26" i="169" s="1"/>
  <c r="K22" i="169"/>
  <c r="K24" i="169" s="1"/>
  <c r="K26" i="169" s="1"/>
  <c r="J22" i="169"/>
  <c r="J24" i="169" s="1"/>
  <c r="J26" i="169" s="1"/>
  <c r="I22" i="169"/>
  <c r="I24" i="169" s="1"/>
  <c r="I26" i="169" s="1"/>
  <c r="H22" i="169"/>
  <c r="H24" i="169" s="1"/>
  <c r="H26" i="169" s="1"/>
  <c r="F22" i="169"/>
  <c r="F24" i="169" s="1"/>
  <c r="F26" i="169" s="1"/>
  <c r="D22" i="169"/>
  <c r="D24" i="169" s="1"/>
  <c r="D26" i="169" s="1"/>
  <c r="U21" i="169"/>
  <c r="U22" i="169" s="1"/>
  <c r="U24" i="169" s="1"/>
  <c r="G21" i="169"/>
  <c r="G22" i="169" s="1"/>
  <c r="G24" i="169" s="1"/>
  <c r="E21" i="169"/>
  <c r="E20" i="169"/>
  <c r="E22" i="169" s="1"/>
  <c r="E24" i="169" s="1"/>
  <c r="E26" i="169" s="1"/>
  <c r="G26" i="169" l="1"/>
  <c r="U26" i="169"/>
  <c r="U25" i="168"/>
  <c r="G25" i="168"/>
  <c r="U23" i="168"/>
  <c r="G23" i="168"/>
  <c r="AG22" i="168"/>
  <c r="AG24" i="168" s="1"/>
  <c r="AG26" i="168" s="1"/>
  <c r="AF22" i="168"/>
  <c r="AF24" i="168" s="1"/>
  <c r="AF26" i="168" s="1"/>
  <c r="AE22" i="168"/>
  <c r="AE24" i="168" s="1"/>
  <c r="AE26" i="168" s="1"/>
  <c r="AD22" i="168"/>
  <c r="AD24" i="168" s="1"/>
  <c r="AD26" i="168" s="1"/>
  <c r="AC22" i="168"/>
  <c r="AC24" i="168" s="1"/>
  <c r="AC26" i="168" s="1"/>
  <c r="AB22" i="168"/>
  <c r="AB24" i="168" s="1"/>
  <c r="AB26" i="168" s="1"/>
  <c r="AA22" i="168"/>
  <c r="AA24" i="168" s="1"/>
  <c r="AA26" i="168" s="1"/>
  <c r="Z22" i="168"/>
  <c r="Z24" i="168" s="1"/>
  <c r="Z26" i="168" s="1"/>
  <c r="Y22" i="168"/>
  <c r="Y24" i="168" s="1"/>
  <c r="Y26" i="168" s="1"/>
  <c r="X22" i="168"/>
  <c r="X24" i="168" s="1"/>
  <c r="X26" i="168" s="1"/>
  <c r="W22" i="168"/>
  <c r="W24" i="168" s="1"/>
  <c r="W26" i="168" s="1"/>
  <c r="V22" i="168"/>
  <c r="V24" i="168" s="1"/>
  <c r="V26" i="168" s="1"/>
  <c r="T22" i="168"/>
  <c r="T24" i="168" s="1"/>
  <c r="T26" i="168" s="1"/>
  <c r="S22" i="168"/>
  <c r="S24" i="168" s="1"/>
  <c r="S26" i="168" s="1"/>
  <c r="R22" i="168"/>
  <c r="R24" i="168" s="1"/>
  <c r="R26" i="168" s="1"/>
  <c r="Q22" i="168"/>
  <c r="Q24" i="168" s="1"/>
  <c r="Q26" i="168" s="1"/>
  <c r="P22" i="168"/>
  <c r="P24" i="168" s="1"/>
  <c r="P26" i="168" s="1"/>
  <c r="O22" i="168"/>
  <c r="O24" i="168" s="1"/>
  <c r="O26" i="168" s="1"/>
  <c r="N22" i="168"/>
  <c r="N24" i="168" s="1"/>
  <c r="N26" i="168" s="1"/>
  <c r="M22" i="168"/>
  <c r="M24" i="168" s="1"/>
  <c r="M26" i="168" s="1"/>
  <c r="L22" i="168"/>
  <c r="L24" i="168" s="1"/>
  <c r="L26" i="168" s="1"/>
  <c r="K22" i="168"/>
  <c r="K24" i="168" s="1"/>
  <c r="K26" i="168" s="1"/>
  <c r="J22" i="168"/>
  <c r="J24" i="168" s="1"/>
  <c r="J26" i="168" s="1"/>
  <c r="I22" i="168"/>
  <c r="I24" i="168" s="1"/>
  <c r="I26" i="168" s="1"/>
  <c r="H22" i="168"/>
  <c r="H24" i="168" s="1"/>
  <c r="H26" i="168" s="1"/>
  <c r="F22" i="168"/>
  <c r="F24" i="168" s="1"/>
  <c r="F26" i="168" s="1"/>
  <c r="D22" i="168"/>
  <c r="D24" i="168" s="1"/>
  <c r="D26" i="168" s="1"/>
  <c r="U21" i="168"/>
  <c r="U22" i="168" s="1"/>
  <c r="U24" i="168" s="1"/>
  <c r="U26" i="168" s="1"/>
  <c r="G21" i="168"/>
  <c r="G22" i="168" s="1"/>
  <c r="G24" i="168" s="1"/>
  <c r="E21" i="168"/>
  <c r="E20" i="168"/>
  <c r="E22" i="168" s="1"/>
  <c r="E24" i="168" s="1"/>
  <c r="E26" i="168" s="1"/>
  <c r="G26" i="168" l="1"/>
  <c r="U25" i="167"/>
  <c r="G25" i="167"/>
  <c r="U23" i="167"/>
  <c r="G23" i="167"/>
  <c r="AG22" i="167"/>
  <c r="AG24" i="167" s="1"/>
  <c r="AG26" i="167" s="1"/>
  <c r="AF22" i="167"/>
  <c r="AF24" i="167" s="1"/>
  <c r="AF26" i="167" s="1"/>
  <c r="AE22" i="167"/>
  <c r="AE24" i="167" s="1"/>
  <c r="AE26" i="167" s="1"/>
  <c r="AD22" i="167"/>
  <c r="AD24" i="167" s="1"/>
  <c r="AD26" i="167" s="1"/>
  <c r="AC22" i="167"/>
  <c r="AC24" i="167" s="1"/>
  <c r="AC26" i="167" s="1"/>
  <c r="AB22" i="167"/>
  <c r="AB24" i="167" s="1"/>
  <c r="AB26" i="167" s="1"/>
  <c r="AA22" i="167"/>
  <c r="AA24" i="167" s="1"/>
  <c r="AA26" i="167" s="1"/>
  <c r="Z22" i="167"/>
  <c r="Z24" i="167" s="1"/>
  <c r="Z26" i="167" s="1"/>
  <c r="Y22" i="167"/>
  <c r="Y24" i="167" s="1"/>
  <c r="Y26" i="167" s="1"/>
  <c r="X22" i="167"/>
  <c r="X24" i="167" s="1"/>
  <c r="X26" i="167" s="1"/>
  <c r="W22" i="167"/>
  <c r="W24" i="167" s="1"/>
  <c r="W26" i="167" s="1"/>
  <c r="V22" i="167"/>
  <c r="V24" i="167" s="1"/>
  <c r="V26" i="167" s="1"/>
  <c r="T22" i="167"/>
  <c r="T24" i="167" s="1"/>
  <c r="T26" i="167" s="1"/>
  <c r="S22" i="167"/>
  <c r="S24" i="167" s="1"/>
  <c r="S26" i="167" s="1"/>
  <c r="R22" i="167"/>
  <c r="R24" i="167" s="1"/>
  <c r="R26" i="167" s="1"/>
  <c r="Q22" i="167"/>
  <c r="Q24" i="167" s="1"/>
  <c r="Q26" i="167" s="1"/>
  <c r="P22" i="167"/>
  <c r="P24" i="167" s="1"/>
  <c r="P26" i="167" s="1"/>
  <c r="O22" i="167"/>
  <c r="O24" i="167" s="1"/>
  <c r="O26" i="167" s="1"/>
  <c r="N22" i="167"/>
  <c r="N24" i="167" s="1"/>
  <c r="N26" i="167" s="1"/>
  <c r="M22" i="167"/>
  <c r="M24" i="167" s="1"/>
  <c r="M26" i="167" s="1"/>
  <c r="L22" i="167"/>
  <c r="L24" i="167" s="1"/>
  <c r="L26" i="167" s="1"/>
  <c r="K22" i="167"/>
  <c r="K24" i="167" s="1"/>
  <c r="K26" i="167" s="1"/>
  <c r="J22" i="167"/>
  <c r="J24" i="167" s="1"/>
  <c r="J26" i="167" s="1"/>
  <c r="I22" i="167"/>
  <c r="I24" i="167" s="1"/>
  <c r="I26" i="167" s="1"/>
  <c r="H22" i="167"/>
  <c r="H24" i="167" s="1"/>
  <c r="H26" i="167" s="1"/>
  <c r="F22" i="167"/>
  <c r="F24" i="167" s="1"/>
  <c r="F26" i="167" s="1"/>
  <c r="D22" i="167"/>
  <c r="D24" i="167" s="1"/>
  <c r="D26" i="167" s="1"/>
  <c r="U21" i="167"/>
  <c r="U22" i="167" s="1"/>
  <c r="U24" i="167" s="1"/>
  <c r="G21" i="167"/>
  <c r="G22" i="167" s="1"/>
  <c r="E21" i="167"/>
  <c r="E20" i="167"/>
  <c r="E22" i="167" s="1"/>
  <c r="E24" i="167" s="1"/>
  <c r="E26" i="167" s="1"/>
  <c r="U26" i="167" l="1"/>
  <c r="G24" i="167"/>
  <c r="G26" i="167" s="1"/>
  <c r="U25" i="166"/>
  <c r="G25" i="166"/>
  <c r="U23" i="166"/>
  <c r="G23" i="166"/>
  <c r="AG22" i="166"/>
  <c r="AG24" i="166" s="1"/>
  <c r="AG26" i="166" s="1"/>
  <c r="AF22" i="166"/>
  <c r="AF24" i="166" s="1"/>
  <c r="AF26" i="166" s="1"/>
  <c r="AE22" i="166"/>
  <c r="AE24" i="166" s="1"/>
  <c r="AE26" i="166" s="1"/>
  <c r="AD22" i="166"/>
  <c r="AD24" i="166" s="1"/>
  <c r="AD26" i="166" s="1"/>
  <c r="AC22" i="166"/>
  <c r="AC24" i="166" s="1"/>
  <c r="AC26" i="166" s="1"/>
  <c r="AB22" i="166"/>
  <c r="AB24" i="166" s="1"/>
  <c r="AB26" i="166" s="1"/>
  <c r="AA22" i="166"/>
  <c r="AA24" i="166" s="1"/>
  <c r="AA26" i="166" s="1"/>
  <c r="Z22" i="166"/>
  <c r="Z24" i="166" s="1"/>
  <c r="Z26" i="166" s="1"/>
  <c r="Y22" i="166"/>
  <c r="Y24" i="166" s="1"/>
  <c r="Y26" i="166" s="1"/>
  <c r="X22" i="166"/>
  <c r="X24" i="166" s="1"/>
  <c r="X26" i="166" s="1"/>
  <c r="W22" i="166"/>
  <c r="W24" i="166" s="1"/>
  <c r="W26" i="166" s="1"/>
  <c r="V22" i="166"/>
  <c r="V24" i="166" s="1"/>
  <c r="V26" i="166" s="1"/>
  <c r="T22" i="166"/>
  <c r="T24" i="166" s="1"/>
  <c r="T26" i="166" s="1"/>
  <c r="S22" i="166"/>
  <c r="S24" i="166" s="1"/>
  <c r="S26" i="166" s="1"/>
  <c r="R22" i="166"/>
  <c r="R24" i="166" s="1"/>
  <c r="R26" i="166" s="1"/>
  <c r="Q22" i="166"/>
  <c r="Q24" i="166" s="1"/>
  <c r="Q26" i="166" s="1"/>
  <c r="P22" i="166"/>
  <c r="P24" i="166" s="1"/>
  <c r="P26" i="166" s="1"/>
  <c r="O22" i="166"/>
  <c r="O24" i="166" s="1"/>
  <c r="O26" i="166" s="1"/>
  <c r="N22" i="166"/>
  <c r="N24" i="166" s="1"/>
  <c r="N26" i="166" s="1"/>
  <c r="M22" i="166"/>
  <c r="M24" i="166" s="1"/>
  <c r="M26" i="166" s="1"/>
  <c r="L22" i="166"/>
  <c r="L24" i="166" s="1"/>
  <c r="L26" i="166" s="1"/>
  <c r="K22" i="166"/>
  <c r="K24" i="166" s="1"/>
  <c r="K26" i="166" s="1"/>
  <c r="J22" i="166"/>
  <c r="J24" i="166" s="1"/>
  <c r="J26" i="166" s="1"/>
  <c r="I22" i="166"/>
  <c r="I24" i="166" s="1"/>
  <c r="I26" i="166" s="1"/>
  <c r="H22" i="166"/>
  <c r="H24" i="166" s="1"/>
  <c r="H26" i="166" s="1"/>
  <c r="F22" i="166"/>
  <c r="F24" i="166" s="1"/>
  <c r="F26" i="166" s="1"/>
  <c r="D22" i="166"/>
  <c r="D24" i="166" s="1"/>
  <c r="D26" i="166" s="1"/>
  <c r="U21" i="166"/>
  <c r="U22" i="166" s="1"/>
  <c r="G21" i="166"/>
  <c r="G22" i="166" s="1"/>
  <c r="G24" i="166" s="1"/>
  <c r="E21" i="166"/>
  <c r="E20" i="166"/>
  <c r="E22" i="166" s="1"/>
  <c r="E24" i="166" s="1"/>
  <c r="E26" i="166" s="1"/>
  <c r="G26" i="166" l="1"/>
  <c r="U24" i="166"/>
  <c r="U26" i="166" s="1"/>
  <c r="U25" i="165"/>
  <c r="G25" i="165"/>
  <c r="U23" i="165"/>
  <c r="G23" i="165"/>
  <c r="AG22" i="165"/>
  <c r="AG24" i="165" s="1"/>
  <c r="AG26" i="165" s="1"/>
  <c r="AF22" i="165"/>
  <c r="AF24" i="165" s="1"/>
  <c r="AF26" i="165" s="1"/>
  <c r="AE22" i="165"/>
  <c r="AE24" i="165" s="1"/>
  <c r="AE26" i="165" s="1"/>
  <c r="AD22" i="165"/>
  <c r="AD24" i="165" s="1"/>
  <c r="AD26" i="165" s="1"/>
  <c r="AC22" i="165"/>
  <c r="AC24" i="165" s="1"/>
  <c r="AC26" i="165" s="1"/>
  <c r="AB22" i="165"/>
  <c r="AB24" i="165" s="1"/>
  <c r="AB26" i="165" s="1"/>
  <c r="AA22" i="165"/>
  <c r="AA24" i="165" s="1"/>
  <c r="AA26" i="165" s="1"/>
  <c r="Z22" i="165"/>
  <c r="Z24" i="165" s="1"/>
  <c r="Z26" i="165" s="1"/>
  <c r="Y22" i="165"/>
  <c r="Y24" i="165" s="1"/>
  <c r="Y26" i="165" s="1"/>
  <c r="X22" i="165"/>
  <c r="X24" i="165" s="1"/>
  <c r="X26" i="165" s="1"/>
  <c r="W22" i="165"/>
  <c r="W24" i="165" s="1"/>
  <c r="W26" i="165" s="1"/>
  <c r="V22" i="165"/>
  <c r="V24" i="165" s="1"/>
  <c r="V26" i="165" s="1"/>
  <c r="T22" i="165"/>
  <c r="T24" i="165" s="1"/>
  <c r="T26" i="165" s="1"/>
  <c r="S22" i="165"/>
  <c r="S24" i="165" s="1"/>
  <c r="S26" i="165" s="1"/>
  <c r="R22" i="165"/>
  <c r="R24" i="165" s="1"/>
  <c r="R26" i="165" s="1"/>
  <c r="Q22" i="165"/>
  <c r="Q24" i="165" s="1"/>
  <c r="Q26" i="165" s="1"/>
  <c r="P22" i="165"/>
  <c r="P24" i="165" s="1"/>
  <c r="P26" i="165" s="1"/>
  <c r="O22" i="165"/>
  <c r="O24" i="165" s="1"/>
  <c r="O26" i="165" s="1"/>
  <c r="N22" i="165"/>
  <c r="N24" i="165" s="1"/>
  <c r="N26" i="165" s="1"/>
  <c r="M22" i="165"/>
  <c r="M24" i="165" s="1"/>
  <c r="M26" i="165" s="1"/>
  <c r="L22" i="165"/>
  <c r="L24" i="165" s="1"/>
  <c r="L26" i="165" s="1"/>
  <c r="K22" i="165"/>
  <c r="K24" i="165" s="1"/>
  <c r="K26" i="165" s="1"/>
  <c r="J22" i="165"/>
  <c r="J24" i="165" s="1"/>
  <c r="J26" i="165" s="1"/>
  <c r="I22" i="165"/>
  <c r="I24" i="165" s="1"/>
  <c r="I26" i="165" s="1"/>
  <c r="H22" i="165"/>
  <c r="H24" i="165" s="1"/>
  <c r="H26" i="165" s="1"/>
  <c r="F22" i="165"/>
  <c r="F24" i="165" s="1"/>
  <c r="F26" i="165" s="1"/>
  <c r="D22" i="165"/>
  <c r="D24" i="165" s="1"/>
  <c r="D26" i="165" s="1"/>
  <c r="U21" i="165"/>
  <c r="U22" i="165" s="1"/>
  <c r="G21" i="165"/>
  <c r="G22" i="165" s="1"/>
  <c r="E21" i="165"/>
  <c r="E20" i="165"/>
  <c r="E22" i="165" s="1"/>
  <c r="E24" i="165" s="1"/>
  <c r="E26" i="165" s="1"/>
  <c r="U24" i="165" l="1"/>
  <c r="U26" i="165" s="1"/>
  <c r="G24" i="165"/>
  <c r="G26" i="165" s="1"/>
  <c r="U25" i="164"/>
  <c r="G25" i="164"/>
  <c r="U23" i="164"/>
  <c r="G23" i="164"/>
  <c r="AG22" i="164"/>
  <c r="AG24" i="164" s="1"/>
  <c r="AG26" i="164" s="1"/>
  <c r="AF22" i="164"/>
  <c r="AF24" i="164" s="1"/>
  <c r="AF26" i="164" s="1"/>
  <c r="AE22" i="164"/>
  <c r="AE24" i="164" s="1"/>
  <c r="AE26" i="164" s="1"/>
  <c r="AD22" i="164"/>
  <c r="AD24" i="164" s="1"/>
  <c r="AD26" i="164" s="1"/>
  <c r="AC22" i="164"/>
  <c r="AC24" i="164" s="1"/>
  <c r="AC26" i="164" s="1"/>
  <c r="AB22" i="164"/>
  <c r="AB24" i="164" s="1"/>
  <c r="AB26" i="164" s="1"/>
  <c r="AA22" i="164"/>
  <c r="AA24" i="164" s="1"/>
  <c r="AA26" i="164" s="1"/>
  <c r="Z22" i="164"/>
  <c r="Z24" i="164" s="1"/>
  <c r="Z26" i="164" s="1"/>
  <c r="Y22" i="164"/>
  <c r="Y24" i="164" s="1"/>
  <c r="Y26" i="164" s="1"/>
  <c r="X22" i="164"/>
  <c r="X24" i="164" s="1"/>
  <c r="X26" i="164" s="1"/>
  <c r="W22" i="164"/>
  <c r="W24" i="164" s="1"/>
  <c r="W26" i="164" s="1"/>
  <c r="V22" i="164"/>
  <c r="V24" i="164" s="1"/>
  <c r="V26" i="164" s="1"/>
  <c r="T22" i="164"/>
  <c r="T24" i="164" s="1"/>
  <c r="T26" i="164" s="1"/>
  <c r="S22" i="164"/>
  <c r="S24" i="164" s="1"/>
  <c r="S26" i="164" s="1"/>
  <c r="R22" i="164"/>
  <c r="R24" i="164" s="1"/>
  <c r="R26" i="164" s="1"/>
  <c r="Q22" i="164"/>
  <c r="Q24" i="164" s="1"/>
  <c r="Q26" i="164" s="1"/>
  <c r="P22" i="164"/>
  <c r="P24" i="164" s="1"/>
  <c r="P26" i="164" s="1"/>
  <c r="O22" i="164"/>
  <c r="O24" i="164" s="1"/>
  <c r="O26" i="164" s="1"/>
  <c r="N22" i="164"/>
  <c r="N24" i="164" s="1"/>
  <c r="N26" i="164" s="1"/>
  <c r="M22" i="164"/>
  <c r="M24" i="164" s="1"/>
  <c r="M26" i="164" s="1"/>
  <c r="L22" i="164"/>
  <c r="L24" i="164" s="1"/>
  <c r="L26" i="164" s="1"/>
  <c r="K22" i="164"/>
  <c r="K24" i="164" s="1"/>
  <c r="K26" i="164" s="1"/>
  <c r="J22" i="164"/>
  <c r="J24" i="164" s="1"/>
  <c r="J26" i="164" s="1"/>
  <c r="I22" i="164"/>
  <c r="I24" i="164" s="1"/>
  <c r="I26" i="164" s="1"/>
  <c r="H22" i="164"/>
  <c r="H24" i="164" s="1"/>
  <c r="H26" i="164" s="1"/>
  <c r="F22" i="164"/>
  <c r="F24" i="164" s="1"/>
  <c r="F26" i="164" s="1"/>
  <c r="D22" i="164"/>
  <c r="D24" i="164" s="1"/>
  <c r="D26" i="164" s="1"/>
  <c r="U21" i="164"/>
  <c r="U22" i="164" s="1"/>
  <c r="U24" i="164" s="1"/>
  <c r="G21" i="164"/>
  <c r="G22" i="164" s="1"/>
  <c r="E21" i="164"/>
  <c r="E20" i="164"/>
  <c r="E22" i="164" s="1"/>
  <c r="E24" i="164" s="1"/>
  <c r="E26" i="164" s="1"/>
  <c r="U26" i="164" l="1"/>
  <c r="G24" i="164"/>
  <c r="G26" i="164" s="1"/>
  <c r="U25" i="163"/>
  <c r="G25" i="163"/>
  <c r="U23" i="163"/>
  <c r="G23" i="163"/>
  <c r="AG22" i="163"/>
  <c r="AG24" i="163" s="1"/>
  <c r="AG26" i="163" s="1"/>
  <c r="AF22" i="163"/>
  <c r="AF24" i="163" s="1"/>
  <c r="AF26" i="163" s="1"/>
  <c r="AE22" i="163"/>
  <c r="AE24" i="163" s="1"/>
  <c r="AE26" i="163" s="1"/>
  <c r="AD22" i="163"/>
  <c r="AD24" i="163" s="1"/>
  <c r="AD26" i="163" s="1"/>
  <c r="AC22" i="163"/>
  <c r="AC24" i="163" s="1"/>
  <c r="AC26" i="163" s="1"/>
  <c r="AB22" i="163"/>
  <c r="AB24" i="163" s="1"/>
  <c r="AB26" i="163" s="1"/>
  <c r="AA22" i="163"/>
  <c r="AA24" i="163" s="1"/>
  <c r="AA26" i="163" s="1"/>
  <c r="Z22" i="163"/>
  <c r="Z24" i="163" s="1"/>
  <c r="Z26" i="163" s="1"/>
  <c r="Y22" i="163"/>
  <c r="Y24" i="163" s="1"/>
  <c r="Y26" i="163" s="1"/>
  <c r="X22" i="163"/>
  <c r="X24" i="163" s="1"/>
  <c r="X26" i="163" s="1"/>
  <c r="W22" i="163"/>
  <c r="W24" i="163" s="1"/>
  <c r="W26" i="163" s="1"/>
  <c r="V22" i="163"/>
  <c r="V24" i="163" s="1"/>
  <c r="V26" i="163" s="1"/>
  <c r="T22" i="163"/>
  <c r="T24" i="163" s="1"/>
  <c r="T26" i="163" s="1"/>
  <c r="S22" i="163"/>
  <c r="S24" i="163" s="1"/>
  <c r="S26" i="163" s="1"/>
  <c r="R22" i="163"/>
  <c r="R24" i="163" s="1"/>
  <c r="R26" i="163" s="1"/>
  <c r="Q22" i="163"/>
  <c r="Q24" i="163" s="1"/>
  <c r="Q26" i="163" s="1"/>
  <c r="P22" i="163"/>
  <c r="P24" i="163" s="1"/>
  <c r="P26" i="163" s="1"/>
  <c r="O22" i="163"/>
  <c r="O24" i="163" s="1"/>
  <c r="O26" i="163" s="1"/>
  <c r="N22" i="163"/>
  <c r="N24" i="163" s="1"/>
  <c r="N26" i="163" s="1"/>
  <c r="M22" i="163"/>
  <c r="M24" i="163" s="1"/>
  <c r="M26" i="163" s="1"/>
  <c r="L22" i="163"/>
  <c r="L24" i="163" s="1"/>
  <c r="L26" i="163" s="1"/>
  <c r="K22" i="163"/>
  <c r="K24" i="163" s="1"/>
  <c r="K26" i="163" s="1"/>
  <c r="J22" i="163"/>
  <c r="J24" i="163" s="1"/>
  <c r="J26" i="163" s="1"/>
  <c r="I22" i="163"/>
  <c r="I24" i="163" s="1"/>
  <c r="I26" i="163" s="1"/>
  <c r="H22" i="163"/>
  <c r="H24" i="163" s="1"/>
  <c r="H26" i="163" s="1"/>
  <c r="F22" i="163"/>
  <c r="F24" i="163" s="1"/>
  <c r="F26" i="163" s="1"/>
  <c r="D22" i="163"/>
  <c r="D24" i="163" s="1"/>
  <c r="D26" i="163" s="1"/>
  <c r="U21" i="163"/>
  <c r="U22" i="163" s="1"/>
  <c r="U24" i="163" s="1"/>
  <c r="U26" i="163" s="1"/>
  <c r="G21" i="163"/>
  <c r="G22" i="163" s="1"/>
  <c r="E21" i="163"/>
  <c r="E22" i="163" s="1"/>
  <c r="E24" i="163" s="1"/>
  <c r="E26" i="163" s="1"/>
  <c r="E20" i="163"/>
  <c r="G24" i="163" l="1"/>
  <c r="G26" i="163" s="1"/>
  <c r="U25" i="162"/>
  <c r="G25" i="162"/>
  <c r="U23" i="162"/>
  <c r="G23" i="162"/>
  <c r="AG22" i="162"/>
  <c r="AG24" i="162" s="1"/>
  <c r="AG26" i="162" s="1"/>
  <c r="AF22" i="162"/>
  <c r="AF24" i="162" s="1"/>
  <c r="AF26" i="162" s="1"/>
  <c r="AE22" i="162"/>
  <c r="AE24" i="162" s="1"/>
  <c r="AE26" i="162" s="1"/>
  <c r="AD22" i="162"/>
  <c r="AD24" i="162" s="1"/>
  <c r="AD26" i="162" s="1"/>
  <c r="AC22" i="162"/>
  <c r="AC24" i="162" s="1"/>
  <c r="AC26" i="162" s="1"/>
  <c r="AB22" i="162"/>
  <c r="AB24" i="162" s="1"/>
  <c r="AB26" i="162" s="1"/>
  <c r="AA22" i="162"/>
  <c r="AA24" i="162" s="1"/>
  <c r="AA26" i="162" s="1"/>
  <c r="Z22" i="162"/>
  <c r="Z24" i="162" s="1"/>
  <c r="Z26" i="162" s="1"/>
  <c r="Y22" i="162"/>
  <c r="Y24" i="162" s="1"/>
  <c r="Y26" i="162" s="1"/>
  <c r="X22" i="162"/>
  <c r="X24" i="162" s="1"/>
  <c r="X26" i="162" s="1"/>
  <c r="W22" i="162"/>
  <c r="W24" i="162" s="1"/>
  <c r="W26" i="162" s="1"/>
  <c r="V22" i="162"/>
  <c r="V24" i="162" s="1"/>
  <c r="V26" i="162" s="1"/>
  <c r="T22" i="162"/>
  <c r="T24" i="162" s="1"/>
  <c r="T26" i="162" s="1"/>
  <c r="S22" i="162"/>
  <c r="S24" i="162" s="1"/>
  <c r="S26" i="162" s="1"/>
  <c r="R22" i="162"/>
  <c r="R24" i="162" s="1"/>
  <c r="R26" i="162" s="1"/>
  <c r="Q22" i="162"/>
  <c r="Q24" i="162" s="1"/>
  <c r="Q26" i="162" s="1"/>
  <c r="P22" i="162"/>
  <c r="P24" i="162" s="1"/>
  <c r="P26" i="162" s="1"/>
  <c r="O22" i="162"/>
  <c r="O24" i="162" s="1"/>
  <c r="O26" i="162" s="1"/>
  <c r="N22" i="162"/>
  <c r="N24" i="162" s="1"/>
  <c r="N26" i="162" s="1"/>
  <c r="M22" i="162"/>
  <c r="M24" i="162" s="1"/>
  <c r="M26" i="162" s="1"/>
  <c r="L22" i="162"/>
  <c r="L24" i="162" s="1"/>
  <c r="L26" i="162" s="1"/>
  <c r="K22" i="162"/>
  <c r="K24" i="162" s="1"/>
  <c r="K26" i="162" s="1"/>
  <c r="J22" i="162"/>
  <c r="J24" i="162" s="1"/>
  <c r="J26" i="162" s="1"/>
  <c r="I22" i="162"/>
  <c r="I24" i="162" s="1"/>
  <c r="I26" i="162" s="1"/>
  <c r="H22" i="162"/>
  <c r="H24" i="162" s="1"/>
  <c r="H26" i="162" s="1"/>
  <c r="F22" i="162"/>
  <c r="F24" i="162" s="1"/>
  <c r="F26" i="162" s="1"/>
  <c r="D22" i="162"/>
  <c r="D24" i="162" s="1"/>
  <c r="D26" i="162" s="1"/>
  <c r="U21" i="162"/>
  <c r="U22" i="162" s="1"/>
  <c r="U24" i="162" s="1"/>
  <c r="U26" i="162" s="1"/>
  <c r="G21" i="162"/>
  <c r="G22" i="162" s="1"/>
  <c r="G24" i="162" s="1"/>
  <c r="E21" i="162"/>
  <c r="E20" i="162"/>
  <c r="E22" i="162" s="1"/>
  <c r="E24" i="162" s="1"/>
  <c r="E26" i="162" s="1"/>
  <c r="G26" i="162" l="1"/>
  <c r="U25" i="161"/>
  <c r="G25" i="161"/>
  <c r="U23" i="161"/>
  <c r="G23" i="161"/>
  <c r="AG22" i="161"/>
  <c r="AG24" i="161" s="1"/>
  <c r="AG26" i="161" s="1"/>
  <c r="AF22" i="161"/>
  <c r="AF24" i="161" s="1"/>
  <c r="AF26" i="161" s="1"/>
  <c r="AE22" i="161"/>
  <c r="AE24" i="161" s="1"/>
  <c r="AE26" i="161" s="1"/>
  <c r="AD22" i="161"/>
  <c r="AD24" i="161" s="1"/>
  <c r="AD26" i="161" s="1"/>
  <c r="AC22" i="161"/>
  <c r="AC24" i="161" s="1"/>
  <c r="AC26" i="161" s="1"/>
  <c r="AB22" i="161"/>
  <c r="AB24" i="161" s="1"/>
  <c r="AB26" i="161" s="1"/>
  <c r="AA22" i="161"/>
  <c r="AA24" i="161" s="1"/>
  <c r="AA26" i="161" s="1"/>
  <c r="Z22" i="161"/>
  <c r="Z24" i="161" s="1"/>
  <c r="Z26" i="161" s="1"/>
  <c r="Y22" i="161"/>
  <c r="Y24" i="161" s="1"/>
  <c r="Y26" i="161" s="1"/>
  <c r="X22" i="161"/>
  <c r="X24" i="161" s="1"/>
  <c r="X26" i="161" s="1"/>
  <c r="W22" i="161"/>
  <c r="W24" i="161" s="1"/>
  <c r="W26" i="161" s="1"/>
  <c r="V22" i="161"/>
  <c r="V24" i="161" s="1"/>
  <c r="V26" i="161" s="1"/>
  <c r="T22" i="161"/>
  <c r="T24" i="161" s="1"/>
  <c r="T26" i="161" s="1"/>
  <c r="S22" i="161"/>
  <c r="S24" i="161" s="1"/>
  <c r="S26" i="161" s="1"/>
  <c r="R22" i="161"/>
  <c r="R24" i="161" s="1"/>
  <c r="R26" i="161" s="1"/>
  <c r="Q22" i="161"/>
  <c r="Q24" i="161" s="1"/>
  <c r="Q26" i="161" s="1"/>
  <c r="P22" i="161"/>
  <c r="P24" i="161" s="1"/>
  <c r="P26" i="161" s="1"/>
  <c r="O22" i="161"/>
  <c r="O24" i="161" s="1"/>
  <c r="O26" i="161" s="1"/>
  <c r="N22" i="161"/>
  <c r="N24" i="161" s="1"/>
  <c r="N26" i="161" s="1"/>
  <c r="M22" i="161"/>
  <c r="M24" i="161" s="1"/>
  <c r="M26" i="161" s="1"/>
  <c r="L22" i="161"/>
  <c r="L24" i="161" s="1"/>
  <c r="L26" i="161" s="1"/>
  <c r="K22" i="161"/>
  <c r="K24" i="161" s="1"/>
  <c r="K26" i="161" s="1"/>
  <c r="J22" i="161"/>
  <c r="J24" i="161" s="1"/>
  <c r="J26" i="161" s="1"/>
  <c r="I22" i="161"/>
  <c r="I24" i="161" s="1"/>
  <c r="I26" i="161" s="1"/>
  <c r="H22" i="161"/>
  <c r="H24" i="161" s="1"/>
  <c r="H26" i="161" s="1"/>
  <c r="F22" i="161"/>
  <c r="F24" i="161" s="1"/>
  <c r="F26" i="161" s="1"/>
  <c r="D22" i="161"/>
  <c r="D24" i="161" s="1"/>
  <c r="D26" i="161" s="1"/>
  <c r="U21" i="161"/>
  <c r="U22" i="161" s="1"/>
  <c r="U24" i="161" s="1"/>
  <c r="G21" i="161"/>
  <c r="G22" i="161" s="1"/>
  <c r="E21" i="161"/>
  <c r="E20" i="161"/>
  <c r="E22" i="161" s="1"/>
  <c r="E24" i="161" s="1"/>
  <c r="E26" i="161" s="1"/>
  <c r="U26" i="161" l="1"/>
  <c r="G24" i="161"/>
  <c r="G26" i="161" s="1"/>
  <c r="U25" i="160"/>
  <c r="G25" i="160"/>
  <c r="U23" i="160"/>
  <c r="G23" i="160"/>
  <c r="AG22" i="160"/>
  <c r="AG24" i="160" s="1"/>
  <c r="AG26" i="160" s="1"/>
  <c r="AF22" i="160"/>
  <c r="AF24" i="160" s="1"/>
  <c r="AF26" i="160" s="1"/>
  <c r="AE22" i="160"/>
  <c r="AE24" i="160" s="1"/>
  <c r="AE26" i="160" s="1"/>
  <c r="AD22" i="160"/>
  <c r="AD24" i="160" s="1"/>
  <c r="AD26" i="160" s="1"/>
  <c r="AC22" i="160"/>
  <c r="AC24" i="160" s="1"/>
  <c r="AC26" i="160" s="1"/>
  <c r="AB22" i="160"/>
  <c r="AB24" i="160" s="1"/>
  <c r="AB26" i="160" s="1"/>
  <c r="AA22" i="160"/>
  <c r="AA24" i="160" s="1"/>
  <c r="AA26" i="160" s="1"/>
  <c r="Z22" i="160"/>
  <c r="Z24" i="160" s="1"/>
  <c r="Z26" i="160" s="1"/>
  <c r="Y22" i="160"/>
  <c r="Y24" i="160" s="1"/>
  <c r="Y26" i="160" s="1"/>
  <c r="X22" i="160"/>
  <c r="X24" i="160" s="1"/>
  <c r="X26" i="160" s="1"/>
  <c r="W22" i="160"/>
  <c r="W24" i="160" s="1"/>
  <c r="W26" i="160" s="1"/>
  <c r="V22" i="160"/>
  <c r="V24" i="160" s="1"/>
  <c r="V26" i="160" s="1"/>
  <c r="T22" i="160"/>
  <c r="T24" i="160" s="1"/>
  <c r="T26" i="160" s="1"/>
  <c r="S22" i="160"/>
  <c r="S24" i="160" s="1"/>
  <c r="S26" i="160" s="1"/>
  <c r="R22" i="160"/>
  <c r="R24" i="160" s="1"/>
  <c r="R26" i="160" s="1"/>
  <c r="Q22" i="160"/>
  <c r="Q24" i="160" s="1"/>
  <c r="Q26" i="160" s="1"/>
  <c r="P22" i="160"/>
  <c r="P24" i="160" s="1"/>
  <c r="P26" i="160" s="1"/>
  <c r="O22" i="160"/>
  <c r="O24" i="160" s="1"/>
  <c r="O26" i="160" s="1"/>
  <c r="N22" i="160"/>
  <c r="N24" i="160" s="1"/>
  <c r="N26" i="160" s="1"/>
  <c r="M22" i="160"/>
  <c r="M24" i="160" s="1"/>
  <c r="M26" i="160" s="1"/>
  <c r="L22" i="160"/>
  <c r="L24" i="160" s="1"/>
  <c r="L26" i="160" s="1"/>
  <c r="K22" i="160"/>
  <c r="K24" i="160" s="1"/>
  <c r="K26" i="160" s="1"/>
  <c r="J22" i="160"/>
  <c r="J24" i="160" s="1"/>
  <c r="J26" i="160" s="1"/>
  <c r="I22" i="160"/>
  <c r="I24" i="160" s="1"/>
  <c r="I26" i="160" s="1"/>
  <c r="H22" i="160"/>
  <c r="H24" i="160" s="1"/>
  <c r="H26" i="160" s="1"/>
  <c r="F22" i="160"/>
  <c r="F24" i="160" s="1"/>
  <c r="F26" i="160" s="1"/>
  <c r="D22" i="160"/>
  <c r="D24" i="160" s="1"/>
  <c r="D26" i="160" s="1"/>
  <c r="U21" i="160"/>
  <c r="U22" i="160" s="1"/>
  <c r="U24" i="160" s="1"/>
  <c r="G21" i="160"/>
  <c r="G22" i="160" s="1"/>
  <c r="G24" i="160" s="1"/>
  <c r="G26" i="160" s="1"/>
  <c r="E21" i="160"/>
  <c r="E20" i="160"/>
  <c r="E22" i="160" s="1"/>
  <c r="E24" i="160" s="1"/>
  <c r="E26" i="160" s="1"/>
  <c r="U26" i="160" l="1"/>
  <c r="U25" i="159"/>
  <c r="G25" i="159"/>
  <c r="U23" i="159"/>
  <c r="G23" i="159"/>
  <c r="AG22" i="159"/>
  <c r="AG24" i="159" s="1"/>
  <c r="AG26" i="159" s="1"/>
  <c r="AF22" i="159"/>
  <c r="AF24" i="159" s="1"/>
  <c r="AF26" i="159" s="1"/>
  <c r="AE22" i="159"/>
  <c r="AE24" i="159" s="1"/>
  <c r="AE26" i="159" s="1"/>
  <c r="AD22" i="159"/>
  <c r="AD24" i="159" s="1"/>
  <c r="AD26" i="159" s="1"/>
  <c r="AC22" i="159"/>
  <c r="AC24" i="159" s="1"/>
  <c r="AC26" i="159" s="1"/>
  <c r="AB22" i="159"/>
  <c r="AB24" i="159" s="1"/>
  <c r="AB26" i="159" s="1"/>
  <c r="AA22" i="159"/>
  <c r="AA24" i="159" s="1"/>
  <c r="AA26" i="159" s="1"/>
  <c r="Z22" i="159"/>
  <c r="Z24" i="159" s="1"/>
  <c r="Z26" i="159" s="1"/>
  <c r="Y22" i="159"/>
  <c r="Y24" i="159" s="1"/>
  <c r="Y26" i="159" s="1"/>
  <c r="X22" i="159"/>
  <c r="X24" i="159" s="1"/>
  <c r="X26" i="159" s="1"/>
  <c r="W22" i="159"/>
  <c r="W24" i="159" s="1"/>
  <c r="W26" i="159" s="1"/>
  <c r="V22" i="159"/>
  <c r="V24" i="159" s="1"/>
  <c r="V26" i="159" s="1"/>
  <c r="T22" i="159"/>
  <c r="T24" i="159" s="1"/>
  <c r="T26" i="159" s="1"/>
  <c r="S22" i="159"/>
  <c r="S24" i="159" s="1"/>
  <c r="S26" i="159" s="1"/>
  <c r="R22" i="159"/>
  <c r="R24" i="159" s="1"/>
  <c r="R26" i="159" s="1"/>
  <c r="Q22" i="159"/>
  <c r="Q24" i="159" s="1"/>
  <c r="Q26" i="159" s="1"/>
  <c r="P22" i="159"/>
  <c r="P24" i="159" s="1"/>
  <c r="P26" i="159" s="1"/>
  <c r="O22" i="159"/>
  <c r="O24" i="159" s="1"/>
  <c r="O26" i="159" s="1"/>
  <c r="N22" i="159"/>
  <c r="N24" i="159" s="1"/>
  <c r="N26" i="159" s="1"/>
  <c r="M22" i="159"/>
  <c r="M24" i="159" s="1"/>
  <c r="M26" i="159" s="1"/>
  <c r="L22" i="159"/>
  <c r="L24" i="159" s="1"/>
  <c r="L26" i="159" s="1"/>
  <c r="K22" i="159"/>
  <c r="K24" i="159" s="1"/>
  <c r="K26" i="159" s="1"/>
  <c r="J22" i="159"/>
  <c r="J24" i="159" s="1"/>
  <c r="J26" i="159" s="1"/>
  <c r="I22" i="159"/>
  <c r="I24" i="159" s="1"/>
  <c r="I26" i="159" s="1"/>
  <c r="H22" i="159"/>
  <c r="H24" i="159" s="1"/>
  <c r="H26" i="159" s="1"/>
  <c r="F22" i="159"/>
  <c r="F24" i="159" s="1"/>
  <c r="F26" i="159" s="1"/>
  <c r="D22" i="159"/>
  <c r="D24" i="159" s="1"/>
  <c r="D26" i="159" s="1"/>
  <c r="U21" i="159"/>
  <c r="U22" i="159" s="1"/>
  <c r="U24" i="159" s="1"/>
  <c r="G21" i="159"/>
  <c r="G22" i="159" s="1"/>
  <c r="G24" i="159" s="1"/>
  <c r="E21" i="159"/>
  <c r="E20" i="159"/>
  <c r="E22" i="159" s="1"/>
  <c r="E24" i="159" s="1"/>
  <c r="E26" i="159" s="1"/>
  <c r="G26" i="159" l="1"/>
  <c r="U26" i="159"/>
  <c r="U23" i="158"/>
  <c r="G23" i="158"/>
  <c r="G21" i="158"/>
  <c r="U21" i="158"/>
  <c r="U25" i="158" l="1"/>
  <c r="G25" i="158"/>
  <c r="AG22" i="158"/>
  <c r="AG24" i="158" s="1"/>
  <c r="AG26" i="158" s="1"/>
  <c r="AF22" i="158"/>
  <c r="AF24" i="158" s="1"/>
  <c r="AF26" i="158" s="1"/>
  <c r="AE22" i="158"/>
  <c r="AE24" i="158" s="1"/>
  <c r="AE26" i="158" s="1"/>
  <c r="AD22" i="158"/>
  <c r="AD24" i="158" s="1"/>
  <c r="AD26" i="158" s="1"/>
  <c r="AC22" i="158"/>
  <c r="AC24" i="158" s="1"/>
  <c r="AC26" i="158" s="1"/>
  <c r="AB22" i="158"/>
  <c r="AB24" i="158" s="1"/>
  <c r="AB26" i="158" s="1"/>
  <c r="AA22" i="158"/>
  <c r="AA24" i="158" s="1"/>
  <c r="AA26" i="158" s="1"/>
  <c r="Z22" i="158"/>
  <c r="Z24" i="158" s="1"/>
  <c r="Z26" i="158" s="1"/>
  <c r="Y22" i="158"/>
  <c r="Y24" i="158" s="1"/>
  <c r="Y26" i="158" s="1"/>
  <c r="X22" i="158"/>
  <c r="X24" i="158" s="1"/>
  <c r="X26" i="158" s="1"/>
  <c r="W22" i="158"/>
  <c r="W24" i="158" s="1"/>
  <c r="W26" i="158" s="1"/>
  <c r="V22" i="158"/>
  <c r="V24" i="158" s="1"/>
  <c r="V26" i="158" s="1"/>
  <c r="U22" i="158"/>
  <c r="U24" i="158" s="1"/>
  <c r="T22" i="158"/>
  <c r="T24" i="158" s="1"/>
  <c r="T26" i="158" s="1"/>
  <c r="S22" i="158"/>
  <c r="S24" i="158" s="1"/>
  <c r="S26" i="158" s="1"/>
  <c r="R22" i="158"/>
  <c r="R24" i="158" s="1"/>
  <c r="R26" i="158" s="1"/>
  <c r="Q22" i="158"/>
  <c r="Q24" i="158" s="1"/>
  <c r="Q26" i="158" s="1"/>
  <c r="P22" i="158"/>
  <c r="P24" i="158" s="1"/>
  <c r="P26" i="158" s="1"/>
  <c r="O22" i="158"/>
  <c r="O24" i="158" s="1"/>
  <c r="O26" i="158" s="1"/>
  <c r="N22" i="158"/>
  <c r="N24" i="158" s="1"/>
  <c r="N26" i="158" s="1"/>
  <c r="M22" i="158"/>
  <c r="M24" i="158" s="1"/>
  <c r="M26" i="158" s="1"/>
  <c r="L22" i="158"/>
  <c r="L24" i="158" s="1"/>
  <c r="L26" i="158" s="1"/>
  <c r="K22" i="158"/>
  <c r="K24" i="158" s="1"/>
  <c r="K26" i="158" s="1"/>
  <c r="J22" i="158"/>
  <c r="J24" i="158" s="1"/>
  <c r="J26" i="158" s="1"/>
  <c r="I22" i="158"/>
  <c r="I24" i="158" s="1"/>
  <c r="I26" i="158" s="1"/>
  <c r="H22" i="158"/>
  <c r="H24" i="158" s="1"/>
  <c r="H26" i="158" s="1"/>
  <c r="G22" i="158"/>
  <c r="G24" i="158" s="1"/>
  <c r="F22" i="158"/>
  <c r="F24" i="158" s="1"/>
  <c r="F26" i="158" s="1"/>
  <c r="D22" i="158"/>
  <c r="D24" i="158" s="1"/>
  <c r="D26" i="158" s="1"/>
  <c r="E21" i="158"/>
  <c r="E20" i="158"/>
  <c r="U26" i="158" l="1"/>
  <c r="E22" i="158"/>
  <c r="E24" i="158" s="1"/>
  <c r="E26" i="158" s="1"/>
  <c r="G26" i="158"/>
  <c r="F23" i="156"/>
  <c r="F24" i="156"/>
  <c r="G24" i="156"/>
  <c r="H24" i="156"/>
  <c r="I24" i="156"/>
  <c r="J24" i="156"/>
  <c r="K24" i="156"/>
  <c r="L24" i="156"/>
  <c r="M24" i="156"/>
  <c r="N24" i="156"/>
  <c r="O24" i="156"/>
  <c r="P24" i="156"/>
  <c r="Q24" i="156"/>
  <c r="R24" i="156"/>
  <c r="S24" i="156"/>
  <c r="T24" i="156"/>
  <c r="F22" i="157" l="1"/>
  <c r="F25" i="157" s="1"/>
  <c r="F27" i="157" s="1"/>
  <c r="G23" i="156" l="1"/>
  <c r="H23" i="156"/>
  <c r="I23" i="156"/>
  <c r="J23" i="156"/>
  <c r="K23" i="156"/>
  <c r="L23" i="156"/>
  <c r="M23" i="156"/>
  <c r="N23" i="156"/>
  <c r="O23" i="156"/>
  <c r="P23" i="156"/>
  <c r="Q23" i="156"/>
  <c r="R23" i="156"/>
  <c r="S23" i="156"/>
  <c r="T23" i="156"/>
  <c r="U23" i="156"/>
  <c r="V23" i="156"/>
  <c r="W23" i="156"/>
  <c r="X23" i="156"/>
  <c r="Y23" i="156"/>
  <c r="Z23" i="156"/>
  <c r="AA23" i="156"/>
  <c r="AB23" i="156"/>
  <c r="AC23" i="156"/>
  <c r="AD23" i="156"/>
  <c r="AE23" i="156"/>
  <c r="AF23" i="156"/>
  <c r="AG23" i="156"/>
  <c r="G21" i="156"/>
  <c r="K21" i="156"/>
  <c r="M21" i="156"/>
  <c r="N21" i="156"/>
  <c r="O21" i="156"/>
  <c r="Q21" i="156"/>
  <c r="S21" i="156"/>
  <c r="U21" i="156"/>
  <c r="F26" i="156"/>
  <c r="U26" i="157" l="1"/>
  <c r="G26" i="157"/>
  <c r="AG22" i="157"/>
  <c r="AG25" i="157" s="1"/>
  <c r="AG27" i="157" s="1"/>
  <c r="AF22" i="157"/>
  <c r="AF25" i="157" s="1"/>
  <c r="AF27" i="157" s="1"/>
  <c r="AE22" i="157"/>
  <c r="AE25" i="157" s="1"/>
  <c r="AE27" i="157" s="1"/>
  <c r="AD22" i="157"/>
  <c r="AD25" i="157" s="1"/>
  <c r="AD27" i="157" s="1"/>
  <c r="AC22" i="157"/>
  <c r="AC25" i="157" s="1"/>
  <c r="AC27" i="157" s="1"/>
  <c r="AB22" i="157"/>
  <c r="AB25" i="157" s="1"/>
  <c r="AB27" i="157" s="1"/>
  <c r="AA22" i="157"/>
  <c r="AA25" i="157" s="1"/>
  <c r="AA27" i="157" s="1"/>
  <c r="Z22" i="157"/>
  <c r="Z25" i="157" s="1"/>
  <c r="Z27" i="157" s="1"/>
  <c r="Y22" i="157"/>
  <c r="Y25" i="157" s="1"/>
  <c r="Y27" i="157" s="1"/>
  <c r="X22" i="157"/>
  <c r="X25" i="157" s="1"/>
  <c r="X27" i="157" s="1"/>
  <c r="W22" i="157"/>
  <c r="W25" i="157" s="1"/>
  <c r="W27" i="157" s="1"/>
  <c r="T22" i="157"/>
  <c r="T25" i="157" s="1"/>
  <c r="T27" i="157" s="1"/>
  <c r="S22" i="157"/>
  <c r="S25" i="157" s="1"/>
  <c r="S27" i="157" s="1"/>
  <c r="R22" i="157"/>
  <c r="R25" i="157" s="1"/>
  <c r="R27" i="157" s="1"/>
  <c r="P22" i="157"/>
  <c r="P25" i="157" s="1"/>
  <c r="P27" i="157" s="1"/>
  <c r="L22" i="157"/>
  <c r="L25" i="157" s="1"/>
  <c r="L27" i="157" s="1"/>
  <c r="J22" i="157"/>
  <c r="J25" i="157" s="1"/>
  <c r="J27" i="157" s="1"/>
  <c r="D22" i="157"/>
  <c r="D25" i="157" s="1"/>
  <c r="D27" i="157" s="1"/>
  <c r="E21" i="157"/>
  <c r="V22" i="157"/>
  <c r="V25" i="157" s="1"/>
  <c r="V27" i="157" s="1"/>
  <c r="Q22" i="157"/>
  <c r="Q25" i="157" s="1"/>
  <c r="Q27" i="157" s="1"/>
  <c r="O22" i="157"/>
  <c r="O25" i="157" s="1"/>
  <c r="O27" i="157" s="1"/>
  <c r="N22" i="157"/>
  <c r="N25" i="157" s="1"/>
  <c r="N27" i="157" s="1"/>
  <c r="M22" i="157"/>
  <c r="M25" i="157" s="1"/>
  <c r="M27" i="157" s="1"/>
  <c r="K22" i="157"/>
  <c r="K25" i="157" s="1"/>
  <c r="K27" i="157" s="1"/>
  <c r="I22" i="157"/>
  <c r="I25" i="157" s="1"/>
  <c r="I27" i="157" s="1"/>
  <c r="H22" i="157"/>
  <c r="H25" i="157" s="1"/>
  <c r="H27" i="157" s="1"/>
  <c r="E20" i="157"/>
  <c r="E22" i="157" l="1"/>
  <c r="E25" i="157" s="1"/>
  <c r="E27" i="157" s="1"/>
  <c r="G22" i="157"/>
  <c r="G25" i="157" s="1"/>
  <c r="G27" i="157" s="1"/>
  <c r="U22" i="157"/>
  <c r="U25" i="157" s="1"/>
  <c r="U27" i="157" s="1"/>
  <c r="U27" i="156"/>
  <c r="G27" i="156"/>
  <c r="U25" i="156"/>
  <c r="G25" i="156"/>
  <c r="AG24" i="156"/>
  <c r="AG26" i="156" s="1"/>
  <c r="AG28" i="156" s="1"/>
  <c r="AF24" i="156"/>
  <c r="AF26" i="156" s="1"/>
  <c r="AF28" i="156" s="1"/>
  <c r="AE24" i="156"/>
  <c r="AE26" i="156" s="1"/>
  <c r="AE28" i="156" s="1"/>
  <c r="AD24" i="156"/>
  <c r="AD26" i="156" s="1"/>
  <c r="AD28" i="156" s="1"/>
  <c r="AC24" i="156"/>
  <c r="AC26" i="156" s="1"/>
  <c r="AC28" i="156" s="1"/>
  <c r="AB24" i="156"/>
  <c r="AB26" i="156" s="1"/>
  <c r="AB28" i="156" s="1"/>
  <c r="AA24" i="156"/>
  <c r="AA26" i="156" s="1"/>
  <c r="AA28" i="156" s="1"/>
  <c r="Z24" i="156"/>
  <c r="Z26" i="156" s="1"/>
  <c r="Z28" i="156" s="1"/>
  <c r="Y24" i="156"/>
  <c r="Y26" i="156" s="1"/>
  <c r="Y28" i="156" s="1"/>
  <c r="X24" i="156"/>
  <c r="X26" i="156" s="1"/>
  <c r="X28" i="156" s="1"/>
  <c r="W24" i="156"/>
  <c r="W26" i="156" s="1"/>
  <c r="W28" i="156" s="1"/>
  <c r="T26" i="156"/>
  <c r="T28" i="156" s="1"/>
  <c r="R26" i="156"/>
  <c r="R28" i="156" s="1"/>
  <c r="P26" i="156"/>
  <c r="P28" i="156" s="1"/>
  <c r="L26" i="156"/>
  <c r="L28" i="156" s="1"/>
  <c r="J26" i="156"/>
  <c r="J28" i="156" s="1"/>
  <c r="F28" i="156"/>
  <c r="D24" i="156"/>
  <c r="D26" i="156" s="1"/>
  <c r="D28" i="156" s="1"/>
  <c r="E21" i="156"/>
  <c r="V20" i="156"/>
  <c r="V24" i="156" s="1"/>
  <c r="V26" i="156" s="1"/>
  <c r="V28" i="156" s="1"/>
  <c r="U20" i="156"/>
  <c r="S20" i="156"/>
  <c r="Q20" i="156"/>
  <c r="O20" i="156"/>
  <c r="O26" i="156" s="1"/>
  <c r="O28" i="156" s="1"/>
  <c r="N20" i="156"/>
  <c r="N26" i="156" s="1"/>
  <c r="N28" i="156" s="1"/>
  <c r="M20" i="156"/>
  <c r="K20" i="156"/>
  <c r="I20" i="156"/>
  <c r="I26" i="156" s="1"/>
  <c r="I28" i="156" s="1"/>
  <c r="H20" i="156"/>
  <c r="H26" i="156" s="1"/>
  <c r="H28" i="156" s="1"/>
  <c r="G20" i="156"/>
  <c r="G26" i="156" s="1"/>
  <c r="E20" i="156"/>
  <c r="E24" i="156" s="1"/>
  <c r="E26" i="156" s="1"/>
  <c r="E28" i="156" s="1"/>
  <c r="Q26" i="156" l="1"/>
  <c r="Q28" i="156" s="1"/>
  <c r="S26" i="156"/>
  <c r="S28" i="156" s="1"/>
  <c r="G28" i="156"/>
  <c r="K26" i="156"/>
  <c r="K28" i="156" s="1"/>
  <c r="M26" i="156"/>
  <c r="M28" i="156" s="1"/>
  <c r="U24" i="156"/>
  <c r="U26" i="156" s="1"/>
  <c r="U28" i="156" s="1"/>
  <c r="U25" i="155"/>
  <c r="G25" i="155"/>
  <c r="U23" i="155"/>
  <c r="G23" i="155"/>
  <c r="AG22" i="155"/>
  <c r="AG24" i="155" s="1"/>
  <c r="AG26" i="155" s="1"/>
  <c r="AF22" i="155"/>
  <c r="AF24" i="155" s="1"/>
  <c r="AF26" i="155" s="1"/>
  <c r="AE22" i="155"/>
  <c r="AE24" i="155" s="1"/>
  <c r="AE26" i="155" s="1"/>
  <c r="AD22" i="155"/>
  <c r="AD24" i="155" s="1"/>
  <c r="AD26" i="155" s="1"/>
  <c r="AC22" i="155"/>
  <c r="AC24" i="155" s="1"/>
  <c r="AC26" i="155" s="1"/>
  <c r="AB22" i="155"/>
  <c r="AB24" i="155" s="1"/>
  <c r="AB26" i="155" s="1"/>
  <c r="AA22" i="155"/>
  <c r="AA24" i="155" s="1"/>
  <c r="AA26" i="155" s="1"/>
  <c r="Z22" i="155"/>
  <c r="Z24" i="155" s="1"/>
  <c r="Z26" i="155" s="1"/>
  <c r="Y22" i="155"/>
  <c r="Y24" i="155" s="1"/>
  <c r="Y26" i="155" s="1"/>
  <c r="X22" i="155"/>
  <c r="X24" i="155" s="1"/>
  <c r="X26" i="155" s="1"/>
  <c r="W22" i="155"/>
  <c r="W24" i="155" s="1"/>
  <c r="W26" i="155" s="1"/>
  <c r="T22" i="155"/>
  <c r="T24" i="155" s="1"/>
  <c r="T26" i="155" s="1"/>
  <c r="R22" i="155"/>
  <c r="R24" i="155" s="1"/>
  <c r="R26" i="155" s="1"/>
  <c r="P22" i="155"/>
  <c r="P24" i="155" s="1"/>
  <c r="P26" i="155" s="1"/>
  <c r="N22" i="155"/>
  <c r="N24" i="155" s="1"/>
  <c r="N26" i="155" s="1"/>
  <c r="L22" i="155"/>
  <c r="L24" i="155" s="1"/>
  <c r="L26" i="155" s="1"/>
  <c r="J22" i="155"/>
  <c r="J24" i="155" s="1"/>
  <c r="J26" i="155" s="1"/>
  <c r="F22" i="155"/>
  <c r="F24" i="155" s="1"/>
  <c r="F26" i="155" s="1"/>
  <c r="D22" i="155"/>
  <c r="D24" i="155" s="1"/>
  <c r="D26" i="155" s="1"/>
  <c r="U21" i="155"/>
  <c r="S21" i="155"/>
  <c r="Q21" i="155"/>
  <c r="O21" i="155"/>
  <c r="N21" i="155"/>
  <c r="M21" i="155"/>
  <c r="K21" i="155"/>
  <c r="G21" i="155"/>
  <c r="E21" i="155"/>
  <c r="V20" i="155"/>
  <c r="V22" i="155" s="1"/>
  <c r="V24" i="155" s="1"/>
  <c r="V26" i="155" s="1"/>
  <c r="U20" i="155"/>
  <c r="S20" i="155"/>
  <c r="Q20" i="155"/>
  <c r="O20" i="155"/>
  <c r="O22" i="155" s="1"/>
  <c r="O24" i="155" s="1"/>
  <c r="O26" i="155" s="1"/>
  <c r="N20" i="155"/>
  <c r="M20" i="155"/>
  <c r="K20" i="155"/>
  <c r="I20" i="155"/>
  <c r="I22" i="155" s="1"/>
  <c r="I24" i="155" s="1"/>
  <c r="I26" i="155" s="1"/>
  <c r="H20" i="155"/>
  <c r="H22" i="155" s="1"/>
  <c r="H24" i="155" s="1"/>
  <c r="H26" i="155" s="1"/>
  <c r="G20" i="155"/>
  <c r="E20" i="155"/>
  <c r="E22" i="155" s="1"/>
  <c r="E24" i="155" s="1"/>
  <c r="E26" i="155" s="1"/>
  <c r="K22" i="155" l="1"/>
  <c r="K24" i="155" s="1"/>
  <c r="K26" i="155" s="1"/>
  <c r="Q22" i="155"/>
  <c r="Q24" i="155" s="1"/>
  <c r="Q26" i="155" s="1"/>
  <c r="S22" i="155"/>
  <c r="S24" i="155" s="1"/>
  <c r="S26" i="155" s="1"/>
  <c r="M22" i="155"/>
  <c r="M24" i="155" s="1"/>
  <c r="M26" i="155" s="1"/>
  <c r="G22" i="155"/>
  <c r="U22" i="155"/>
  <c r="U24" i="155" s="1"/>
  <c r="U26" i="155" s="1"/>
  <c r="G24" i="155"/>
  <c r="G26" i="155" s="1"/>
  <c r="U25" i="154"/>
  <c r="G25" i="154"/>
  <c r="U23" i="154"/>
  <c r="G23" i="154"/>
  <c r="AG22" i="154"/>
  <c r="AG24" i="154" s="1"/>
  <c r="AG26" i="154" s="1"/>
  <c r="AF22" i="154"/>
  <c r="AF24" i="154" s="1"/>
  <c r="AF26" i="154" s="1"/>
  <c r="AE22" i="154"/>
  <c r="AE24" i="154" s="1"/>
  <c r="AE26" i="154" s="1"/>
  <c r="AD22" i="154"/>
  <c r="AD24" i="154" s="1"/>
  <c r="AD26" i="154" s="1"/>
  <c r="AC22" i="154"/>
  <c r="AC24" i="154" s="1"/>
  <c r="AC26" i="154" s="1"/>
  <c r="AB22" i="154"/>
  <c r="AB24" i="154" s="1"/>
  <c r="AB26" i="154" s="1"/>
  <c r="AA22" i="154"/>
  <c r="AA24" i="154" s="1"/>
  <c r="AA26" i="154" s="1"/>
  <c r="Z22" i="154"/>
  <c r="Z24" i="154" s="1"/>
  <c r="Z26" i="154" s="1"/>
  <c r="Y22" i="154"/>
  <c r="Y24" i="154" s="1"/>
  <c r="Y26" i="154" s="1"/>
  <c r="X22" i="154"/>
  <c r="X24" i="154" s="1"/>
  <c r="X26" i="154" s="1"/>
  <c r="W22" i="154"/>
  <c r="W24" i="154" s="1"/>
  <c r="W26" i="154" s="1"/>
  <c r="T22" i="154"/>
  <c r="T24" i="154" s="1"/>
  <c r="T26" i="154" s="1"/>
  <c r="R22" i="154"/>
  <c r="R24" i="154" s="1"/>
  <c r="R26" i="154" s="1"/>
  <c r="P22" i="154"/>
  <c r="P24" i="154" s="1"/>
  <c r="P26" i="154" s="1"/>
  <c r="L22" i="154"/>
  <c r="L24" i="154" s="1"/>
  <c r="L26" i="154" s="1"/>
  <c r="J22" i="154"/>
  <c r="J24" i="154" s="1"/>
  <c r="J26" i="154" s="1"/>
  <c r="H22" i="154"/>
  <c r="H24" i="154" s="1"/>
  <c r="H26" i="154" s="1"/>
  <c r="F22" i="154"/>
  <c r="F24" i="154" s="1"/>
  <c r="F26" i="154" s="1"/>
  <c r="D22" i="154"/>
  <c r="D24" i="154" s="1"/>
  <c r="D26" i="154" s="1"/>
  <c r="U21" i="154"/>
  <c r="S21" i="154"/>
  <c r="Q21" i="154"/>
  <c r="O21" i="154"/>
  <c r="N21" i="154"/>
  <c r="M21" i="154"/>
  <c r="K21" i="154"/>
  <c r="G21" i="154"/>
  <c r="E21" i="154"/>
  <c r="V20" i="154"/>
  <c r="V22" i="154" s="1"/>
  <c r="V24" i="154" s="1"/>
  <c r="V26" i="154" s="1"/>
  <c r="U20" i="154"/>
  <c r="S20" i="154"/>
  <c r="Q20" i="154"/>
  <c r="O20" i="154"/>
  <c r="O22" i="154" s="1"/>
  <c r="O24" i="154" s="1"/>
  <c r="O26" i="154" s="1"/>
  <c r="N20" i="154"/>
  <c r="N22" i="154" s="1"/>
  <c r="N24" i="154" s="1"/>
  <c r="N26" i="154" s="1"/>
  <c r="M20" i="154"/>
  <c r="M22" i="154" s="1"/>
  <c r="M24" i="154" s="1"/>
  <c r="M26" i="154" s="1"/>
  <c r="K20" i="154"/>
  <c r="K22" i="154" s="1"/>
  <c r="K24" i="154" s="1"/>
  <c r="K26" i="154" s="1"/>
  <c r="I20" i="154"/>
  <c r="I22" i="154" s="1"/>
  <c r="I24" i="154" s="1"/>
  <c r="I26" i="154" s="1"/>
  <c r="H20" i="154"/>
  <c r="G20" i="154"/>
  <c r="G22" i="154" s="1"/>
  <c r="E20" i="154"/>
  <c r="E22" i="154" s="1"/>
  <c r="E24" i="154" s="1"/>
  <c r="E26" i="154" s="1"/>
  <c r="S22" i="154" l="1"/>
  <c r="S24" i="154" s="1"/>
  <c r="S26" i="154" s="1"/>
  <c r="U22" i="154"/>
  <c r="Q22" i="154"/>
  <c r="Q24" i="154" s="1"/>
  <c r="Q26" i="154" s="1"/>
  <c r="U24" i="154"/>
  <c r="U26" i="154" s="1"/>
  <c r="G24" i="154"/>
  <c r="G26" i="154" s="1"/>
  <c r="U25" i="153"/>
  <c r="G25" i="153"/>
  <c r="U23" i="153"/>
  <c r="G23" i="153"/>
  <c r="AG22" i="153"/>
  <c r="AG24" i="153" s="1"/>
  <c r="AG26" i="153" s="1"/>
  <c r="AF22" i="153"/>
  <c r="AF24" i="153" s="1"/>
  <c r="AF26" i="153" s="1"/>
  <c r="AE22" i="153"/>
  <c r="AE24" i="153" s="1"/>
  <c r="AE26" i="153" s="1"/>
  <c r="AD22" i="153"/>
  <c r="AD24" i="153" s="1"/>
  <c r="AD26" i="153" s="1"/>
  <c r="AC22" i="153"/>
  <c r="AC24" i="153" s="1"/>
  <c r="AC26" i="153" s="1"/>
  <c r="AB22" i="153"/>
  <c r="AB24" i="153" s="1"/>
  <c r="AB26" i="153" s="1"/>
  <c r="AA22" i="153"/>
  <c r="AA24" i="153" s="1"/>
  <c r="AA26" i="153" s="1"/>
  <c r="Z22" i="153"/>
  <c r="Z24" i="153" s="1"/>
  <c r="Z26" i="153" s="1"/>
  <c r="Y22" i="153"/>
  <c r="Y24" i="153" s="1"/>
  <c r="Y26" i="153" s="1"/>
  <c r="X22" i="153"/>
  <c r="X24" i="153" s="1"/>
  <c r="X26" i="153" s="1"/>
  <c r="W22" i="153"/>
  <c r="W24" i="153" s="1"/>
  <c r="W26" i="153" s="1"/>
  <c r="T22" i="153"/>
  <c r="T24" i="153" s="1"/>
  <c r="T26" i="153" s="1"/>
  <c r="R22" i="153"/>
  <c r="R24" i="153" s="1"/>
  <c r="R26" i="153" s="1"/>
  <c r="P22" i="153"/>
  <c r="P24" i="153" s="1"/>
  <c r="P26" i="153" s="1"/>
  <c r="N22" i="153"/>
  <c r="N24" i="153" s="1"/>
  <c r="N26" i="153" s="1"/>
  <c r="L22" i="153"/>
  <c r="L24" i="153" s="1"/>
  <c r="L26" i="153" s="1"/>
  <c r="J22" i="153"/>
  <c r="J24" i="153" s="1"/>
  <c r="J26" i="153" s="1"/>
  <c r="F22" i="153"/>
  <c r="F24" i="153" s="1"/>
  <c r="F26" i="153" s="1"/>
  <c r="D22" i="153"/>
  <c r="D24" i="153" s="1"/>
  <c r="D26" i="153" s="1"/>
  <c r="U21" i="153"/>
  <c r="S21" i="153"/>
  <c r="Q21" i="153"/>
  <c r="O21" i="153"/>
  <c r="N21" i="153"/>
  <c r="M21" i="153"/>
  <c r="K21" i="153"/>
  <c r="G21" i="153"/>
  <c r="E21" i="153"/>
  <c r="V20" i="153"/>
  <c r="V22" i="153" s="1"/>
  <c r="V24" i="153" s="1"/>
  <c r="V26" i="153" s="1"/>
  <c r="U20" i="153"/>
  <c r="S20" i="153"/>
  <c r="Q20" i="153"/>
  <c r="O20" i="153"/>
  <c r="O22" i="153" s="1"/>
  <c r="O24" i="153" s="1"/>
  <c r="O26" i="153" s="1"/>
  <c r="N20" i="153"/>
  <c r="M20" i="153"/>
  <c r="K20" i="153"/>
  <c r="I20" i="153"/>
  <c r="I22" i="153" s="1"/>
  <c r="I24" i="153" s="1"/>
  <c r="I26" i="153" s="1"/>
  <c r="H20" i="153"/>
  <c r="H22" i="153" s="1"/>
  <c r="H24" i="153" s="1"/>
  <c r="H26" i="153" s="1"/>
  <c r="G20" i="153"/>
  <c r="G22" i="153" s="1"/>
  <c r="G24" i="153" s="1"/>
  <c r="E20" i="153"/>
  <c r="E22" i="153" s="1"/>
  <c r="E24" i="153" s="1"/>
  <c r="E26" i="153" s="1"/>
  <c r="K22" i="153" l="1"/>
  <c r="K24" i="153" s="1"/>
  <c r="K26" i="153" s="1"/>
  <c r="M22" i="153"/>
  <c r="M24" i="153" s="1"/>
  <c r="M26" i="153" s="1"/>
  <c r="Q22" i="153"/>
  <c r="Q24" i="153" s="1"/>
  <c r="Q26" i="153" s="1"/>
  <c r="S22" i="153"/>
  <c r="S24" i="153" s="1"/>
  <c r="S26" i="153" s="1"/>
  <c r="G26" i="153"/>
  <c r="U22" i="153"/>
  <c r="U24" i="153" s="1"/>
  <c r="U26" i="153" s="1"/>
  <c r="U25" i="152"/>
  <c r="G25" i="152"/>
  <c r="U23" i="152"/>
  <c r="G23" i="152"/>
  <c r="AG22" i="152"/>
  <c r="AG24" i="152" s="1"/>
  <c r="AG26" i="152" s="1"/>
  <c r="AF22" i="152"/>
  <c r="AF24" i="152" s="1"/>
  <c r="AF26" i="152" s="1"/>
  <c r="AE22" i="152"/>
  <c r="AE24" i="152" s="1"/>
  <c r="AE26" i="152" s="1"/>
  <c r="AD22" i="152"/>
  <c r="AD24" i="152" s="1"/>
  <c r="AD26" i="152" s="1"/>
  <c r="AC22" i="152"/>
  <c r="AC24" i="152" s="1"/>
  <c r="AC26" i="152" s="1"/>
  <c r="AB22" i="152"/>
  <c r="AB24" i="152" s="1"/>
  <c r="AB26" i="152" s="1"/>
  <c r="AA22" i="152"/>
  <c r="AA24" i="152" s="1"/>
  <c r="AA26" i="152" s="1"/>
  <c r="Z22" i="152"/>
  <c r="Z24" i="152" s="1"/>
  <c r="Z26" i="152" s="1"/>
  <c r="Y22" i="152"/>
  <c r="Y24" i="152" s="1"/>
  <c r="Y26" i="152" s="1"/>
  <c r="X22" i="152"/>
  <c r="X24" i="152" s="1"/>
  <c r="X26" i="152" s="1"/>
  <c r="W22" i="152"/>
  <c r="W24" i="152" s="1"/>
  <c r="W26" i="152" s="1"/>
  <c r="T22" i="152"/>
  <c r="T24" i="152" s="1"/>
  <c r="T26" i="152" s="1"/>
  <c r="R22" i="152"/>
  <c r="R24" i="152" s="1"/>
  <c r="R26" i="152" s="1"/>
  <c r="P22" i="152"/>
  <c r="P24" i="152" s="1"/>
  <c r="P26" i="152" s="1"/>
  <c r="L22" i="152"/>
  <c r="L24" i="152" s="1"/>
  <c r="L26" i="152" s="1"/>
  <c r="J22" i="152"/>
  <c r="J24" i="152" s="1"/>
  <c r="J26" i="152" s="1"/>
  <c r="F22" i="152"/>
  <c r="F24" i="152" s="1"/>
  <c r="F26" i="152" s="1"/>
  <c r="D22" i="152"/>
  <c r="D24" i="152" s="1"/>
  <c r="D26" i="152" s="1"/>
  <c r="U21" i="152"/>
  <c r="S21" i="152"/>
  <c r="S22" i="152" s="1"/>
  <c r="S24" i="152" s="1"/>
  <c r="S26" i="152" s="1"/>
  <c r="Q21" i="152"/>
  <c r="O21" i="152"/>
  <c r="N21" i="152"/>
  <c r="M21" i="152"/>
  <c r="K21" i="152"/>
  <c r="G21" i="152"/>
  <c r="E21" i="152"/>
  <c r="V20" i="152"/>
  <c r="V22" i="152" s="1"/>
  <c r="V24" i="152" s="1"/>
  <c r="V26" i="152" s="1"/>
  <c r="U20" i="152"/>
  <c r="S20" i="152"/>
  <c r="Q20" i="152"/>
  <c r="Q22" i="152" s="1"/>
  <c r="Q24" i="152" s="1"/>
  <c r="Q26" i="152" s="1"/>
  <c r="O20" i="152"/>
  <c r="O22" i="152" s="1"/>
  <c r="O24" i="152" s="1"/>
  <c r="O26" i="152" s="1"/>
  <c r="N20" i="152"/>
  <c r="N22" i="152" s="1"/>
  <c r="N24" i="152" s="1"/>
  <c r="N26" i="152" s="1"/>
  <c r="M20" i="152"/>
  <c r="K20" i="152"/>
  <c r="K22" i="152" s="1"/>
  <c r="K24" i="152" s="1"/>
  <c r="K26" i="152" s="1"/>
  <c r="I20" i="152"/>
  <c r="I22" i="152" s="1"/>
  <c r="I24" i="152" s="1"/>
  <c r="I26" i="152" s="1"/>
  <c r="H20" i="152"/>
  <c r="H22" i="152" s="1"/>
  <c r="H24" i="152" s="1"/>
  <c r="H26" i="152" s="1"/>
  <c r="G20" i="152"/>
  <c r="G22" i="152" s="1"/>
  <c r="G24" i="152" s="1"/>
  <c r="G26" i="152" s="1"/>
  <c r="E20" i="152"/>
  <c r="E22" i="152" s="1"/>
  <c r="E24" i="152" s="1"/>
  <c r="E26" i="152" s="1"/>
  <c r="M22" i="152" l="1"/>
  <c r="M24" i="152" s="1"/>
  <c r="M26" i="152" s="1"/>
  <c r="U22" i="152"/>
  <c r="U24" i="152" s="1"/>
  <c r="U26" i="152" s="1"/>
  <c r="U25" i="151"/>
  <c r="G25" i="151"/>
  <c r="U23" i="151"/>
  <c r="G23" i="151"/>
  <c r="AG22" i="151"/>
  <c r="AG24" i="151" s="1"/>
  <c r="AG26" i="151" s="1"/>
  <c r="AF22" i="151"/>
  <c r="AF24" i="151" s="1"/>
  <c r="AF26" i="151" s="1"/>
  <c r="AE22" i="151"/>
  <c r="AE24" i="151" s="1"/>
  <c r="AE26" i="151" s="1"/>
  <c r="AD22" i="151"/>
  <c r="AD24" i="151" s="1"/>
  <c r="AD26" i="151" s="1"/>
  <c r="AC22" i="151"/>
  <c r="AC24" i="151" s="1"/>
  <c r="AC26" i="151" s="1"/>
  <c r="AB22" i="151"/>
  <c r="AB24" i="151" s="1"/>
  <c r="AB26" i="151" s="1"/>
  <c r="AA22" i="151"/>
  <c r="AA24" i="151" s="1"/>
  <c r="AA26" i="151" s="1"/>
  <c r="Z22" i="151"/>
  <c r="Z24" i="151" s="1"/>
  <c r="Z26" i="151" s="1"/>
  <c r="Y22" i="151"/>
  <c r="Y24" i="151" s="1"/>
  <c r="Y26" i="151" s="1"/>
  <c r="X22" i="151"/>
  <c r="X24" i="151" s="1"/>
  <c r="X26" i="151" s="1"/>
  <c r="W22" i="151"/>
  <c r="W24" i="151" s="1"/>
  <c r="W26" i="151" s="1"/>
  <c r="T22" i="151"/>
  <c r="T24" i="151" s="1"/>
  <c r="T26" i="151" s="1"/>
  <c r="R22" i="151"/>
  <c r="R24" i="151" s="1"/>
  <c r="R26" i="151" s="1"/>
  <c r="P22" i="151"/>
  <c r="P24" i="151" s="1"/>
  <c r="P26" i="151" s="1"/>
  <c r="L22" i="151"/>
  <c r="L24" i="151" s="1"/>
  <c r="L26" i="151" s="1"/>
  <c r="J22" i="151"/>
  <c r="J24" i="151" s="1"/>
  <c r="J26" i="151" s="1"/>
  <c r="F22" i="151"/>
  <c r="F24" i="151" s="1"/>
  <c r="F26" i="151" s="1"/>
  <c r="E22" i="151"/>
  <c r="E24" i="151" s="1"/>
  <c r="E26" i="151" s="1"/>
  <c r="D22" i="151"/>
  <c r="D24" i="151" s="1"/>
  <c r="D26" i="151" s="1"/>
  <c r="U21" i="151"/>
  <c r="S21" i="151"/>
  <c r="Q21" i="151"/>
  <c r="Q22" i="151" s="1"/>
  <c r="Q24" i="151" s="1"/>
  <c r="Q26" i="151" s="1"/>
  <c r="O21" i="151"/>
  <c r="N21" i="151"/>
  <c r="M21" i="151"/>
  <c r="M22" i="151" s="1"/>
  <c r="M24" i="151" s="1"/>
  <c r="M26" i="151" s="1"/>
  <c r="K21" i="151"/>
  <c r="G21" i="151"/>
  <c r="E21" i="151"/>
  <c r="V20" i="151"/>
  <c r="V22" i="151" s="1"/>
  <c r="V24" i="151" s="1"/>
  <c r="V26" i="151" s="1"/>
  <c r="U20" i="151"/>
  <c r="S20" i="151"/>
  <c r="Q20" i="151"/>
  <c r="O20" i="151"/>
  <c r="O22" i="151" s="1"/>
  <c r="O24" i="151" s="1"/>
  <c r="O26" i="151" s="1"/>
  <c r="N20" i="151"/>
  <c r="N22" i="151" s="1"/>
  <c r="N24" i="151" s="1"/>
  <c r="N26" i="151" s="1"/>
  <c r="M20" i="151"/>
  <c r="K20" i="151"/>
  <c r="I20" i="151"/>
  <c r="I22" i="151" s="1"/>
  <c r="I24" i="151" s="1"/>
  <c r="I26" i="151" s="1"/>
  <c r="H20" i="151"/>
  <c r="H22" i="151" s="1"/>
  <c r="H24" i="151" s="1"/>
  <c r="H26" i="151" s="1"/>
  <c r="G20" i="151"/>
  <c r="E20" i="151"/>
  <c r="S22" i="151" l="1"/>
  <c r="S24" i="151" s="1"/>
  <c r="S26" i="151" s="1"/>
  <c r="K22" i="151"/>
  <c r="K24" i="151" s="1"/>
  <c r="K26" i="151" s="1"/>
  <c r="G22" i="151"/>
  <c r="G24" i="151" s="1"/>
  <c r="G26" i="151" s="1"/>
  <c r="U22" i="151"/>
  <c r="U24" i="151" s="1"/>
  <c r="U26" i="151" s="1"/>
  <c r="U25" i="150"/>
  <c r="G25" i="150"/>
  <c r="U23" i="150"/>
  <c r="G23" i="150"/>
  <c r="AG22" i="150"/>
  <c r="AG24" i="150" s="1"/>
  <c r="AG26" i="150" s="1"/>
  <c r="AF22" i="150"/>
  <c r="AF24" i="150" s="1"/>
  <c r="AF26" i="150" s="1"/>
  <c r="AE22" i="150"/>
  <c r="AE24" i="150" s="1"/>
  <c r="AE26" i="150" s="1"/>
  <c r="AD22" i="150"/>
  <c r="AD24" i="150" s="1"/>
  <c r="AD26" i="150" s="1"/>
  <c r="AC22" i="150"/>
  <c r="AC24" i="150" s="1"/>
  <c r="AC26" i="150" s="1"/>
  <c r="AB22" i="150"/>
  <c r="AB24" i="150" s="1"/>
  <c r="AB26" i="150" s="1"/>
  <c r="AA22" i="150"/>
  <c r="AA24" i="150" s="1"/>
  <c r="AA26" i="150" s="1"/>
  <c r="Z22" i="150"/>
  <c r="Z24" i="150" s="1"/>
  <c r="Z26" i="150" s="1"/>
  <c r="Y22" i="150"/>
  <c r="Y24" i="150" s="1"/>
  <c r="Y26" i="150" s="1"/>
  <c r="X22" i="150"/>
  <c r="X24" i="150" s="1"/>
  <c r="X26" i="150" s="1"/>
  <c r="W22" i="150"/>
  <c r="W24" i="150" s="1"/>
  <c r="W26" i="150" s="1"/>
  <c r="T22" i="150"/>
  <c r="T24" i="150" s="1"/>
  <c r="T26" i="150" s="1"/>
  <c r="R22" i="150"/>
  <c r="R24" i="150" s="1"/>
  <c r="R26" i="150" s="1"/>
  <c r="P22" i="150"/>
  <c r="P24" i="150" s="1"/>
  <c r="P26" i="150" s="1"/>
  <c r="N22" i="150"/>
  <c r="N24" i="150" s="1"/>
  <c r="N26" i="150" s="1"/>
  <c r="L22" i="150"/>
  <c r="L24" i="150" s="1"/>
  <c r="L26" i="150" s="1"/>
  <c r="J22" i="150"/>
  <c r="J24" i="150" s="1"/>
  <c r="J26" i="150" s="1"/>
  <c r="F22" i="150"/>
  <c r="F24" i="150" s="1"/>
  <c r="F26" i="150" s="1"/>
  <c r="D22" i="150"/>
  <c r="D24" i="150" s="1"/>
  <c r="D26" i="150" s="1"/>
  <c r="U21" i="150"/>
  <c r="S21" i="150"/>
  <c r="Q21" i="150"/>
  <c r="O21" i="150"/>
  <c r="N21" i="150"/>
  <c r="M21" i="150"/>
  <c r="K21" i="150"/>
  <c r="G21" i="150"/>
  <c r="E21" i="150"/>
  <c r="V20" i="150"/>
  <c r="V22" i="150" s="1"/>
  <c r="V24" i="150" s="1"/>
  <c r="V26" i="150" s="1"/>
  <c r="U20" i="150"/>
  <c r="S20" i="150"/>
  <c r="Q20" i="150"/>
  <c r="O20" i="150"/>
  <c r="O22" i="150" s="1"/>
  <c r="O24" i="150" s="1"/>
  <c r="O26" i="150" s="1"/>
  <c r="N20" i="150"/>
  <c r="M20" i="150"/>
  <c r="K20" i="150"/>
  <c r="I20" i="150"/>
  <c r="I22" i="150" s="1"/>
  <c r="I24" i="150" s="1"/>
  <c r="I26" i="150" s="1"/>
  <c r="H20" i="150"/>
  <c r="H22" i="150" s="1"/>
  <c r="H24" i="150" s="1"/>
  <c r="H26" i="150" s="1"/>
  <c r="G20" i="150"/>
  <c r="E20" i="150"/>
  <c r="E22" i="150" s="1"/>
  <c r="E24" i="150" s="1"/>
  <c r="E26" i="150" s="1"/>
  <c r="Q22" i="150" l="1"/>
  <c r="Q24" i="150" s="1"/>
  <c r="Q26" i="150" s="1"/>
  <c r="S22" i="150"/>
  <c r="S24" i="150" s="1"/>
  <c r="S26" i="150" s="1"/>
  <c r="M22" i="150"/>
  <c r="M24" i="150" s="1"/>
  <c r="M26" i="150" s="1"/>
  <c r="K22" i="150"/>
  <c r="K24" i="150" s="1"/>
  <c r="K26" i="150" s="1"/>
  <c r="G22" i="150"/>
  <c r="G24" i="150" s="1"/>
  <c r="U22" i="150"/>
  <c r="U24" i="150" s="1"/>
  <c r="G26" i="150"/>
  <c r="U26" i="150"/>
  <c r="U25" i="149"/>
  <c r="G25" i="149"/>
  <c r="U23" i="149"/>
  <c r="G23" i="149"/>
  <c r="AG22" i="149"/>
  <c r="AG24" i="149" s="1"/>
  <c r="AG26" i="149" s="1"/>
  <c r="AF22" i="149"/>
  <c r="AF24" i="149" s="1"/>
  <c r="AF26" i="149" s="1"/>
  <c r="AE22" i="149"/>
  <c r="AE24" i="149" s="1"/>
  <c r="AE26" i="149" s="1"/>
  <c r="AD22" i="149"/>
  <c r="AD24" i="149" s="1"/>
  <c r="AD26" i="149" s="1"/>
  <c r="AB22" i="149"/>
  <c r="AB24" i="149" s="1"/>
  <c r="AB26" i="149" s="1"/>
  <c r="AA22" i="149"/>
  <c r="AA24" i="149" s="1"/>
  <c r="AA26" i="149" s="1"/>
  <c r="Z22" i="149"/>
  <c r="Z24" i="149" s="1"/>
  <c r="Z26" i="149" s="1"/>
  <c r="X22" i="149"/>
  <c r="X24" i="149" s="1"/>
  <c r="X26" i="149" s="1"/>
  <c r="T22" i="149"/>
  <c r="T24" i="149" s="1"/>
  <c r="T26" i="149" s="1"/>
  <c r="R22" i="149"/>
  <c r="R24" i="149" s="1"/>
  <c r="R26" i="149" s="1"/>
  <c r="P22" i="149"/>
  <c r="P24" i="149" s="1"/>
  <c r="P26" i="149" s="1"/>
  <c r="N22" i="149"/>
  <c r="N24" i="149" s="1"/>
  <c r="N26" i="149" s="1"/>
  <c r="L22" i="149"/>
  <c r="L24" i="149" s="1"/>
  <c r="L26" i="149" s="1"/>
  <c r="J22" i="149"/>
  <c r="J24" i="149" s="1"/>
  <c r="J26" i="149" s="1"/>
  <c r="F22" i="149"/>
  <c r="F24" i="149" s="1"/>
  <c r="F26" i="149" s="1"/>
  <c r="D22" i="149"/>
  <c r="D24" i="149" s="1"/>
  <c r="D26" i="149" s="1"/>
  <c r="AC22" i="149"/>
  <c r="AC24" i="149" s="1"/>
  <c r="AC26" i="149" s="1"/>
  <c r="Y22" i="149"/>
  <c r="Y24" i="149" s="1"/>
  <c r="Y26" i="149" s="1"/>
  <c r="W22" i="149"/>
  <c r="W24" i="149" s="1"/>
  <c r="W26" i="149" s="1"/>
  <c r="U21" i="149"/>
  <c r="S21" i="149"/>
  <c r="Q21" i="149"/>
  <c r="O21" i="149"/>
  <c r="N21" i="149"/>
  <c r="M21" i="149"/>
  <c r="K21" i="149"/>
  <c r="G21" i="149"/>
  <c r="E21" i="149"/>
  <c r="V20" i="149"/>
  <c r="V22" i="149" s="1"/>
  <c r="V24" i="149" s="1"/>
  <c r="V26" i="149" s="1"/>
  <c r="U20" i="149"/>
  <c r="S20" i="149"/>
  <c r="S22" i="149" s="1"/>
  <c r="S24" i="149" s="1"/>
  <c r="S26" i="149" s="1"/>
  <c r="Q20" i="149"/>
  <c r="O20" i="149"/>
  <c r="O22" i="149" s="1"/>
  <c r="O24" i="149" s="1"/>
  <c r="O26" i="149" s="1"/>
  <c r="N20" i="149"/>
  <c r="M20" i="149"/>
  <c r="M22" i="149" s="1"/>
  <c r="M24" i="149" s="1"/>
  <c r="M26" i="149" s="1"/>
  <c r="K20" i="149"/>
  <c r="K22" i="149" s="1"/>
  <c r="K24" i="149" s="1"/>
  <c r="K26" i="149" s="1"/>
  <c r="I20" i="149"/>
  <c r="I22" i="149" s="1"/>
  <c r="I24" i="149" s="1"/>
  <c r="I26" i="149" s="1"/>
  <c r="H20" i="149"/>
  <c r="H22" i="149" s="1"/>
  <c r="H24" i="149" s="1"/>
  <c r="H26" i="149" s="1"/>
  <c r="G20" i="149"/>
  <c r="G22" i="149" s="1"/>
  <c r="E20" i="149"/>
  <c r="E22" i="149" s="1"/>
  <c r="E24" i="149" s="1"/>
  <c r="E26" i="149" s="1"/>
  <c r="Q22" i="149" l="1"/>
  <c r="Q24" i="149" s="1"/>
  <c r="Q26" i="149" s="1"/>
  <c r="G24" i="149"/>
  <c r="G26" i="149" s="1"/>
  <c r="U22" i="149"/>
  <c r="U24" i="149" s="1"/>
  <c r="U26" i="149" s="1"/>
  <c r="AF21" i="148"/>
  <c r="AC21" i="148"/>
  <c r="Z21" i="148"/>
  <c r="Y21" i="148"/>
  <c r="W21" i="148"/>
  <c r="T21" i="148"/>
  <c r="U25" i="148" l="1"/>
  <c r="G25" i="148"/>
  <c r="U23" i="148"/>
  <c r="G23" i="148"/>
  <c r="AG22" i="148"/>
  <c r="AG24" i="148" s="1"/>
  <c r="AG26" i="148" s="1"/>
  <c r="AF22" i="148"/>
  <c r="AE22" i="148"/>
  <c r="AE24" i="148" s="1"/>
  <c r="AE26" i="148" s="1"/>
  <c r="AD22" i="148"/>
  <c r="AD24" i="148" s="1"/>
  <c r="AD26" i="148" s="1"/>
  <c r="AC22" i="148"/>
  <c r="AB22" i="148"/>
  <c r="AB24" i="148" s="1"/>
  <c r="AB26" i="148" s="1"/>
  <c r="AA22" i="148"/>
  <c r="AA24" i="148" s="1"/>
  <c r="AA26" i="148" s="1"/>
  <c r="Z22" i="148"/>
  <c r="Y22" i="148"/>
  <c r="X22" i="148"/>
  <c r="X24" i="148" s="1"/>
  <c r="X26" i="148" s="1"/>
  <c r="W22" i="148"/>
  <c r="T22" i="148"/>
  <c r="R22" i="148"/>
  <c r="R24" i="148" s="1"/>
  <c r="R26" i="148" s="1"/>
  <c r="P22" i="148"/>
  <c r="P24" i="148" s="1"/>
  <c r="P26" i="148" s="1"/>
  <c r="N22" i="148"/>
  <c r="N24" i="148" s="1"/>
  <c r="N26" i="148" s="1"/>
  <c r="L22" i="148"/>
  <c r="L24" i="148" s="1"/>
  <c r="L26" i="148" s="1"/>
  <c r="J22" i="148"/>
  <c r="J24" i="148" s="1"/>
  <c r="J26" i="148" s="1"/>
  <c r="F22" i="148"/>
  <c r="F24" i="148" s="1"/>
  <c r="F26" i="148" s="1"/>
  <c r="D22" i="148"/>
  <c r="D24" i="148" s="1"/>
  <c r="D26" i="148" s="1"/>
  <c r="U21" i="148"/>
  <c r="S21" i="148"/>
  <c r="Q21" i="148"/>
  <c r="O21" i="148"/>
  <c r="N21" i="148"/>
  <c r="M21" i="148"/>
  <c r="K21" i="148"/>
  <c r="G21" i="148"/>
  <c r="E21" i="148"/>
  <c r="V20" i="148"/>
  <c r="V22" i="148" s="1"/>
  <c r="V24" i="148" s="1"/>
  <c r="V26" i="148" s="1"/>
  <c r="U20" i="148"/>
  <c r="S20" i="148"/>
  <c r="Q20" i="148"/>
  <c r="Q22" i="148" s="1"/>
  <c r="Q24" i="148" s="1"/>
  <c r="Q26" i="148" s="1"/>
  <c r="O20" i="148"/>
  <c r="O22" i="148" s="1"/>
  <c r="O24" i="148" s="1"/>
  <c r="O26" i="148" s="1"/>
  <c r="N20" i="148"/>
  <c r="M20" i="148"/>
  <c r="K20" i="148"/>
  <c r="I20" i="148"/>
  <c r="I22" i="148" s="1"/>
  <c r="I24" i="148" s="1"/>
  <c r="I26" i="148" s="1"/>
  <c r="H20" i="148"/>
  <c r="H22" i="148" s="1"/>
  <c r="H24" i="148" s="1"/>
  <c r="H26" i="148" s="1"/>
  <c r="G20" i="148"/>
  <c r="G22" i="148" s="1"/>
  <c r="G24" i="148" s="1"/>
  <c r="E20" i="148"/>
  <c r="E22" i="148" s="1"/>
  <c r="E24" i="148" s="1"/>
  <c r="E26" i="148" s="1"/>
  <c r="S22" i="148" l="1"/>
  <c r="S24" i="148" s="1"/>
  <c r="S26" i="148" s="1"/>
  <c r="K22" i="148"/>
  <c r="K24" i="148" s="1"/>
  <c r="K26" i="148" s="1"/>
  <c r="M22" i="148"/>
  <c r="M24" i="148" s="1"/>
  <c r="M26" i="148" s="1"/>
  <c r="AF24" i="148"/>
  <c r="AF26" i="148" s="1"/>
  <c r="AC24" i="148"/>
  <c r="AC26" i="148" s="1"/>
  <c r="Z24" i="148"/>
  <c r="Z26" i="148" s="1"/>
  <c r="Y24" i="148"/>
  <c r="Y26" i="148" s="1"/>
  <c r="W24" i="148"/>
  <c r="W26" i="148" s="1"/>
  <c r="T24" i="148"/>
  <c r="T26" i="148" s="1"/>
  <c r="G26" i="148"/>
  <c r="U22" i="148"/>
  <c r="U24" i="148" s="1"/>
  <c r="U26" i="148" s="1"/>
  <c r="U25" i="147"/>
  <c r="G25" i="147"/>
  <c r="U23" i="147"/>
  <c r="G23" i="147"/>
  <c r="AG22" i="147"/>
  <c r="AG24" i="147" s="1"/>
  <c r="AG26" i="147" s="1"/>
  <c r="AF22" i="147"/>
  <c r="AF24" i="147" s="1"/>
  <c r="AF26" i="147" s="1"/>
  <c r="AE22" i="147"/>
  <c r="AE24" i="147" s="1"/>
  <c r="AE26" i="147" s="1"/>
  <c r="AD22" i="147"/>
  <c r="AD24" i="147" s="1"/>
  <c r="AD26" i="147" s="1"/>
  <c r="AC22" i="147"/>
  <c r="AC24" i="147" s="1"/>
  <c r="AC26" i="147" s="1"/>
  <c r="AB22" i="147"/>
  <c r="AB24" i="147" s="1"/>
  <c r="AB26" i="147" s="1"/>
  <c r="AA22" i="147"/>
  <c r="AA24" i="147" s="1"/>
  <c r="AA26" i="147" s="1"/>
  <c r="Z22" i="147"/>
  <c r="Z24" i="147" s="1"/>
  <c r="Z26" i="147" s="1"/>
  <c r="Y22" i="147"/>
  <c r="Y24" i="147" s="1"/>
  <c r="Y26" i="147" s="1"/>
  <c r="X22" i="147"/>
  <c r="X24" i="147" s="1"/>
  <c r="X26" i="147" s="1"/>
  <c r="W22" i="147"/>
  <c r="W24" i="147" s="1"/>
  <c r="W26" i="147" s="1"/>
  <c r="T22" i="147"/>
  <c r="T24" i="147" s="1"/>
  <c r="T26" i="147" s="1"/>
  <c r="R22" i="147"/>
  <c r="R24" i="147" s="1"/>
  <c r="R26" i="147" s="1"/>
  <c r="P22" i="147"/>
  <c r="P24" i="147" s="1"/>
  <c r="P26" i="147" s="1"/>
  <c r="N22" i="147"/>
  <c r="N24" i="147" s="1"/>
  <c r="N26" i="147" s="1"/>
  <c r="L22" i="147"/>
  <c r="L24" i="147" s="1"/>
  <c r="L26" i="147" s="1"/>
  <c r="J22" i="147"/>
  <c r="J24" i="147" s="1"/>
  <c r="J26" i="147" s="1"/>
  <c r="F22" i="147"/>
  <c r="F24" i="147" s="1"/>
  <c r="F26" i="147" s="1"/>
  <c r="D22" i="147"/>
  <c r="D24" i="147" s="1"/>
  <c r="D26" i="147" s="1"/>
  <c r="U21" i="147"/>
  <c r="S21" i="147"/>
  <c r="S22" i="147" s="1"/>
  <c r="S24" i="147" s="1"/>
  <c r="S26" i="147" s="1"/>
  <c r="Q21" i="147"/>
  <c r="O21" i="147"/>
  <c r="N21" i="147"/>
  <c r="M21" i="147"/>
  <c r="K21" i="147"/>
  <c r="G21" i="147"/>
  <c r="E21" i="147"/>
  <c r="V20" i="147"/>
  <c r="V22" i="147" s="1"/>
  <c r="V24" i="147" s="1"/>
  <c r="V26" i="147" s="1"/>
  <c r="U20" i="147"/>
  <c r="S20" i="147"/>
  <c r="Q20" i="147"/>
  <c r="Q22" i="147" s="1"/>
  <c r="Q24" i="147" s="1"/>
  <c r="Q26" i="147" s="1"/>
  <c r="O20" i="147"/>
  <c r="O22" i="147" s="1"/>
  <c r="O24" i="147" s="1"/>
  <c r="O26" i="147" s="1"/>
  <c r="N20" i="147"/>
  <c r="M20" i="147"/>
  <c r="K20" i="147"/>
  <c r="I20" i="147"/>
  <c r="I22" i="147" s="1"/>
  <c r="I24" i="147" s="1"/>
  <c r="I26" i="147" s="1"/>
  <c r="H20" i="147"/>
  <c r="H22" i="147" s="1"/>
  <c r="H24" i="147" s="1"/>
  <c r="H26" i="147" s="1"/>
  <c r="G20" i="147"/>
  <c r="E20" i="147"/>
  <c r="G22" i="147" l="1"/>
  <c r="G24" i="147" s="1"/>
  <c r="G26" i="147" s="1"/>
  <c r="K22" i="147"/>
  <c r="K24" i="147" s="1"/>
  <c r="K26" i="147" s="1"/>
  <c r="E22" i="147"/>
  <c r="E24" i="147" s="1"/>
  <c r="E26" i="147" s="1"/>
  <c r="M22" i="147"/>
  <c r="M24" i="147" s="1"/>
  <c r="M26" i="147" s="1"/>
  <c r="U22" i="147"/>
  <c r="U24" i="147" s="1"/>
  <c r="U26" i="147" s="1"/>
  <c r="U25" i="146"/>
  <c r="G25" i="146"/>
  <c r="U23" i="146"/>
  <c r="G23" i="146"/>
  <c r="AG22" i="146"/>
  <c r="AG24" i="146" s="1"/>
  <c r="AG26" i="146" s="1"/>
  <c r="AF22" i="146"/>
  <c r="AF24" i="146" s="1"/>
  <c r="AF26" i="146" s="1"/>
  <c r="AE22" i="146"/>
  <c r="AE24" i="146" s="1"/>
  <c r="AE26" i="146" s="1"/>
  <c r="AD22" i="146"/>
  <c r="AD24" i="146" s="1"/>
  <c r="AD26" i="146" s="1"/>
  <c r="AC22" i="146"/>
  <c r="AC24" i="146" s="1"/>
  <c r="AC26" i="146" s="1"/>
  <c r="AB22" i="146"/>
  <c r="AB24" i="146" s="1"/>
  <c r="AB26" i="146" s="1"/>
  <c r="AA22" i="146"/>
  <c r="AA24" i="146" s="1"/>
  <c r="AA26" i="146" s="1"/>
  <c r="Z22" i="146"/>
  <c r="Z24" i="146" s="1"/>
  <c r="Z26" i="146" s="1"/>
  <c r="Y22" i="146"/>
  <c r="Y24" i="146" s="1"/>
  <c r="Y26" i="146" s="1"/>
  <c r="X22" i="146"/>
  <c r="X24" i="146" s="1"/>
  <c r="X26" i="146" s="1"/>
  <c r="W22" i="146"/>
  <c r="W24" i="146" s="1"/>
  <c r="W26" i="146" s="1"/>
  <c r="T22" i="146"/>
  <c r="T24" i="146" s="1"/>
  <c r="T26" i="146" s="1"/>
  <c r="R22" i="146"/>
  <c r="R24" i="146" s="1"/>
  <c r="R26" i="146" s="1"/>
  <c r="P22" i="146"/>
  <c r="P24" i="146" s="1"/>
  <c r="P26" i="146" s="1"/>
  <c r="N22" i="146"/>
  <c r="N24" i="146" s="1"/>
  <c r="N26" i="146" s="1"/>
  <c r="L22" i="146"/>
  <c r="L24" i="146" s="1"/>
  <c r="L26" i="146" s="1"/>
  <c r="J22" i="146"/>
  <c r="J24" i="146" s="1"/>
  <c r="J26" i="146" s="1"/>
  <c r="F22" i="146"/>
  <c r="F24" i="146" s="1"/>
  <c r="F26" i="146" s="1"/>
  <c r="D22" i="146"/>
  <c r="D24" i="146" s="1"/>
  <c r="D26" i="146" s="1"/>
  <c r="U21" i="146"/>
  <c r="S21" i="146"/>
  <c r="Q21" i="146"/>
  <c r="O21" i="146"/>
  <c r="N21" i="146"/>
  <c r="M21" i="146"/>
  <c r="K21" i="146"/>
  <c r="G21" i="146"/>
  <c r="E21" i="146"/>
  <c r="V20" i="146"/>
  <c r="V22" i="146" s="1"/>
  <c r="V24" i="146" s="1"/>
  <c r="V26" i="146" s="1"/>
  <c r="U20" i="146"/>
  <c r="S20" i="146"/>
  <c r="Q20" i="146"/>
  <c r="O20" i="146"/>
  <c r="O22" i="146" s="1"/>
  <c r="O24" i="146" s="1"/>
  <c r="O26" i="146" s="1"/>
  <c r="N20" i="146"/>
  <c r="M20" i="146"/>
  <c r="K20" i="146"/>
  <c r="I20" i="146"/>
  <c r="I22" i="146" s="1"/>
  <c r="I24" i="146" s="1"/>
  <c r="I26" i="146" s="1"/>
  <c r="H20" i="146"/>
  <c r="H22" i="146" s="1"/>
  <c r="H24" i="146" s="1"/>
  <c r="H26" i="146" s="1"/>
  <c r="G20" i="146"/>
  <c r="G22" i="146" s="1"/>
  <c r="E20" i="146"/>
  <c r="E22" i="146" s="1"/>
  <c r="E24" i="146" s="1"/>
  <c r="E26" i="146" s="1"/>
  <c r="Q22" i="146" l="1"/>
  <c r="Q24" i="146" s="1"/>
  <c r="Q26" i="146" s="1"/>
  <c r="K22" i="146"/>
  <c r="K24" i="146" s="1"/>
  <c r="K26" i="146" s="1"/>
  <c r="M22" i="146"/>
  <c r="M24" i="146" s="1"/>
  <c r="M26" i="146" s="1"/>
  <c r="S22" i="146"/>
  <c r="S24" i="146" s="1"/>
  <c r="S26" i="146" s="1"/>
  <c r="G24" i="146"/>
  <c r="G26" i="146"/>
  <c r="U22" i="146"/>
  <c r="U24" i="146" s="1"/>
  <c r="U26" i="146" s="1"/>
  <c r="U25" i="145"/>
  <c r="G25" i="145"/>
  <c r="U23" i="145"/>
  <c r="G23" i="145"/>
  <c r="AG22" i="145"/>
  <c r="AG24" i="145" s="1"/>
  <c r="AG26" i="145" s="1"/>
  <c r="AF22" i="145"/>
  <c r="AF24" i="145" s="1"/>
  <c r="AF26" i="145" s="1"/>
  <c r="AE22" i="145"/>
  <c r="AE24" i="145" s="1"/>
  <c r="AE26" i="145" s="1"/>
  <c r="AD22" i="145"/>
  <c r="AD24" i="145" s="1"/>
  <c r="AD26" i="145" s="1"/>
  <c r="AC22" i="145"/>
  <c r="AC24" i="145" s="1"/>
  <c r="AC26" i="145" s="1"/>
  <c r="AB22" i="145"/>
  <c r="AB24" i="145" s="1"/>
  <c r="AB26" i="145" s="1"/>
  <c r="AA22" i="145"/>
  <c r="AA24" i="145" s="1"/>
  <c r="AA26" i="145" s="1"/>
  <c r="Z22" i="145"/>
  <c r="Z24" i="145" s="1"/>
  <c r="Z26" i="145" s="1"/>
  <c r="Y22" i="145"/>
  <c r="Y24" i="145" s="1"/>
  <c r="Y26" i="145" s="1"/>
  <c r="W22" i="145"/>
  <c r="W24" i="145" s="1"/>
  <c r="W26" i="145" s="1"/>
  <c r="V22" i="145"/>
  <c r="V24" i="145" s="1"/>
  <c r="V26" i="145" s="1"/>
  <c r="T22" i="145"/>
  <c r="T24" i="145" s="1"/>
  <c r="T26" i="145" s="1"/>
  <c r="R22" i="145"/>
  <c r="R24" i="145" s="1"/>
  <c r="R26" i="145" s="1"/>
  <c r="P22" i="145"/>
  <c r="P24" i="145" s="1"/>
  <c r="P26" i="145" s="1"/>
  <c r="L22" i="145"/>
  <c r="L24" i="145" s="1"/>
  <c r="L26" i="145" s="1"/>
  <c r="J22" i="145"/>
  <c r="J24" i="145" s="1"/>
  <c r="J26" i="145" s="1"/>
  <c r="F22" i="145"/>
  <c r="F24" i="145" s="1"/>
  <c r="F26" i="145" s="1"/>
  <c r="D22" i="145"/>
  <c r="D24" i="145" s="1"/>
  <c r="D26" i="145" s="1"/>
  <c r="U21" i="145"/>
  <c r="S21" i="145"/>
  <c r="Q21" i="145"/>
  <c r="O21" i="145"/>
  <c r="N21" i="145"/>
  <c r="M21" i="145"/>
  <c r="K21" i="145"/>
  <c r="G21" i="145"/>
  <c r="E21" i="145"/>
  <c r="X22" i="145"/>
  <c r="X24" i="145" s="1"/>
  <c r="X26" i="145" s="1"/>
  <c r="V20" i="145"/>
  <c r="U20" i="145"/>
  <c r="S20" i="145"/>
  <c r="S22" i="145" s="1"/>
  <c r="S24" i="145" s="1"/>
  <c r="S26" i="145" s="1"/>
  <c r="Q20" i="145"/>
  <c r="O20" i="145"/>
  <c r="O22" i="145" s="1"/>
  <c r="O24" i="145" s="1"/>
  <c r="O26" i="145" s="1"/>
  <c r="N20" i="145"/>
  <c r="N22" i="145" s="1"/>
  <c r="N24" i="145" s="1"/>
  <c r="N26" i="145" s="1"/>
  <c r="M20" i="145"/>
  <c r="K20" i="145"/>
  <c r="K22" i="145" s="1"/>
  <c r="K24" i="145" s="1"/>
  <c r="K26" i="145" s="1"/>
  <c r="I20" i="145"/>
  <c r="I22" i="145" s="1"/>
  <c r="I24" i="145" s="1"/>
  <c r="I26" i="145" s="1"/>
  <c r="H20" i="145"/>
  <c r="H22" i="145" s="1"/>
  <c r="H24" i="145" s="1"/>
  <c r="H26" i="145" s="1"/>
  <c r="G20" i="145"/>
  <c r="E20" i="145"/>
  <c r="E22" i="145" s="1"/>
  <c r="E24" i="145" s="1"/>
  <c r="E26" i="145" s="1"/>
  <c r="M22" i="145" l="1"/>
  <c r="M24" i="145" s="1"/>
  <c r="M26" i="145" s="1"/>
  <c r="Q22" i="145"/>
  <c r="Q24" i="145" s="1"/>
  <c r="Q26" i="145" s="1"/>
  <c r="G22" i="145"/>
  <c r="G24" i="145" s="1"/>
  <c r="G26" i="145" s="1"/>
  <c r="U22" i="145"/>
  <c r="U24" i="145" s="1"/>
  <c r="U26" i="145" s="1"/>
  <c r="U25" i="144"/>
  <c r="G25" i="144"/>
  <c r="U23" i="144"/>
  <c r="G23" i="144"/>
  <c r="AG22" i="144"/>
  <c r="AG24" i="144" s="1"/>
  <c r="AG26" i="144" s="1"/>
  <c r="AF22" i="144"/>
  <c r="AF24" i="144" s="1"/>
  <c r="AF26" i="144" s="1"/>
  <c r="AE22" i="144"/>
  <c r="AE24" i="144" s="1"/>
  <c r="AE26" i="144" s="1"/>
  <c r="AD22" i="144"/>
  <c r="AD24" i="144" s="1"/>
  <c r="AD26" i="144" s="1"/>
  <c r="AC22" i="144"/>
  <c r="AC24" i="144" s="1"/>
  <c r="AC26" i="144" s="1"/>
  <c r="AB22" i="144"/>
  <c r="AB24" i="144" s="1"/>
  <c r="AB26" i="144" s="1"/>
  <c r="AA22" i="144"/>
  <c r="AA24" i="144" s="1"/>
  <c r="AA26" i="144" s="1"/>
  <c r="Z22" i="144"/>
  <c r="Z24" i="144" s="1"/>
  <c r="Z26" i="144" s="1"/>
  <c r="Y22" i="144"/>
  <c r="Y24" i="144" s="1"/>
  <c r="Y26" i="144" s="1"/>
  <c r="X22" i="144"/>
  <c r="X24" i="144" s="1"/>
  <c r="X26" i="144" s="1"/>
  <c r="W22" i="144"/>
  <c r="W24" i="144" s="1"/>
  <c r="W26" i="144" s="1"/>
  <c r="T22" i="144"/>
  <c r="T24" i="144" s="1"/>
  <c r="T26" i="144" s="1"/>
  <c r="R22" i="144"/>
  <c r="R24" i="144" s="1"/>
  <c r="R26" i="144" s="1"/>
  <c r="P22" i="144"/>
  <c r="P24" i="144" s="1"/>
  <c r="P26" i="144" s="1"/>
  <c r="M22" i="144"/>
  <c r="M24" i="144" s="1"/>
  <c r="M26" i="144" s="1"/>
  <c r="L22" i="144"/>
  <c r="L24" i="144" s="1"/>
  <c r="L26" i="144" s="1"/>
  <c r="J22" i="144"/>
  <c r="J24" i="144" s="1"/>
  <c r="J26" i="144" s="1"/>
  <c r="F22" i="144"/>
  <c r="F24" i="144" s="1"/>
  <c r="F26" i="144" s="1"/>
  <c r="D22" i="144"/>
  <c r="D24" i="144" s="1"/>
  <c r="D26" i="144" s="1"/>
  <c r="U21" i="144"/>
  <c r="S21" i="144"/>
  <c r="Q21" i="144"/>
  <c r="Q22" i="144" s="1"/>
  <c r="Q24" i="144" s="1"/>
  <c r="Q26" i="144" s="1"/>
  <c r="O21" i="144"/>
  <c r="N21" i="144"/>
  <c r="M21" i="144"/>
  <c r="K21" i="144"/>
  <c r="G21" i="144"/>
  <c r="E21" i="144"/>
  <c r="E22" i="144" s="1"/>
  <c r="E24" i="144" s="1"/>
  <c r="E26" i="144" s="1"/>
  <c r="X20" i="144"/>
  <c r="V20" i="144"/>
  <c r="V22" i="144" s="1"/>
  <c r="V24" i="144" s="1"/>
  <c r="V26" i="144" s="1"/>
  <c r="U20" i="144"/>
  <c r="S20" i="144"/>
  <c r="Q20" i="144"/>
  <c r="O20" i="144"/>
  <c r="O22" i="144" s="1"/>
  <c r="O24" i="144" s="1"/>
  <c r="O26" i="144" s="1"/>
  <c r="N20" i="144"/>
  <c r="N22" i="144" s="1"/>
  <c r="N24" i="144" s="1"/>
  <c r="N26" i="144" s="1"/>
  <c r="M20" i="144"/>
  <c r="K20" i="144"/>
  <c r="I20" i="144"/>
  <c r="I22" i="144" s="1"/>
  <c r="I24" i="144" s="1"/>
  <c r="I26" i="144" s="1"/>
  <c r="H20" i="144"/>
  <c r="H22" i="144" s="1"/>
  <c r="H24" i="144" s="1"/>
  <c r="H26" i="144" s="1"/>
  <c r="G20" i="144"/>
  <c r="E20" i="144"/>
  <c r="S22" i="144" l="1"/>
  <c r="S24" i="144" s="1"/>
  <c r="S26" i="144" s="1"/>
  <c r="K22" i="144"/>
  <c r="K24" i="144" s="1"/>
  <c r="K26" i="144" s="1"/>
  <c r="U22" i="144"/>
  <c r="G22" i="144"/>
  <c r="G24" i="144" s="1"/>
  <c r="U24" i="144"/>
  <c r="G26" i="144"/>
  <c r="U26" i="144"/>
  <c r="U25" i="143"/>
  <c r="G25" i="143" l="1"/>
  <c r="U23" i="143"/>
  <c r="G23" i="143"/>
  <c r="AG22" i="143"/>
  <c r="AG24" i="143" s="1"/>
  <c r="AG26" i="143" s="1"/>
  <c r="AF22" i="143"/>
  <c r="AF24" i="143" s="1"/>
  <c r="AF26" i="143" s="1"/>
  <c r="AE22" i="143"/>
  <c r="AE24" i="143" s="1"/>
  <c r="AE26" i="143" s="1"/>
  <c r="AD22" i="143"/>
  <c r="AD24" i="143" s="1"/>
  <c r="AD26" i="143" s="1"/>
  <c r="AC22" i="143"/>
  <c r="AC24" i="143" s="1"/>
  <c r="AC26" i="143" s="1"/>
  <c r="AB22" i="143"/>
  <c r="AB24" i="143" s="1"/>
  <c r="AB26" i="143" s="1"/>
  <c r="AA22" i="143"/>
  <c r="AA24" i="143" s="1"/>
  <c r="AA26" i="143" s="1"/>
  <c r="Z22" i="143"/>
  <c r="Z24" i="143" s="1"/>
  <c r="Z26" i="143" s="1"/>
  <c r="Y22" i="143"/>
  <c r="Y24" i="143" s="1"/>
  <c r="Y26" i="143" s="1"/>
  <c r="W22" i="143"/>
  <c r="W24" i="143" s="1"/>
  <c r="W26" i="143" s="1"/>
  <c r="T22" i="143"/>
  <c r="T24" i="143" s="1"/>
  <c r="T26" i="143" s="1"/>
  <c r="R22" i="143"/>
  <c r="R24" i="143" s="1"/>
  <c r="R26" i="143" s="1"/>
  <c r="P22" i="143"/>
  <c r="P24" i="143" s="1"/>
  <c r="P26" i="143" s="1"/>
  <c r="L22" i="143"/>
  <c r="L24" i="143" s="1"/>
  <c r="L26" i="143" s="1"/>
  <c r="J22" i="143"/>
  <c r="J24" i="143" s="1"/>
  <c r="J26" i="143" s="1"/>
  <c r="F22" i="143"/>
  <c r="F24" i="143" s="1"/>
  <c r="F26" i="143" s="1"/>
  <c r="D22" i="143"/>
  <c r="D24" i="143" s="1"/>
  <c r="D26" i="143" s="1"/>
  <c r="U21" i="143"/>
  <c r="S21" i="143"/>
  <c r="Q21" i="143"/>
  <c r="O21" i="143"/>
  <c r="N21" i="143"/>
  <c r="M21" i="143"/>
  <c r="K21" i="143"/>
  <c r="G21" i="143"/>
  <c r="E21" i="143"/>
  <c r="X20" i="143"/>
  <c r="X22" i="143" s="1"/>
  <c r="X24" i="143" s="1"/>
  <c r="X26" i="143" s="1"/>
  <c r="V20" i="143"/>
  <c r="V22" i="143" s="1"/>
  <c r="V24" i="143" s="1"/>
  <c r="V26" i="143" s="1"/>
  <c r="U20" i="143"/>
  <c r="S20" i="143"/>
  <c r="Q20" i="143"/>
  <c r="O20" i="143"/>
  <c r="O22" i="143" s="1"/>
  <c r="O24" i="143" s="1"/>
  <c r="O26" i="143" s="1"/>
  <c r="N20" i="143"/>
  <c r="N22" i="143" s="1"/>
  <c r="N24" i="143" s="1"/>
  <c r="N26" i="143" s="1"/>
  <c r="M20" i="143"/>
  <c r="K20" i="143"/>
  <c r="I20" i="143"/>
  <c r="I22" i="143" s="1"/>
  <c r="I24" i="143" s="1"/>
  <c r="I26" i="143" s="1"/>
  <c r="H20" i="143"/>
  <c r="H22" i="143" s="1"/>
  <c r="H24" i="143" s="1"/>
  <c r="H26" i="143" s="1"/>
  <c r="G20" i="143"/>
  <c r="E20" i="143"/>
  <c r="G22" i="143" l="1"/>
  <c r="G24" i="143" s="1"/>
  <c r="G26" i="143" s="1"/>
  <c r="S22" i="143"/>
  <c r="S24" i="143" s="1"/>
  <c r="S26" i="143" s="1"/>
  <c r="U22" i="143"/>
  <c r="U24" i="143" s="1"/>
  <c r="U26" i="143" s="1"/>
  <c r="E22" i="143"/>
  <c r="E24" i="143" s="1"/>
  <c r="E26" i="143" s="1"/>
  <c r="K22" i="143"/>
  <c r="K24" i="143" s="1"/>
  <c r="K26" i="143" s="1"/>
  <c r="Q22" i="143"/>
  <c r="Q24" i="143" s="1"/>
  <c r="Q26" i="143" s="1"/>
  <c r="M22" i="143"/>
  <c r="M24" i="143" s="1"/>
  <c r="M26" i="143" s="1"/>
  <c r="U26" i="142" l="1"/>
  <c r="G26" i="142"/>
  <c r="W25" i="142"/>
  <c r="U23" i="142"/>
  <c r="G23" i="142"/>
  <c r="AG22" i="142"/>
  <c r="AG24" i="142" s="1"/>
  <c r="AG27" i="142" s="1"/>
  <c r="AF22" i="142"/>
  <c r="AF24" i="142" s="1"/>
  <c r="AF27" i="142" s="1"/>
  <c r="AE22" i="142"/>
  <c r="AE24" i="142" s="1"/>
  <c r="AE27" i="142" s="1"/>
  <c r="AD22" i="142"/>
  <c r="AD24" i="142" s="1"/>
  <c r="AD27" i="142" s="1"/>
  <c r="AC22" i="142"/>
  <c r="AC24" i="142" s="1"/>
  <c r="AC27" i="142" s="1"/>
  <c r="AB22" i="142"/>
  <c r="AB24" i="142" s="1"/>
  <c r="AB27" i="142" s="1"/>
  <c r="AA22" i="142"/>
  <c r="AA24" i="142" s="1"/>
  <c r="AA27" i="142" s="1"/>
  <c r="Z22" i="142"/>
  <c r="Z24" i="142" s="1"/>
  <c r="Z27" i="142" s="1"/>
  <c r="Y22" i="142"/>
  <c r="Y24" i="142" s="1"/>
  <c r="Y27" i="142" s="1"/>
  <c r="W22" i="142"/>
  <c r="W24" i="142" s="1"/>
  <c r="W27" i="142" s="1"/>
  <c r="T22" i="142"/>
  <c r="T24" i="142" s="1"/>
  <c r="T27" i="142" s="1"/>
  <c r="R22" i="142"/>
  <c r="R24" i="142" s="1"/>
  <c r="R27" i="142" s="1"/>
  <c r="P22" i="142"/>
  <c r="P24" i="142" s="1"/>
  <c r="P27" i="142" s="1"/>
  <c r="O22" i="142"/>
  <c r="O24" i="142" s="1"/>
  <c r="O27" i="142" s="1"/>
  <c r="L22" i="142"/>
  <c r="L24" i="142" s="1"/>
  <c r="L27" i="142" s="1"/>
  <c r="K22" i="142"/>
  <c r="K24" i="142" s="1"/>
  <c r="K27" i="142" s="1"/>
  <c r="J22" i="142"/>
  <c r="J24" i="142" s="1"/>
  <c r="J27" i="142" s="1"/>
  <c r="F22" i="142"/>
  <c r="F24" i="142" s="1"/>
  <c r="F27" i="142" s="1"/>
  <c r="D22" i="142"/>
  <c r="D24" i="142" s="1"/>
  <c r="D27" i="142" s="1"/>
  <c r="U21" i="142"/>
  <c r="S21" i="142"/>
  <c r="Q21" i="142"/>
  <c r="O21" i="142"/>
  <c r="N21" i="142"/>
  <c r="M21" i="142"/>
  <c r="K21" i="142"/>
  <c r="G21" i="142"/>
  <c r="E21" i="142"/>
  <c r="X20" i="142"/>
  <c r="X22" i="142" s="1"/>
  <c r="X24" i="142" s="1"/>
  <c r="X27" i="142" s="1"/>
  <c r="V20" i="142"/>
  <c r="V22" i="142" s="1"/>
  <c r="V24" i="142" s="1"/>
  <c r="V27" i="142" s="1"/>
  <c r="U20" i="142"/>
  <c r="S20" i="142"/>
  <c r="S22" i="142" s="1"/>
  <c r="S24" i="142" s="1"/>
  <c r="S27" i="142" s="1"/>
  <c r="Q20" i="142"/>
  <c r="O20" i="142"/>
  <c r="N20" i="142"/>
  <c r="N22" i="142" s="1"/>
  <c r="N24" i="142" s="1"/>
  <c r="N27" i="142" s="1"/>
  <c r="M20" i="142"/>
  <c r="K20" i="142"/>
  <c r="I20" i="142"/>
  <c r="I22" i="142" s="1"/>
  <c r="I24" i="142" s="1"/>
  <c r="I27" i="142" s="1"/>
  <c r="H20" i="142"/>
  <c r="H22" i="142" s="1"/>
  <c r="H24" i="142" s="1"/>
  <c r="H27" i="142" s="1"/>
  <c r="G20" i="142"/>
  <c r="E20" i="142"/>
  <c r="E22" i="142" s="1"/>
  <c r="E24" i="142" s="1"/>
  <c r="E27" i="142" s="1"/>
  <c r="Q22" i="142" l="1"/>
  <c r="Q24" i="142" s="1"/>
  <c r="Q27" i="142" s="1"/>
  <c r="M22" i="142"/>
  <c r="M24" i="142" s="1"/>
  <c r="M27" i="142" s="1"/>
  <c r="G22" i="142"/>
  <c r="G24" i="142" s="1"/>
  <c r="G27" i="142" s="1"/>
  <c r="U22" i="142"/>
  <c r="U24" i="142" s="1"/>
  <c r="U27" i="142" s="1"/>
  <c r="W25" i="141" l="1"/>
  <c r="U26" i="141" l="1"/>
  <c r="G26" i="141"/>
  <c r="U23" i="141"/>
  <c r="G23" i="141"/>
  <c r="AG22" i="141"/>
  <c r="AG24" i="141" s="1"/>
  <c r="AG27" i="141" s="1"/>
  <c r="AF22" i="141"/>
  <c r="AF24" i="141" s="1"/>
  <c r="AF27" i="141" s="1"/>
  <c r="AE22" i="141"/>
  <c r="AE24" i="141" s="1"/>
  <c r="AE27" i="141" s="1"/>
  <c r="AD22" i="141"/>
  <c r="AD24" i="141" s="1"/>
  <c r="AD27" i="141" s="1"/>
  <c r="AC22" i="141"/>
  <c r="AC24" i="141" s="1"/>
  <c r="AC27" i="141" s="1"/>
  <c r="AB22" i="141"/>
  <c r="AB24" i="141" s="1"/>
  <c r="AB27" i="141" s="1"/>
  <c r="AA22" i="141"/>
  <c r="AA24" i="141" s="1"/>
  <c r="AA27" i="141" s="1"/>
  <c r="Z22" i="141"/>
  <c r="Z24" i="141" s="1"/>
  <c r="Z27" i="141" s="1"/>
  <c r="Y22" i="141"/>
  <c r="Y24" i="141" s="1"/>
  <c r="Y27" i="141" s="1"/>
  <c r="W22" i="141"/>
  <c r="W24" i="141" s="1"/>
  <c r="W27" i="141" s="1"/>
  <c r="T22" i="141"/>
  <c r="T24" i="141" s="1"/>
  <c r="T27" i="141" s="1"/>
  <c r="R22" i="141"/>
  <c r="R24" i="141" s="1"/>
  <c r="R27" i="141" s="1"/>
  <c r="P22" i="141"/>
  <c r="P24" i="141" s="1"/>
  <c r="P27" i="141" s="1"/>
  <c r="N22" i="141"/>
  <c r="N24" i="141" s="1"/>
  <c r="N27" i="141" s="1"/>
  <c r="L22" i="141"/>
  <c r="L24" i="141" s="1"/>
  <c r="L27" i="141" s="1"/>
  <c r="J22" i="141"/>
  <c r="J24" i="141" s="1"/>
  <c r="J27" i="141" s="1"/>
  <c r="F22" i="141"/>
  <c r="F24" i="141" s="1"/>
  <c r="F27" i="141" s="1"/>
  <c r="D22" i="141"/>
  <c r="D24" i="141" s="1"/>
  <c r="D27" i="141" s="1"/>
  <c r="U21" i="141"/>
  <c r="S21" i="141"/>
  <c r="Q21" i="141"/>
  <c r="O21" i="141"/>
  <c r="N21" i="141"/>
  <c r="M21" i="141"/>
  <c r="K21" i="141"/>
  <c r="G21" i="141"/>
  <c r="E21" i="141"/>
  <c r="X20" i="141"/>
  <c r="X22" i="141" s="1"/>
  <c r="X24" i="141" s="1"/>
  <c r="X27" i="141" s="1"/>
  <c r="V20" i="141"/>
  <c r="V22" i="141" s="1"/>
  <c r="V24" i="141" s="1"/>
  <c r="V27" i="141" s="1"/>
  <c r="U20" i="141"/>
  <c r="S20" i="141"/>
  <c r="S22" i="141" s="1"/>
  <c r="S24" i="141" s="1"/>
  <c r="S27" i="141" s="1"/>
  <c r="Q20" i="141"/>
  <c r="Q22" i="141" s="1"/>
  <c r="Q24" i="141" s="1"/>
  <c r="Q27" i="141" s="1"/>
  <c r="O20" i="141"/>
  <c r="O22" i="141" s="1"/>
  <c r="O24" i="141" s="1"/>
  <c r="O27" i="141" s="1"/>
  <c r="N20" i="141"/>
  <c r="M20" i="141"/>
  <c r="K20" i="141"/>
  <c r="I20" i="141"/>
  <c r="I22" i="141" s="1"/>
  <c r="I24" i="141" s="1"/>
  <c r="I27" i="141" s="1"/>
  <c r="H20" i="141"/>
  <c r="H22" i="141" s="1"/>
  <c r="H24" i="141" s="1"/>
  <c r="H27" i="141" s="1"/>
  <c r="G20" i="141"/>
  <c r="G22" i="141" s="1"/>
  <c r="G24" i="141" s="1"/>
  <c r="G27" i="141" s="1"/>
  <c r="E20" i="141"/>
  <c r="E22" i="141" s="1"/>
  <c r="E24" i="141" s="1"/>
  <c r="E27" i="141" s="1"/>
  <c r="K22" i="141" l="1"/>
  <c r="K24" i="141" s="1"/>
  <c r="K27" i="141" s="1"/>
  <c r="M22" i="141"/>
  <c r="M24" i="141" s="1"/>
  <c r="M27" i="141" s="1"/>
  <c r="U22" i="141"/>
  <c r="U24" i="141" s="1"/>
  <c r="U27" i="141" s="1"/>
  <c r="U25" i="140" l="1"/>
  <c r="G25" i="140"/>
  <c r="U23" i="140"/>
  <c r="G23" i="140"/>
  <c r="AG22" i="140"/>
  <c r="AG24" i="140" s="1"/>
  <c r="AG26" i="140" s="1"/>
  <c r="AF22" i="140"/>
  <c r="AF24" i="140" s="1"/>
  <c r="AF26" i="140" s="1"/>
  <c r="AE22" i="140"/>
  <c r="AE24" i="140" s="1"/>
  <c r="AE26" i="140" s="1"/>
  <c r="AD22" i="140"/>
  <c r="AD24" i="140" s="1"/>
  <c r="AD26" i="140" s="1"/>
  <c r="AC22" i="140"/>
  <c r="AC24" i="140" s="1"/>
  <c r="AC26" i="140" s="1"/>
  <c r="AB22" i="140"/>
  <c r="AB24" i="140" s="1"/>
  <c r="AB26" i="140" s="1"/>
  <c r="AA22" i="140"/>
  <c r="AA24" i="140" s="1"/>
  <c r="AA26" i="140" s="1"/>
  <c r="Z22" i="140"/>
  <c r="Z24" i="140" s="1"/>
  <c r="Z26" i="140" s="1"/>
  <c r="Y22" i="140"/>
  <c r="Y24" i="140" s="1"/>
  <c r="Y26" i="140" s="1"/>
  <c r="W22" i="140"/>
  <c r="W24" i="140" s="1"/>
  <c r="W26" i="140" s="1"/>
  <c r="T22" i="140"/>
  <c r="T24" i="140" s="1"/>
  <c r="T26" i="140" s="1"/>
  <c r="R22" i="140"/>
  <c r="R24" i="140" s="1"/>
  <c r="R26" i="140" s="1"/>
  <c r="P22" i="140"/>
  <c r="P24" i="140" s="1"/>
  <c r="P26" i="140" s="1"/>
  <c r="L22" i="140"/>
  <c r="L24" i="140" s="1"/>
  <c r="L26" i="140" s="1"/>
  <c r="J22" i="140"/>
  <c r="J24" i="140" s="1"/>
  <c r="J26" i="140" s="1"/>
  <c r="F22" i="140"/>
  <c r="F24" i="140" s="1"/>
  <c r="F26" i="140" s="1"/>
  <c r="D22" i="140"/>
  <c r="D24" i="140" s="1"/>
  <c r="D26" i="140" s="1"/>
  <c r="U21" i="140"/>
  <c r="S21" i="140"/>
  <c r="Q21" i="140"/>
  <c r="O21" i="140"/>
  <c r="N21" i="140"/>
  <c r="M21" i="140"/>
  <c r="K21" i="140"/>
  <c r="G21" i="140"/>
  <c r="E21" i="140"/>
  <c r="X20" i="140"/>
  <c r="X22" i="140" s="1"/>
  <c r="X24" i="140" s="1"/>
  <c r="X26" i="140" s="1"/>
  <c r="V20" i="140"/>
  <c r="V22" i="140" s="1"/>
  <c r="V24" i="140" s="1"/>
  <c r="V26" i="140" s="1"/>
  <c r="U20" i="140"/>
  <c r="S20" i="140"/>
  <c r="Q20" i="140"/>
  <c r="O20" i="140"/>
  <c r="O22" i="140" s="1"/>
  <c r="O24" i="140" s="1"/>
  <c r="O26" i="140" s="1"/>
  <c r="N20" i="140"/>
  <c r="N22" i="140" s="1"/>
  <c r="N24" i="140" s="1"/>
  <c r="N26" i="140" s="1"/>
  <c r="M20" i="140"/>
  <c r="M22" i="140" s="1"/>
  <c r="M24" i="140" s="1"/>
  <c r="M26" i="140" s="1"/>
  <c r="K20" i="140"/>
  <c r="I20" i="140"/>
  <c r="I22" i="140" s="1"/>
  <c r="I24" i="140" s="1"/>
  <c r="I26" i="140" s="1"/>
  <c r="H20" i="140"/>
  <c r="H22" i="140" s="1"/>
  <c r="H24" i="140" s="1"/>
  <c r="H26" i="140" s="1"/>
  <c r="G20" i="140"/>
  <c r="G22" i="140" s="1"/>
  <c r="E20" i="140"/>
  <c r="E22" i="140" s="1"/>
  <c r="E24" i="140" s="1"/>
  <c r="E26" i="140" s="1"/>
  <c r="S22" i="140" l="1"/>
  <c r="S24" i="140" s="1"/>
  <c r="S26" i="140" s="1"/>
  <c r="Q22" i="140"/>
  <c r="Q24" i="140" s="1"/>
  <c r="Q26" i="140" s="1"/>
  <c r="K22" i="140"/>
  <c r="K24" i="140" s="1"/>
  <c r="K26" i="140" s="1"/>
  <c r="U22" i="140"/>
  <c r="U24" i="140" s="1"/>
  <c r="U26" i="140" s="1"/>
  <c r="G24" i="140"/>
  <c r="G26" i="140" s="1"/>
  <c r="G25" i="139"/>
  <c r="G21" i="139"/>
  <c r="G23" i="139" l="1"/>
  <c r="U25" i="139" l="1"/>
  <c r="AG24" i="139"/>
  <c r="AG26" i="139" s="1"/>
  <c r="AB24" i="139"/>
  <c r="AB26" i="139" s="1"/>
  <c r="P24" i="139"/>
  <c r="P26" i="139" s="1"/>
  <c r="L24" i="139"/>
  <c r="L26" i="139" s="1"/>
  <c r="H24" i="139"/>
  <c r="H26" i="139" s="1"/>
  <c r="D24" i="139"/>
  <c r="D26" i="139" s="1"/>
  <c r="U23" i="139"/>
  <c r="AG22" i="139"/>
  <c r="AF22" i="139"/>
  <c r="AF24" i="139" s="1"/>
  <c r="AF26" i="139" s="1"/>
  <c r="AE22" i="139"/>
  <c r="AE24" i="139" s="1"/>
  <c r="AE26" i="139" s="1"/>
  <c r="AD22" i="139"/>
  <c r="AD24" i="139" s="1"/>
  <c r="AD26" i="139" s="1"/>
  <c r="AC22" i="139"/>
  <c r="AC24" i="139" s="1"/>
  <c r="AC26" i="139" s="1"/>
  <c r="AB22" i="139"/>
  <c r="AA22" i="139"/>
  <c r="AA24" i="139" s="1"/>
  <c r="AA26" i="139" s="1"/>
  <c r="Z22" i="139"/>
  <c r="Z24" i="139" s="1"/>
  <c r="Z26" i="139" s="1"/>
  <c r="Y22" i="139"/>
  <c r="Y24" i="139" s="1"/>
  <c r="Y26" i="139" s="1"/>
  <c r="W22" i="139"/>
  <c r="W24" i="139" s="1"/>
  <c r="W26" i="139" s="1"/>
  <c r="T22" i="139"/>
  <c r="T24" i="139" s="1"/>
  <c r="T26" i="139" s="1"/>
  <c r="R22" i="139"/>
  <c r="R24" i="139" s="1"/>
  <c r="R26" i="139" s="1"/>
  <c r="P22" i="139"/>
  <c r="L22" i="139"/>
  <c r="J22" i="139"/>
  <c r="J24" i="139" s="1"/>
  <c r="J26" i="139" s="1"/>
  <c r="H22" i="139"/>
  <c r="G22" i="139"/>
  <c r="G24" i="139" s="1"/>
  <c r="G26" i="139" s="1"/>
  <c r="F22" i="139"/>
  <c r="F24" i="139" s="1"/>
  <c r="F26" i="139" s="1"/>
  <c r="D22" i="139"/>
  <c r="U21" i="139"/>
  <c r="S21" i="139"/>
  <c r="S22" i="139" s="1"/>
  <c r="S24" i="139" s="1"/>
  <c r="S26" i="139" s="1"/>
  <c r="Q21" i="139"/>
  <c r="O21" i="139"/>
  <c r="N21" i="139"/>
  <c r="M21" i="139"/>
  <c r="K21" i="139"/>
  <c r="E21" i="139"/>
  <c r="X20" i="139"/>
  <c r="X22" i="139" s="1"/>
  <c r="X24" i="139" s="1"/>
  <c r="X26" i="139" s="1"/>
  <c r="V20" i="139"/>
  <c r="V22" i="139" s="1"/>
  <c r="V24" i="139" s="1"/>
  <c r="V26" i="139" s="1"/>
  <c r="U20" i="139"/>
  <c r="S20" i="139"/>
  <c r="Q20" i="139"/>
  <c r="O20" i="139"/>
  <c r="O22" i="139" s="1"/>
  <c r="O24" i="139" s="1"/>
  <c r="O26" i="139" s="1"/>
  <c r="N20" i="139"/>
  <c r="N22" i="139" s="1"/>
  <c r="N24" i="139" s="1"/>
  <c r="N26" i="139" s="1"/>
  <c r="M20" i="139"/>
  <c r="M22" i="139" s="1"/>
  <c r="M24" i="139" s="1"/>
  <c r="M26" i="139" s="1"/>
  <c r="K20" i="139"/>
  <c r="I20" i="139"/>
  <c r="I22" i="139" s="1"/>
  <c r="I24" i="139" s="1"/>
  <c r="I26" i="139" s="1"/>
  <c r="H20" i="139"/>
  <c r="G20" i="139"/>
  <c r="E20" i="139"/>
  <c r="E22" i="139" s="1"/>
  <c r="E24" i="139" s="1"/>
  <c r="E26" i="139" s="1"/>
  <c r="Q22" i="139" l="1"/>
  <c r="Q24" i="139" s="1"/>
  <c r="Q26" i="139" s="1"/>
  <c r="K22" i="139"/>
  <c r="K24" i="139" s="1"/>
  <c r="K26" i="139" s="1"/>
  <c r="U22" i="139"/>
  <c r="U24" i="139" s="1"/>
  <c r="U26" i="139" s="1"/>
  <c r="U25" i="138"/>
  <c r="AG24" i="138"/>
  <c r="AG26" i="138" s="1"/>
  <c r="AF24" i="138"/>
  <c r="AF26" i="138" s="1"/>
  <c r="P24" i="138"/>
  <c r="P26" i="138" s="1"/>
  <c r="L24" i="138"/>
  <c r="L26" i="138" s="1"/>
  <c r="H24" i="138"/>
  <c r="H26" i="138" s="1"/>
  <c r="G24" i="138"/>
  <c r="G26" i="138" s="1"/>
  <c r="D24" i="138"/>
  <c r="D26" i="138" s="1"/>
  <c r="U23" i="138"/>
  <c r="AG22" i="138"/>
  <c r="AF22" i="138"/>
  <c r="AE22" i="138"/>
  <c r="AE24" i="138" s="1"/>
  <c r="AE26" i="138" s="1"/>
  <c r="AD22" i="138"/>
  <c r="AD24" i="138" s="1"/>
  <c r="AD26" i="138" s="1"/>
  <c r="AC22" i="138"/>
  <c r="AC24" i="138" s="1"/>
  <c r="AC26" i="138" s="1"/>
  <c r="AB22" i="138"/>
  <c r="AB24" i="138" s="1"/>
  <c r="AB26" i="138" s="1"/>
  <c r="AA22" i="138"/>
  <c r="AA24" i="138" s="1"/>
  <c r="AA26" i="138" s="1"/>
  <c r="Z22" i="138"/>
  <c r="Z24" i="138" s="1"/>
  <c r="Z26" i="138" s="1"/>
  <c r="Y22" i="138"/>
  <c r="Y24" i="138" s="1"/>
  <c r="Y26" i="138" s="1"/>
  <c r="W22" i="138"/>
  <c r="W24" i="138" s="1"/>
  <c r="W26" i="138" s="1"/>
  <c r="T22" i="138"/>
  <c r="T24" i="138" s="1"/>
  <c r="T26" i="138" s="1"/>
  <c r="R22" i="138"/>
  <c r="R24" i="138" s="1"/>
  <c r="R26" i="138" s="1"/>
  <c r="P22" i="138"/>
  <c r="L22" i="138"/>
  <c r="J22" i="138"/>
  <c r="J24" i="138" s="1"/>
  <c r="J26" i="138" s="1"/>
  <c r="H22" i="138"/>
  <c r="G22" i="138"/>
  <c r="F22" i="138"/>
  <c r="F24" i="138" s="1"/>
  <c r="F26" i="138" s="1"/>
  <c r="D22" i="138"/>
  <c r="U21" i="138"/>
  <c r="S21" i="138"/>
  <c r="S22" i="138" s="1"/>
  <c r="S24" i="138" s="1"/>
  <c r="S26" i="138" s="1"/>
  <c r="Q21" i="138"/>
  <c r="O21" i="138"/>
  <c r="N21" i="138"/>
  <c r="M21" i="138"/>
  <c r="K21" i="138"/>
  <c r="E21" i="138"/>
  <c r="X20" i="138"/>
  <c r="X22" i="138" s="1"/>
  <c r="X24" i="138" s="1"/>
  <c r="X26" i="138" s="1"/>
  <c r="V20" i="138"/>
  <c r="V22" i="138" s="1"/>
  <c r="V24" i="138" s="1"/>
  <c r="V26" i="138" s="1"/>
  <c r="U20" i="138"/>
  <c r="S20" i="138"/>
  <c r="Q20" i="138"/>
  <c r="O20" i="138"/>
  <c r="O22" i="138" s="1"/>
  <c r="O24" i="138" s="1"/>
  <c r="O26" i="138" s="1"/>
  <c r="N20" i="138"/>
  <c r="N22" i="138" s="1"/>
  <c r="N24" i="138" s="1"/>
  <c r="N26" i="138" s="1"/>
  <c r="M20" i="138"/>
  <c r="M22" i="138" s="1"/>
  <c r="M24" i="138" s="1"/>
  <c r="M26" i="138" s="1"/>
  <c r="K20" i="138"/>
  <c r="I20" i="138"/>
  <c r="I22" i="138" s="1"/>
  <c r="I24" i="138" s="1"/>
  <c r="I26" i="138" s="1"/>
  <c r="H20" i="138"/>
  <c r="G20" i="138"/>
  <c r="E20" i="138"/>
  <c r="E22" i="138" s="1"/>
  <c r="E24" i="138" s="1"/>
  <c r="E26" i="138" s="1"/>
  <c r="Q22" i="138" l="1"/>
  <c r="Q24" i="138" s="1"/>
  <c r="Q26" i="138" s="1"/>
  <c r="K22" i="138"/>
  <c r="K24" i="138" s="1"/>
  <c r="K26" i="138" s="1"/>
  <c r="U22" i="138"/>
  <c r="U24" i="138" s="1"/>
  <c r="U26" i="138" s="1"/>
  <c r="Y25" i="137"/>
  <c r="U25" i="137" l="1"/>
  <c r="R24" i="137"/>
  <c r="R26" i="137" s="1"/>
  <c r="P24" i="137"/>
  <c r="P26" i="137" s="1"/>
  <c r="L24" i="137"/>
  <c r="L26" i="137" s="1"/>
  <c r="D24" i="137"/>
  <c r="D26" i="137" s="1"/>
  <c r="U23" i="137"/>
  <c r="AG22" i="137"/>
  <c r="AG24" i="137" s="1"/>
  <c r="AG26" i="137" s="1"/>
  <c r="AF22" i="137"/>
  <c r="AF24" i="137" s="1"/>
  <c r="AF26" i="137" s="1"/>
  <c r="AE22" i="137"/>
  <c r="AE24" i="137" s="1"/>
  <c r="AE26" i="137" s="1"/>
  <c r="AD22" i="137"/>
  <c r="AD24" i="137" s="1"/>
  <c r="AD26" i="137" s="1"/>
  <c r="AC22" i="137"/>
  <c r="AC24" i="137" s="1"/>
  <c r="AC26" i="137" s="1"/>
  <c r="AB22" i="137"/>
  <c r="AB24" i="137" s="1"/>
  <c r="AB26" i="137" s="1"/>
  <c r="AA22" i="137"/>
  <c r="AA24" i="137" s="1"/>
  <c r="AA26" i="137" s="1"/>
  <c r="Z22" i="137"/>
  <c r="Z24" i="137" s="1"/>
  <c r="Z26" i="137" s="1"/>
  <c r="Y22" i="137"/>
  <c r="Y24" i="137" s="1"/>
  <c r="Y26" i="137" s="1"/>
  <c r="W22" i="137"/>
  <c r="W24" i="137" s="1"/>
  <c r="W26" i="137" s="1"/>
  <c r="T22" i="137"/>
  <c r="T24" i="137" s="1"/>
  <c r="T26" i="137" s="1"/>
  <c r="R22" i="137"/>
  <c r="P22" i="137"/>
  <c r="L22" i="137"/>
  <c r="J22" i="137"/>
  <c r="J24" i="137" s="1"/>
  <c r="J26" i="137" s="1"/>
  <c r="F22" i="137"/>
  <c r="F24" i="137" s="1"/>
  <c r="F26" i="137" s="1"/>
  <c r="D22" i="137"/>
  <c r="U21" i="137"/>
  <c r="S21" i="137"/>
  <c r="S22" i="137" s="1"/>
  <c r="S24" i="137" s="1"/>
  <c r="S26" i="137" s="1"/>
  <c r="Q21" i="137"/>
  <c r="O21" i="137"/>
  <c r="N21" i="137"/>
  <c r="M21" i="137"/>
  <c r="K21" i="137"/>
  <c r="E21" i="137"/>
  <c r="X20" i="137"/>
  <c r="X22" i="137" s="1"/>
  <c r="X24" i="137" s="1"/>
  <c r="X26" i="137" s="1"/>
  <c r="V20" i="137"/>
  <c r="V22" i="137" s="1"/>
  <c r="V24" i="137" s="1"/>
  <c r="V26" i="137" s="1"/>
  <c r="U20" i="137"/>
  <c r="S20" i="137"/>
  <c r="Q20" i="137"/>
  <c r="O20" i="137"/>
  <c r="O22" i="137" s="1"/>
  <c r="O24" i="137" s="1"/>
  <c r="O26" i="137" s="1"/>
  <c r="N20" i="137"/>
  <c r="N22" i="137" s="1"/>
  <c r="N24" i="137" s="1"/>
  <c r="N26" i="137" s="1"/>
  <c r="M20" i="137"/>
  <c r="K20" i="137"/>
  <c r="I20" i="137"/>
  <c r="I22" i="137" s="1"/>
  <c r="I24" i="137" s="1"/>
  <c r="I26" i="137" s="1"/>
  <c r="H20" i="137"/>
  <c r="H22" i="137" s="1"/>
  <c r="H24" i="137" s="1"/>
  <c r="H26" i="137" s="1"/>
  <c r="G20" i="137"/>
  <c r="G22" i="137" s="1"/>
  <c r="G24" i="137" s="1"/>
  <c r="G26" i="137" s="1"/>
  <c r="E20" i="137"/>
  <c r="K22" i="137" l="1"/>
  <c r="K24" i="137" s="1"/>
  <c r="K26" i="137" s="1"/>
  <c r="Q22" i="137"/>
  <c r="Q24" i="137" s="1"/>
  <c r="Q26" i="137" s="1"/>
  <c r="M22" i="137"/>
  <c r="M24" i="137" s="1"/>
  <c r="M26" i="137" s="1"/>
  <c r="E22" i="137"/>
  <c r="E24" i="137" s="1"/>
  <c r="E26" i="137" s="1"/>
  <c r="U22" i="137"/>
  <c r="U24" i="137" s="1"/>
  <c r="U26" i="137" s="1"/>
  <c r="U25" i="136"/>
  <c r="U23" i="136"/>
  <c r="AG22" i="136"/>
  <c r="AG24" i="136" s="1"/>
  <c r="AG26" i="136" s="1"/>
  <c r="AF22" i="136"/>
  <c r="AF24" i="136" s="1"/>
  <c r="AF26" i="136" s="1"/>
  <c r="AE22" i="136"/>
  <c r="AE24" i="136" s="1"/>
  <c r="AE26" i="136" s="1"/>
  <c r="AD22" i="136"/>
  <c r="AD24" i="136" s="1"/>
  <c r="AD26" i="136" s="1"/>
  <c r="AC22" i="136"/>
  <c r="AC24" i="136" s="1"/>
  <c r="AC26" i="136" s="1"/>
  <c r="AB22" i="136"/>
  <c r="AB24" i="136" s="1"/>
  <c r="AB26" i="136" s="1"/>
  <c r="AA22" i="136"/>
  <c r="AA24" i="136" s="1"/>
  <c r="AA26" i="136" s="1"/>
  <c r="Z22" i="136"/>
  <c r="Z24" i="136" s="1"/>
  <c r="Z26" i="136" s="1"/>
  <c r="Y22" i="136"/>
  <c r="Y24" i="136" s="1"/>
  <c r="Y26" i="136" s="1"/>
  <c r="W22" i="136"/>
  <c r="W24" i="136" s="1"/>
  <c r="W26" i="136" s="1"/>
  <c r="T22" i="136"/>
  <c r="T24" i="136" s="1"/>
  <c r="T26" i="136" s="1"/>
  <c r="R22" i="136"/>
  <c r="R24" i="136" s="1"/>
  <c r="R26" i="136" s="1"/>
  <c r="P22" i="136"/>
  <c r="P24" i="136" s="1"/>
  <c r="P26" i="136" s="1"/>
  <c r="N22" i="136"/>
  <c r="N24" i="136" s="1"/>
  <c r="N26" i="136" s="1"/>
  <c r="L22" i="136"/>
  <c r="L24" i="136" s="1"/>
  <c r="L26" i="136" s="1"/>
  <c r="J22" i="136"/>
  <c r="J24" i="136" s="1"/>
  <c r="J26" i="136" s="1"/>
  <c r="F22" i="136"/>
  <c r="F24" i="136" s="1"/>
  <c r="F26" i="136" s="1"/>
  <c r="D22" i="136"/>
  <c r="D24" i="136" s="1"/>
  <c r="D26" i="136" s="1"/>
  <c r="U21" i="136"/>
  <c r="S21" i="136"/>
  <c r="Q21" i="136"/>
  <c r="O21" i="136"/>
  <c r="N21" i="136"/>
  <c r="M21" i="136"/>
  <c r="K21" i="136"/>
  <c r="E21" i="136"/>
  <c r="X20" i="136"/>
  <c r="X22" i="136" s="1"/>
  <c r="X24" i="136" s="1"/>
  <c r="X26" i="136" s="1"/>
  <c r="V20" i="136"/>
  <c r="V22" i="136" s="1"/>
  <c r="V24" i="136" s="1"/>
  <c r="V26" i="136" s="1"/>
  <c r="U20" i="136"/>
  <c r="S20" i="136"/>
  <c r="Q20" i="136"/>
  <c r="O20" i="136"/>
  <c r="O22" i="136" s="1"/>
  <c r="O24" i="136" s="1"/>
  <c r="O26" i="136" s="1"/>
  <c r="N20" i="136"/>
  <c r="M20" i="136"/>
  <c r="K20" i="136"/>
  <c r="I20" i="136"/>
  <c r="I22" i="136" s="1"/>
  <c r="I24" i="136" s="1"/>
  <c r="I26" i="136" s="1"/>
  <c r="H20" i="136"/>
  <c r="H22" i="136" s="1"/>
  <c r="H24" i="136" s="1"/>
  <c r="H26" i="136" s="1"/>
  <c r="G20" i="136"/>
  <c r="G22" i="136" s="1"/>
  <c r="G24" i="136" s="1"/>
  <c r="G26" i="136" s="1"/>
  <c r="E20" i="136"/>
  <c r="E22" i="136" s="1"/>
  <c r="E24" i="136" s="1"/>
  <c r="E26" i="136" s="1"/>
  <c r="Q22" i="136" l="1"/>
  <c r="Q24" i="136" s="1"/>
  <c r="Q26" i="136" s="1"/>
  <c r="K22" i="136"/>
  <c r="K24" i="136" s="1"/>
  <c r="K26" i="136" s="1"/>
  <c r="M22" i="136"/>
  <c r="M24" i="136" s="1"/>
  <c r="M26" i="136" s="1"/>
  <c r="S22" i="136"/>
  <c r="S24" i="136" s="1"/>
  <c r="S26" i="136" s="1"/>
  <c r="U22" i="136"/>
  <c r="U24" i="136"/>
  <c r="U26" i="136" s="1"/>
  <c r="U25" i="135"/>
  <c r="R24" i="135"/>
  <c r="R26" i="135" s="1"/>
  <c r="J24" i="135"/>
  <c r="J26" i="135" s="1"/>
  <c r="U23" i="135"/>
  <c r="AG22" i="135"/>
  <c r="AG24" i="135" s="1"/>
  <c r="AG26" i="135" s="1"/>
  <c r="AF22" i="135"/>
  <c r="AF24" i="135" s="1"/>
  <c r="AF26" i="135" s="1"/>
  <c r="AE22" i="135"/>
  <c r="AE24" i="135" s="1"/>
  <c r="AE26" i="135" s="1"/>
  <c r="AD22" i="135"/>
  <c r="AD24" i="135" s="1"/>
  <c r="AD26" i="135" s="1"/>
  <c r="AC22" i="135"/>
  <c r="AC24" i="135" s="1"/>
  <c r="AC26" i="135" s="1"/>
  <c r="AB22" i="135"/>
  <c r="AB24" i="135" s="1"/>
  <c r="AB26" i="135" s="1"/>
  <c r="AA22" i="135"/>
  <c r="AA24" i="135" s="1"/>
  <c r="AA26" i="135" s="1"/>
  <c r="Z22" i="135"/>
  <c r="Z24" i="135" s="1"/>
  <c r="Z26" i="135" s="1"/>
  <c r="Y22" i="135"/>
  <c r="Y24" i="135" s="1"/>
  <c r="Y26" i="135" s="1"/>
  <c r="W22" i="135"/>
  <c r="W24" i="135" s="1"/>
  <c r="W26" i="135" s="1"/>
  <c r="T22" i="135"/>
  <c r="T24" i="135" s="1"/>
  <c r="T26" i="135" s="1"/>
  <c r="R22" i="135"/>
  <c r="P22" i="135"/>
  <c r="P24" i="135" s="1"/>
  <c r="P26" i="135" s="1"/>
  <c r="L22" i="135"/>
  <c r="L24" i="135" s="1"/>
  <c r="L26" i="135" s="1"/>
  <c r="J22" i="135"/>
  <c r="I22" i="135"/>
  <c r="I24" i="135" s="1"/>
  <c r="I26" i="135" s="1"/>
  <c r="H22" i="135"/>
  <c r="H24" i="135" s="1"/>
  <c r="H26" i="135" s="1"/>
  <c r="F22" i="135"/>
  <c r="F24" i="135" s="1"/>
  <c r="F26" i="135" s="1"/>
  <c r="D22" i="135"/>
  <c r="D24" i="135" s="1"/>
  <c r="D26" i="135" s="1"/>
  <c r="U21" i="135"/>
  <c r="S21" i="135"/>
  <c r="Q21" i="135"/>
  <c r="O21" i="135"/>
  <c r="N21" i="135"/>
  <c r="M21" i="135"/>
  <c r="K21" i="135"/>
  <c r="E21" i="135"/>
  <c r="X20" i="135"/>
  <c r="X22" i="135" s="1"/>
  <c r="X24" i="135" s="1"/>
  <c r="X26" i="135" s="1"/>
  <c r="V20" i="135"/>
  <c r="V22" i="135" s="1"/>
  <c r="V24" i="135" s="1"/>
  <c r="V26" i="135" s="1"/>
  <c r="U20" i="135"/>
  <c r="S20" i="135"/>
  <c r="S22" i="135" s="1"/>
  <c r="S24" i="135" s="1"/>
  <c r="S26" i="135" s="1"/>
  <c r="Q20" i="135"/>
  <c r="O20" i="135"/>
  <c r="O22" i="135" s="1"/>
  <c r="O24" i="135" s="1"/>
  <c r="O26" i="135" s="1"/>
  <c r="N20" i="135"/>
  <c r="N22" i="135" s="1"/>
  <c r="N24" i="135" s="1"/>
  <c r="N26" i="135" s="1"/>
  <c r="M20" i="135"/>
  <c r="K20" i="135"/>
  <c r="I20" i="135"/>
  <c r="H20" i="135"/>
  <c r="G20" i="135"/>
  <c r="G22" i="135" s="1"/>
  <c r="G24" i="135" s="1"/>
  <c r="G26" i="135" s="1"/>
  <c r="E20" i="135"/>
  <c r="K22" i="135" l="1"/>
  <c r="K24" i="135" s="1"/>
  <c r="K26" i="135" s="1"/>
  <c r="M22" i="135"/>
  <c r="M24" i="135" s="1"/>
  <c r="M26" i="135" s="1"/>
  <c r="Q22" i="135"/>
  <c r="Q24" i="135" s="1"/>
  <c r="Q26" i="135" s="1"/>
  <c r="E22" i="135"/>
  <c r="E24" i="135" s="1"/>
  <c r="E26" i="135" s="1"/>
  <c r="U22" i="135"/>
  <c r="U24" i="135" s="1"/>
  <c r="U26" i="135" s="1"/>
  <c r="U25" i="134"/>
  <c r="R24" i="134"/>
  <c r="R26" i="134" s="1"/>
  <c r="J24" i="134"/>
  <c r="J26" i="134" s="1"/>
  <c r="F24" i="134"/>
  <c r="F26" i="134" s="1"/>
  <c r="U23" i="134"/>
  <c r="AG22" i="134"/>
  <c r="AG24" i="134" s="1"/>
  <c r="AG26" i="134" s="1"/>
  <c r="AF22" i="134"/>
  <c r="AF24" i="134" s="1"/>
  <c r="AF26" i="134" s="1"/>
  <c r="AE22" i="134"/>
  <c r="AE24" i="134" s="1"/>
  <c r="AE26" i="134" s="1"/>
  <c r="AD22" i="134"/>
  <c r="AD24" i="134" s="1"/>
  <c r="AD26" i="134" s="1"/>
  <c r="AC22" i="134"/>
  <c r="AC24" i="134" s="1"/>
  <c r="AC26" i="134" s="1"/>
  <c r="AB22" i="134"/>
  <c r="AB24" i="134" s="1"/>
  <c r="AB26" i="134" s="1"/>
  <c r="Z22" i="134"/>
  <c r="Z24" i="134" s="1"/>
  <c r="Z26" i="134" s="1"/>
  <c r="Y22" i="134"/>
  <c r="Y24" i="134" s="1"/>
  <c r="Y26" i="134" s="1"/>
  <c r="X22" i="134"/>
  <c r="X24" i="134" s="1"/>
  <c r="X26" i="134" s="1"/>
  <c r="W22" i="134"/>
  <c r="W24" i="134" s="1"/>
  <c r="W26" i="134" s="1"/>
  <c r="T22" i="134"/>
  <c r="T24" i="134" s="1"/>
  <c r="T26" i="134" s="1"/>
  <c r="R22" i="134"/>
  <c r="P22" i="134"/>
  <c r="P24" i="134" s="1"/>
  <c r="P26" i="134" s="1"/>
  <c r="L22" i="134"/>
  <c r="L24" i="134" s="1"/>
  <c r="L26" i="134" s="1"/>
  <c r="J22" i="134"/>
  <c r="F22" i="134"/>
  <c r="E22" i="134"/>
  <c r="E24" i="134" s="1"/>
  <c r="E26" i="134" s="1"/>
  <c r="D22" i="134"/>
  <c r="D24" i="134" s="1"/>
  <c r="D26" i="134" s="1"/>
  <c r="AA22" i="134"/>
  <c r="AA24" i="134" s="1"/>
  <c r="AA26" i="134" s="1"/>
  <c r="U21" i="134"/>
  <c r="S21" i="134"/>
  <c r="Q21" i="134"/>
  <c r="Q22" i="134" s="1"/>
  <c r="Q24" i="134" s="1"/>
  <c r="Q26" i="134" s="1"/>
  <c r="O21" i="134"/>
  <c r="N21" i="134"/>
  <c r="M21" i="134"/>
  <c r="M22" i="134" s="1"/>
  <c r="M24" i="134" s="1"/>
  <c r="M26" i="134" s="1"/>
  <c r="K21" i="134"/>
  <c r="E21" i="134"/>
  <c r="X20" i="134"/>
  <c r="V20" i="134"/>
  <c r="V22" i="134" s="1"/>
  <c r="V24" i="134" s="1"/>
  <c r="V26" i="134" s="1"/>
  <c r="U20" i="134"/>
  <c r="S20" i="134"/>
  <c r="Q20" i="134"/>
  <c r="O20" i="134"/>
  <c r="O22" i="134" s="1"/>
  <c r="O24" i="134" s="1"/>
  <c r="O26" i="134" s="1"/>
  <c r="N20" i="134"/>
  <c r="N22" i="134" s="1"/>
  <c r="N24" i="134" s="1"/>
  <c r="N26" i="134" s="1"/>
  <c r="M20" i="134"/>
  <c r="K20" i="134"/>
  <c r="I20" i="134"/>
  <c r="I22" i="134" s="1"/>
  <c r="I24" i="134" s="1"/>
  <c r="I26" i="134" s="1"/>
  <c r="H20" i="134"/>
  <c r="H22" i="134" s="1"/>
  <c r="H24" i="134" s="1"/>
  <c r="H26" i="134" s="1"/>
  <c r="G20" i="134"/>
  <c r="G22" i="134" s="1"/>
  <c r="G24" i="134" s="1"/>
  <c r="G26" i="134" s="1"/>
  <c r="E20" i="134"/>
  <c r="S22" i="134" l="1"/>
  <c r="S24" i="134" s="1"/>
  <c r="S26" i="134" s="1"/>
  <c r="K22" i="134"/>
  <c r="K24" i="134" s="1"/>
  <c r="K26" i="134" s="1"/>
  <c r="U22" i="134"/>
  <c r="U24" i="134" s="1"/>
  <c r="U26" i="134" s="1"/>
  <c r="U25" i="133"/>
  <c r="J24" i="133"/>
  <c r="J26" i="133" s="1"/>
  <c r="F24" i="133"/>
  <c r="F26" i="133" s="1"/>
  <c r="U23" i="133"/>
  <c r="AG22" i="133"/>
  <c r="AG24" i="133" s="1"/>
  <c r="AG26" i="133" s="1"/>
  <c r="AF22" i="133"/>
  <c r="AF24" i="133" s="1"/>
  <c r="AF26" i="133" s="1"/>
  <c r="AE22" i="133"/>
  <c r="AE24" i="133" s="1"/>
  <c r="AE26" i="133" s="1"/>
  <c r="AD22" i="133"/>
  <c r="AD24" i="133" s="1"/>
  <c r="AD26" i="133" s="1"/>
  <c r="AC22" i="133"/>
  <c r="AC24" i="133" s="1"/>
  <c r="AC26" i="133" s="1"/>
  <c r="AB22" i="133"/>
  <c r="AB24" i="133" s="1"/>
  <c r="AB26" i="133" s="1"/>
  <c r="Z22" i="133"/>
  <c r="Z24" i="133" s="1"/>
  <c r="Z26" i="133" s="1"/>
  <c r="Y22" i="133"/>
  <c r="Y24" i="133" s="1"/>
  <c r="Y26" i="133" s="1"/>
  <c r="X22" i="133"/>
  <c r="X24" i="133" s="1"/>
  <c r="X26" i="133" s="1"/>
  <c r="W22" i="133"/>
  <c r="W24" i="133" s="1"/>
  <c r="W26" i="133" s="1"/>
  <c r="T22" i="133"/>
  <c r="T24" i="133" s="1"/>
  <c r="T26" i="133" s="1"/>
  <c r="R22" i="133"/>
  <c r="R24" i="133" s="1"/>
  <c r="R26" i="133" s="1"/>
  <c r="P22" i="133"/>
  <c r="P24" i="133" s="1"/>
  <c r="P26" i="133" s="1"/>
  <c r="L22" i="133"/>
  <c r="L24" i="133" s="1"/>
  <c r="L26" i="133" s="1"/>
  <c r="J22" i="133"/>
  <c r="F22" i="133"/>
  <c r="D22" i="133"/>
  <c r="D24" i="133" s="1"/>
  <c r="D26" i="133" s="1"/>
  <c r="AA21" i="133"/>
  <c r="AA22" i="133" s="1"/>
  <c r="AA24" i="133" s="1"/>
  <c r="AA26" i="133" s="1"/>
  <c r="U21" i="133"/>
  <c r="S21" i="133"/>
  <c r="Q21" i="133"/>
  <c r="O21" i="133"/>
  <c r="N21" i="133"/>
  <c r="M21" i="133"/>
  <c r="K21" i="133"/>
  <c r="E21" i="133"/>
  <c r="X20" i="133"/>
  <c r="V20" i="133"/>
  <c r="V22" i="133" s="1"/>
  <c r="V24" i="133" s="1"/>
  <c r="V26" i="133" s="1"/>
  <c r="U20" i="133"/>
  <c r="S20" i="133"/>
  <c r="Q20" i="133"/>
  <c r="O20" i="133"/>
  <c r="O22" i="133" s="1"/>
  <c r="O24" i="133" s="1"/>
  <c r="O26" i="133" s="1"/>
  <c r="N20" i="133"/>
  <c r="N22" i="133" s="1"/>
  <c r="N24" i="133" s="1"/>
  <c r="N26" i="133" s="1"/>
  <c r="M20" i="133"/>
  <c r="K20" i="133"/>
  <c r="I20" i="133"/>
  <c r="I22" i="133" s="1"/>
  <c r="I24" i="133" s="1"/>
  <c r="I26" i="133" s="1"/>
  <c r="H20" i="133"/>
  <c r="H22" i="133" s="1"/>
  <c r="H24" i="133" s="1"/>
  <c r="H26" i="133" s="1"/>
  <c r="G20" i="133"/>
  <c r="G22" i="133" s="1"/>
  <c r="G24" i="133" s="1"/>
  <c r="G26" i="133" s="1"/>
  <c r="E20" i="133"/>
  <c r="E22" i="133" s="1"/>
  <c r="E24" i="133" s="1"/>
  <c r="E26" i="133" s="1"/>
  <c r="K22" i="133" l="1"/>
  <c r="K24" i="133" s="1"/>
  <c r="K26" i="133" s="1"/>
  <c r="Q22" i="133"/>
  <c r="Q24" i="133" s="1"/>
  <c r="Q26" i="133" s="1"/>
  <c r="S22" i="133"/>
  <c r="S24" i="133" s="1"/>
  <c r="S26" i="133" s="1"/>
  <c r="M22" i="133"/>
  <c r="M24" i="133" s="1"/>
  <c r="M26" i="133" s="1"/>
  <c r="U22" i="133"/>
  <c r="U24" i="133" s="1"/>
  <c r="U26" i="133" s="1"/>
  <c r="U25" i="132"/>
  <c r="R24" i="132" l="1"/>
  <c r="R26" i="132" s="1"/>
  <c r="J24" i="132"/>
  <c r="J26" i="132" s="1"/>
  <c r="U23" i="132"/>
  <c r="AG22" i="132"/>
  <c r="AG24" i="132" s="1"/>
  <c r="AG26" i="132" s="1"/>
  <c r="AF22" i="132"/>
  <c r="AF24" i="132" s="1"/>
  <c r="AF26" i="132" s="1"/>
  <c r="AB22" i="132"/>
  <c r="AB24" i="132" s="1"/>
  <c r="AB26" i="132" s="1"/>
  <c r="Y22" i="132"/>
  <c r="Y24" i="132" s="1"/>
  <c r="Y26" i="132" s="1"/>
  <c r="T22" i="132"/>
  <c r="T24" i="132" s="1"/>
  <c r="T26" i="132" s="1"/>
  <c r="R22" i="132"/>
  <c r="P22" i="132"/>
  <c r="P24" i="132" s="1"/>
  <c r="P26" i="132" s="1"/>
  <c r="L22" i="132"/>
  <c r="L24" i="132" s="1"/>
  <c r="L26" i="132" s="1"/>
  <c r="J22" i="132"/>
  <c r="F22" i="132"/>
  <c r="F24" i="132" s="1"/>
  <c r="F26" i="132" s="1"/>
  <c r="D22" i="132"/>
  <c r="D24" i="132" s="1"/>
  <c r="D26" i="132" s="1"/>
  <c r="AE22" i="132"/>
  <c r="AE24" i="132" s="1"/>
  <c r="AE26" i="132" s="1"/>
  <c r="AD22" i="132"/>
  <c r="AD24" i="132" s="1"/>
  <c r="AD26" i="132" s="1"/>
  <c r="AC22" i="132"/>
  <c r="AC24" i="132" s="1"/>
  <c r="AC26" i="132" s="1"/>
  <c r="AA21" i="132"/>
  <c r="AA22" i="132" s="1"/>
  <c r="AA24" i="132" s="1"/>
  <c r="AA26" i="132" s="1"/>
  <c r="Z22" i="132"/>
  <c r="Z24" i="132" s="1"/>
  <c r="Z26" i="132" s="1"/>
  <c r="W22" i="132"/>
  <c r="W24" i="132" s="1"/>
  <c r="W26" i="132" s="1"/>
  <c r="U21" i="132"/>
  <c r="S21" i="132"/>
  <c r="Q21" i="132"/>
  <c r="Q22" i="132" s="1"/>
  <c r="Q24" i="132" s="1"/>
  <c r="Q26" i="132" s="1"/>
  <c r="O21" i="132"/>
  <c r="N21" i="132"/>
  <c r="M21" i="132"/>
  <c r="K21" i="132"/>
  <c r="E21" i="132"/>
  <c r="E22" i="132" s="1"/>
  <c r="E24" i="132" s="1"/>
  <c r="E26" i="132" s="1"/>
  <c r="X20" i="132"/>
  <c r="X22" i="132" s="1"/>
  <c r="X24" i="132" s="1"/>
  <c r="X26" i="132" s="1"/>
  <c r="V20" i="132"/>
  <c r="V22" i="132" s="1"/>
  <c r="V24" i="132" s="1"/>
  <c r="V26" i="132" s="1"/>
  <c r="U20" i="132"/>
  <c r="S20" i="132"/>
  <c r="S22" i="132" s="1"/>
  <c r="S24" i="132" s="1"/>
  <c r="S26" i="132" s="1"/>
  <c r="Q20" i="132"/>
  <c r="O20" i="132"/>
  <c r="O22" i="132" s="1"/>
  <c r="O24" i="132" s="1"/>
  <c r="O26" i="132" s="1"/>
  <c r="N20" i="132"/>
  <c r="N22" i="132" s="1"/>
  <c r="N24" i="132" s="1"/>
  <c r="N26" i="132" s="1"/>
  <c r="M20" i="132"/>
  <c r="K20" i="132"/>
  <c r="I20" i="132"/>
  <c r="I22" i="132" s="1"/>
  <c r="I24" i="132" s="1"/>
  <c r="I26" i="132" s="1"/>
  <c r="H20" i="132"/>
  <c r="H22" i="132" s="1"/>
  <c r="H24" i="132" s="1"/>
  <c r="H26" i="132" s="1"/>
  <c r="G20" i="132"/>
  <c r="G22" i="132" s="1"/>
  <c r="G24" i="132" s="1"/>
  <c r="G26" i="132" s="1"/>
  <c r="E20" i="132"/>
  <c r="K22" i="132" l="1"/>
  <c r="K24" i="132" s="1"/>
  <c r="K26" i="132" s="1"/>
  <c r="M22" i="132"/>
  <c r="M24" i="132" s="1"/>
  <c r="M26" i="132" s="1"/>
  <c r="U22" i="132"/>
  <c r="U24" i="132" s="1"/>
  <c r="U26" i="132" s="1"/>
  <c r="AE21" i="131"/>
  <c r="AD21" i="131"/>
  <c r="AC21" i="131"/>
  <c r="AA21" i="131"/>
  <c r="Z21" i="131"/>
  <c r="Y21" i="131"/>
  <c r="W21" i="131"/>
  <c r="T21" i="131"/>
  <c r="U25" i="131" l="1"/>
  <c r="U23" i="131"/>
  <c r="AG22" i="131"/>
  <c r="AG24" i="131" s="1"/>
  <c r="AG26" i="131" s="1"/>
  <c r="AF22" i="131"/>
  <c r="AF24" i="131" s="1"/>
  <c r="AF26" i="131" s="1"/>
  <c r="AE22" i="131"/>
  <c r="AE24" i="131" s="1"/>
  <c r="AE26" i="131" s="1"/>
  <c r="AD22" i="131"/>
  <c r="AD24" i="131" s="1"/>
  <c r="AD26" i="131" s="1"/>
  <c r="AC22" i="131"/>
  <c r="AC24" i="131" s="1"/>
  <c r="AC26" i="131" s="1"/>
  <c r="AB22" i="131"/>
  <c r="AB24" i="131" s="1"/>
  <c r="AB26" i="131" s="1"/>
  <c r="AA22" i="131"/>
  <c r="AA24" i="131" s="1"/>
  <c r="AA26" i="131" s="1"/>
  <c r="Z22" i="131"/>
  <c r="Z24" i="131" s="1"/>
  <c r="Z26" i="131" s="1"/>
  <c r="V22" i="131"/>
  <c r="V24" i="131" s="1"/>
  <c r="V26" i="131" s="1"/>
  <c r="T22" i="131"/>
  <c r="T24" i="131" s="1"/>
  <c r="T26" i="131" s="1"/>
  <c r="R22" i="131"/>
  <c r="R24" i="131" s="1"/>
  <c r="R26" i="131" s="1"/>
  <c r="P22" i="131"/>
  <c r="P24" i="131" s="1"/>
  <c r="P26" i="131" s="1"/>
  <c r="L22" i="131"/>
  <c r="L24" i="131" s="1"/>
  <c r="L26" i="131" s="1"/>
  <c r="J22" i="131"/>
  <c r="J24" i="131" s="1"/>
  <c r="J26" i="131" s="1"/>
  <c r="F22" i="131"/>
  <c r="F24" i="131" s="1"/>
  <c r="F26" i="131" s="1"/>
  <c r="D22" i="131"/>
  <c r="D24" i="131" s="1"/>
  <c r="D26" i="131" s="1"/>
  <c r="U21" i="131"/>
  <c r="S21" i="131"/>
  <c r="Q21" i="131"/>
  <c r="O21" i="131"/>
  <c r="N21" i="131"/>
  <c r="M21" i="131"/>
  <c r="K21" i="131"/>
  <c r="E21" i="131"/>
  <c r="Y22" i="131"/>
  <c r="Y24" i="131" s="1"/>
  <c r="Y26" i="131" s="1"/>
  <c r="X20" i="131"/>
  <c r="X22" i="131" s="1"/>
  <c r="X24" i="131" s="1"/>
  <c r="X26" i="131" s="1"/>
  <c r="W22" i="131"/>
  <c r="W24" i="131" s="1"/>
  <c r="W26" i="131" s="1"/>
  <c r="V20" i="131"/>
  <c r="U20" i="131"/>
  <c r="S20" i="131"/>
  <c r="S22" i="131" s="1"/>
  <c r="S24" i="131" s="1"/>
  <c r="S26" i="131" s="1"/>
  <c r="Q20" i="131"/>
  <c r="Q22" i="131" s="1"/>
  <c r="Q24" i="131" s="1"/>
  <c r="Q26" i="131" s="1"/>
  <c r="O20" i="131"/>
  <c r="O22" i="131" s="1"/>
  <c r="O24" i="131" s="1"/>
  <c r="O26" i="131" s="1"/>
  <c r="N20" i="131"/>
  <c r="N22" i="131" s="1"/>
  <c r="N24" i="131" s="1"/>
  <c r="N26" i="131" s="1"/>
  <c r="M20" i="131"/>
  <c r="M22" i="131" s="1"/>
  <c r="M24" i="131" s="1"/>
  <c r="M26" i="131" s="1"/>
  <c r="K20" i="131"/>
  <c r="K22" i="131" s="1"/>
  <c r="K24" i="131" s="1"/>
  <c r="K26" i="131" s="1"/>
  <c r="I20" i="131"/>
  <c r="I22" i="131" s="1"/>
  <c r="I24" i="131" s="1"/>
  <c r="I26" i="131" s="1"/>
  <c r="H20" i="131"/>
  <c r="H22" i="131" s="1"/>
  <c r="H24" i="131" s="1"/>
  <c r="H26" i="131" s="1"/>
  <c r="G20" i="131"/>
  <c r="G22" i="131" s="1"/>
  <c r="G24" i="131" s="1"/>
  <c r="G26" i="131" s="1"/>
  <c r="E20" i="131"/>
  <c r="E22" i="131" s="1"/>
  <c r="E24" i="131" s="1"/>
  <c r="E26" i="131" s="1"/>
  <c r="U22" i="131" l="1"/>
  <c r="U24" i="131"/>
  <c r="U26" i="131" s="1"/>
  <c r="Y20" i="130"/>
  <c r="W20" i="130"/>
  <c r="G23" i="129" l="1"/>
  <c r="U23" i="129"/>
  <c r="G23" i="130"/>
  <c r="U23" i="130"/>
  <c r="U25" i="130" l="1"/>
  <c r="G25" i="130"/>
  <c r="AA24" i="130"/>
  <c r="AA26" i="130" s="1"/>
  <c r="J24" i="130"/>
  <c r="J26" i="130" s="1"/>
  <c r="F24" i="130"/>
  <c r="F26" i="130" s="1"/>
  <c r="AG22" i="130"/>
  <c r="AG24" i="130" s="1"/>
  <c r="AG26" i="130" s="1"/>
  <c r="AF22" i="130"/>
  <c r="AF24" i="130" s="1"/>
  <c r="AF26" i="130" s="1"/>
  <c r="AE22" i="130"/>
  <c r="AE24" i="130" s="1"/>
  <c r="AE26" i="130" s="1"/>
  <c r="AD22" i="130"/>
  <c r="AD24" i="130" s="1"/>
  <c r="AD26" i="130" s="1"/>
  <c r="AC22" i="130"/>
  <c r="AC24" i="130" s="1"/>
  <c r="AC26" i="130" s="1"/>
  <c r="AB22" i="130"/>
  <c r="AB24" i="130" s="1"/>
  <c r="AB26" i="130" s="1"/>
  <c r="AA22" i="130"/>
  <c r="Z22" i="130"/>
  <c r="Z24" i="130" s="1"/>
  <c r="Z26" i="130" s="1"/>
  <c r="Y22" i="130"/>
  <c r="Y24" i="130" s="1"/>
  <c r="Y26" i="130" s="1"/>
  <c r="X22" i="130"/>
  <c r="X24" i="130" s="1"/>
  <c r="X26" i="130" s="1"/>
  <c r="W22" i="130"/>
  <c r="W24" i="130" s="1"/>
  <c r="W26" i="130" s="1"/>
  <c r="T22" i="130"/>
  <c r="T24" i="130" s="1"/>
  <c r="T26" i="130" s="1"/>
  <c r="R22" i="130"/>
  <c r="R24" i="130" s="1"/>
  <c r="R26" i="130" s="1"/>
  <c r="P22" i="130"/>
  <c r="P24" i="130" s="1"/>
  <c r="P26" i="130" s="1"/>
  <c r="M22" i="130"/>
  <c r="M24" i="130" s="1"/>
  <c r="M26" i="130" s="1"/>
  <c r="L22" i="130"/>
  <c r="L24" i="130" s="1"/>
  <c r="L26" i="130" s="1"/>
  <c r="J22" i="130"/>
  <c r="F22" i="130"/>
  <c r="E22" i="130"/>
  <c r="E24" i="130" s="1"/>
  <c r="E26" i="130" s="1"/>
  <c r="D22" i="130"/>
  <c r="D24" i="130" s="1"/>
  <c r="D26" i="130" s="1"/>
  <c r="U21" i="130"/>
  <c r="S21" i="130"/>
  <c r="Q21" i="130"/>
  <c r="Q22" i="130" s="1"/>
  <c r="Q24" i="130" s="1"/>
  <c r="Q26" i="130" s="1"/>
  <c r="O21" i="130"/>
  <c r="N21" i="130"/>
  <c r="M21" i="130"/>
  <c r="K21" i="130"/>
  <c r="K22" i="130" s="1"/>
  <c r="K24" i="130" s="1"/>
  <c r="K26" i="130" s="1"/>
  <c r="G21" i="130"/>
  <c r="E21" i="130"/>
  <c r="X20" i="130"/>
  <c r="V20" i="130"/>
  <c r="V22" i="130" s="1"/>
  <c r="V24" i="130" s="1"/>
  <c r="V26" i="130" s="1"/>
  <c r="U20" i="130"/>
  <c r="S20" i="130"/>
  <c r="Q20" i="130"/>
  <c r="O20" i="130"/>
  <c r="O22" i="130" s="1"/>
  <c r="O24" i="130" s="1"/>
  <c r="O26" i="130" s="1"/>
  <c r="N20" i="130"/>
  <c r="N22" i="130" s="1"/>
  <c r="N24" i="130" s="1"/>
  <c r="N26" i="130" s="1"/>
  <c r="M20" i="130"/>
  <c r="K20" i="130"/>
  <c r="I20" i="130"/>
  <c r="I22" i="130" s="1"/>
  <c r="I24" i="130" s="1"/>
  <c r="I26" i="130" s="1"/>
  <c r="H20" i="130"/>
  <c r="H22" i="130" s="1"/>
  <c r="H24" i="130" s="1"/>
  <c r="H26" i="130" s="1"/>
  <c r="G20" i="130"/>
  <c r="G22" i="130" s="1"/>
  <c r="G24" i="130" s="1"/>
  <c r="E20" i="130"/>
  <c r="S22" i="130" l="1"/>
  <c r="S24" i="130" s="1"/>
  <c r="S26" i="130" s="1"/>
  <c r="U22" i="130"/>
  <c r="U24" i="130" s="1"/>
  <c r="G26" i="130"/>
  <c r="U26" i="130"/>
  <c r="Y25" i="129"/>
  <c r="U25" i="129"/>
  <c r="G25" i="129"/>
  <c r="AG22" i="129"/>
  <c r="AG24" i="129" s="1"/>
  <c r="AG26" i="129" s="1"/>
  <c r="AF22" i="129"/>
  <c r="AF24" i="129" s="1"/>
  <c r="AF26" i="129" s="1"/>
  <c r="AE22" i="129"/>
  <c r="AE24" i="129" s="1"/>
  <c r="AE26" i="129" s="1"/>
  <c r="AD22" i="129"/>
  <c r="AD24" i="129" s="1"/>
  <c r="AD26" i="129" s="1"/>
  <c r="AC22" i="129"/>
  <c r="AC24" i="129" s="1"/>
  <c r="AC26" i="129" s="1"/>
  <c r="AB22" i="129"/>
  <c r="AB24" i="129" s="1"/>
  <c r="AB26" i="129" s="1"/>
  <c r="AA22" i="129"/>
  <c r="AA24" i="129" s="1"/>
  <c r="AA26" i="129" s="1"/>
  <c r="Z22" i="129"/>
  <c r="Z24" i="129" s="1"/>
  <c r="Z26" i="129" s="1"/>
  <c r="Y22" i="129"/>
  <c r="Y24" i="129" s="1"/>
  <c r="W22" i="129"/>
  <c r="W24" i="129" s="1"/>
  <c r="W26" i="129" s="1"/>
  <c r="T22" i="129"/>
  <c r="T24" i="129" s="1"/>
  <c r="T26" i="129" s="1"/>
  <c r="S22" i="129"/>
  <c r="S24" i="129" s="1"/>
  <c r="S26" i="129" s="1"/>
  <c r="R22" i="129"/>
  <c r="R24" i="129" s="1"/>
  <c r="R26" i="129" s="1"/>
  <c r="P22" i="129"/>
  <c r="P24" i="129" s="1"/>
  <c r="P26" i="129" s="1"/>
  <c r="M22" i="129"/>
  <c r="M24" i="129" s="1"/>
  <c r="M26" i="129" s="1"/>
  <c r="L22" i="129"/>
  <c r="L24" i="129" s="1"/>
  <c r="L26" i="129" s="1"/>
  <c r="J22" i="129"/>
  <c r="J24" i="129" s="1"/>
  <c r="J26" i="129" s="1"/>
  <c r="F22" i="129"/>
  <c r="F24" i="129" s="1"/>
  <c r="F26" i="129" s="1"/>
  <c r="D22" i="129"/>
  <c r="D24" i="129" s="1"/>
  <c r="D26" i="129" s="1"/>
  <c r="U21" i="129"/>
  <c r="U22" i="129" s="1"/>
  <c r="U24" i="129" s="1"/>
  <c r="S21" i="129"/>
  <c r="Q21" i="129"/>
  <c r="O21" i="129"/>
  <c r="N21" i="129"/>
  <c r="M21" i="129"/>
  <c r="K21" i="129"/>
  <c r="G21" i="129"/>
  <c r="E21" i="129"/>
  <c r="X20" i="129"/>
  <c r="X22" i="129" s="1"/>
  <c r="X24" i="129" s="1"/>
  <c r="X26" i="129" s="1"/>
  <c r="V20" i="129"/>
  <c r="V22" i="129" s="1"/>
  <c r="V24" i="129" s="1"/>
  <c r="V26" i="129" s="1"/>
  <c r="U20" i="129"/>
  <c r="S20" i="129"/>
  <c r="Q20" i="129"/>
  <c r="O20" i="129"/>
  <c r="O22" i="129" s="1"/>
  <c r="O24" i="129" s="1"/>
  <c r="O26" i="129" s="1"/>
  <c r="N20" i="129"/>
  <c r="N22" i="129" s="1"/>
  <c r="N24" i="129" s="1"/>
  <c r="N26" i="129" s="1"/>
  <c r="M20" i="129"/>
  <c r="K20" i="129"/>
  <c r="I20" i="129"/>
  <c r="I22" i="129" s="1"/>
  <c r="I24" i="129" s="1"/>
  <c r="I26" i="129" s="1"/>
  <c r="H20" i="129"/>
  <c r="H22" i="129" s="1"/>
  <c r="H24" i="129" s="1"/>
  <c r="H26" i="129" s="1"/>
  <c r="G20" i="129"/>
  <c r="G22" i="129" s="1"/>
  <c r="G24" i="129" s="1"/>
  <c r="G26" i="129" s="1"/>
  <c r="E20" i="129"/>
  <c r="E22" i="129" s="1"/>
  <c r="E24" i="129" s="1"/>
  <c r="E26" i="129" s="1"/>
  <c r="Q22" i="129" l="1"/>
  <c r="Q24" i="129" s="1"/>
  <c r="Q26" i="129" s="1"/>
  <c r="K22" i="129"/>
  <c r="K24" i="129" s="1"/>
  <c r="K26" i="129" s="1"/>
  <c r="Y26" i="129"/>
  <c r="U26" i="129"/>
  <c r="AE25" i="127"/>
  <c r="AC23" i="127"/>
  <c r="AC25" i="127"/>
  <c r="AE23" i="127" l="1"/>
  <c r="W23" i="127"/>
  <c r="T23" i="127"/>
  <c r="Y25" i="127"/>
  <c r="U25" i="128" l="1"/>
  <c r="G25" i="128"/>
  <c r="U23" i="128"/>
  <c r="G23" i="128"/>
  <c r="AH22" i="128"/>
  <c r="AH24" i="128" s="1"/>
  <c r="AH26" i="128" s="1"/>
  <c r="AG22" i="128"/>
  <c r="AG24" i="128" s="1"/>
  <c r="AG26" i="128" s="1"/>
  <c r="AF22" i="128"/>
  <c r="AF24" i="128" s="1"/>
  <c r="AF26" i="128" s="1"/>
  <c r="AE22" i="128"/>
  <c r="AE24" i="128" s="1"/>
  <c r="AE26" i="128" s="1"/>
  <c r="AD22" i="128"/>
  <c r="AD24" i="128" s="1"/>
  <c r="AD26" i="128" s="1"/>
  <c r="AC22" i="128"/>
  <c r="AC24" i="128" s="1"/>
  <c r="AC26" i="128" s="1"/>
  <c r="AB22" i="128"/>
  <c r="AB24" i="128" s="1"/>
  <c r="AB26" i="128" s="1"/>
  <c r="AA22" i="128"/>
  <c r="AA24" i="128" s="1"/>
  <c r="AA26" i="128" s="1"/>
  <c r="Z22" i="128"/>
  <c r="Z24" i="128" s="1"/>
  <c r="Z26" i="128" s="1"/>
  <c r="Y22" i="128"/>
  <c r="Y24" i="128" s="1"/>
  <c r="Y26" i="128" s="1"/>
  <c r="W22" i="128"/>
  <c r="W24" i="128" s="1"/>
  <c r="W26" i="128" s="1"/>
  <c r="T22" i="128"/>
  <c r="T24" i="128" s="1"/>
  <c r="T26" i="128" s="1"/>
  <c r="R22" i="128"/>
  <c r="R24" i="128" s="1"/>
  <c r="R26" i="128" s="1"/>
  <c r="Q22" i="128"/>
  <c r="Q24" i="128" s="1"/>
  <c r="Q26" i="128" s="1"/>
  <c r="P22" i="128"/>
  <c r="P24" i="128" s="1"/>
  <c r="P26" i="128" s="1"/>
  <c r="L22" i="128"/>
  <c r="L24" i="128" s="1"/>
  <c r="L26" i="128" s="1"/>
  <c r="J22" i="128"/>
  <c r="J24" i="128" s="1"/>
  <c r="J26" i="128" s="1"/>
  <c r="F22" i="128"/>
  <c r="F24" i="128" s="1"/>
  <c r="F26" i="128" s="1"/>
  <c r="E22" i="128"/>
  <c r="E24" i="128" s="1"/>
  <c r="E26" i="128" s="1"/>
  <c r="D22" i="128"/>
  <c r="D24" i="128" s="1"/>
  <c r="D26" i="128" s="1"/>
  <c r="U21" i="128"/>
  <c r="S21" i="128"/>
  <c r="Q21" i="128"/>
  <c r="O21" i="128"/>
  <c r="N21" i="128"/>
  <c r="M21" i="128"/>
  <c r="K21" i="128"/>
  <c r="G21" i="128"/>
  <c r="E21" i="128"/>
  <c r="X20" i="128"/>
  <c r="X22" i="128" s="1"/>
  <c r="X24" i="128" s="1"/>
  <c r="X26" i="128" s="1"/>
  <c r="V20" i="128"/>
  <c r="V22" i="128" s="1"/>
  <c r="V24" i="128" s="1"/>
  <c r="V26" i="128" s="1"/>
  <c r="U20" i="128"/>
  <c r="S20" i="128"/>
  <c r="Q20" i="128"/>
  <c r="O20" i="128"/>
  <c r="O22" i="128" s="1"/>
  <c r="O24" i="128" s="1"/>
  <c r="O26" i="128" s="1"/>
  <c r="N20" i="128"/>
  <c r="N22" i="128" s="1"/>
  <c r="N24" i="128" s="1"/>
  <c r="N26" i="128" s="1"/>
  <c r="M20" i="128"/>
  <c r="K20" i="128"/>
  <c r="K22" i="128" s="1"/>
  <c r="K24" i="128" s="1"/>
  <c r="K26" i="128" s="1"/>
  <c r="I20" i="128"/>
  <c r="I22" i="128" s="1"/>
  <c r="I24" i="128" s="1"/>
  <c r="I26" i="128" s="1"/>
  <c r="H20" i="128"/>
  <c r="H22" i="128" s="1"/>
  <c r="H24" i="128" s="1"/>
  <c r="H26" i="128" s="1"/>
  <c r="G20" i="128"/>
  <c r="G22" i="128" s="1"/>
  <c r="E20" i="128"/>
  <c r="M22" i="128" l="1"/>
  <c r="M24" i="128" s="1"/>
  <c r="M26" i="128" s="1"/>
  <c r="G24" i="128"/>
  <c r="G26" i="128" s="1"/>
  <c r="S22" i="128"/>
  <c r="S24" i="128" s="1"/>
  <c r="S26" i="128" s="1"/>
  <c r="U22" i="128"/>
  <c r="U24" i="128" s="1"/>
  <c r="U26" i="128" s="1"/>
  <c r="U25" i="127"/>
  <c r="G25" i="127"/>
  <c r="F24" i="127"/>
  <c r="F26" i="127" s="1"/>
  <c r="U23" i="127"/>
  <c r="G23" i="127"/>
  <c r="AG22" i="127"/>
  <c r="AG24" i="127" s="1"/>
  <c r="AG26" i="127" s="1"/>
  <c r="AF22" i="127"/>
  <c r="AF24" i="127" s="1"/>
  <c r="AF26" i="127" s="1"/>
  <c r="AE22" i="127"/>
  <c r="AE24" i="127" s="1"/>
  <c r="AE26" i="127" s="1"/>
  <c r="AD22" i="127"/>
  <c r="AD24" i="127" s="1"/>
  <c r="AD26" i="127" s="1"/>
  <c r="AC22" i="127"/>
  <c r="AC24" i="127" s="1"/>
  <c r="AC26" i="127" s="1"/>
  <c r="AB22" i="127"/>
  <c r="AB24" i="127" s="1"/>
  <c r="AB26" i="127" s="1"/>
  <c r="AA22" i="127"/>
  <c r="AA24" i="127" s="1"/>
  <c r="AA26" i="127" s="1"/>
  <c r="Z22" i="127"/>
  <c r="Z24" i="127" s="1"/>
  <c r="Z26" i="127" s="1"/>
  <c r="Y22" i="127"/>
  <c r="Y24" i="127" s="1"/>
  <c r="Y26" i="127" s="1"/>
  <c r="W22" i="127"/>
  <c r="W24" i="127" s="1"/>
  <c r="W26" i="127" s="1"/>
  <c r="T22" i="127"/>
  <c r="T24" i="127" s="1"/>
  <c r="T26" i="127" s="1"/>
  <c r="R22" i="127"/>
  <c r="R24" i="127" s="1"/>
  <c r="R26" i="127" s="1"/>
  <c r="P22" i="127"/>
  <c r="P24" i="127" s="1"/>
  <c r="P26" i="127" s="1"/>
  <c r="L22" i="127"/>
  <c r="L24" i="127" s="1"/>
  <c r="L26" i="127" s="1"/>
  <c r="K22" i="127"/>
  <c r="K24" i="127" s="1"/>
  <c r="K26" i="127" s="1"/>
  <c r="J22" i="127"/>
  <c r="J24" i="127" s="1"/>
  <c r="J26" i="127" s="1"/>
  <c r="F22" i="127"/>
  <c r="D22" i="127"/>
  <c r="D24" i="127" s="1"/>
  <c r="D26" i="127" s="1"/>
  <c r="U21" i="127"/>
  <c r="S21" i="127"/>
  <c r="Q21" i="127"/>
  <c r="Q22" i="127" s="1"/>
  <c r="Q24" i="127" s="1"/>
  <c r="Q26" i="127" s="1"/>
  <c r="O21" i="127"/>
  <c r="N21" i="127"/>
  <c r="M21" i="127"/>
  <c r="K21" i="127"/>
  <c r="G21" i="127"/>
  <c r="E21" i="127"/>
  <c r="X20" i="127"/>
  <c r="X22" i="127" s="1"/>
  <c r="X24" i="127" s="1"/>
  <c r="X26" i="127" s="1"/>
  <c r="V20" i="127"/>
  <c r="V22" i="127" s="1"/>
  <c r="V24" i="127" s="1"/>
  <c r="V26" i="127" s="1"/>
  <c r="U20" i="127"/>
  <c r="S20" i="127"/>
  <c r="Q20" i="127"/>
  <c r="O20" i="127"/>
  <c r="O22" i="127" s="1"/>
  <c r="O24" i="127" s="1"/>
  <c r="O26" i="127" s="1"/>
  <c r="N20" i="127"/>
  <c r="N22" i="127" s="1"/>
  <c r="N24" i="127" s="1"/>
  <c r="N26" i="127" s="1"/>
  <c r="M20" i="127"/>
  <c r="K20" i="127"/>
  <c r="I20" i="127"/>
  <c r="I22" i="127" s="1"/>
  <c r="I24" i="127" s="1"/>
  <c r="I26" i="127" s="1"/>
  <c r="H20" i="127"/>
  <c r="H22" i="127" s="1"/>
  <c r="H24" i="127" s="1"/>
  <c r="H26" i="127" s="1"/>
  <c r="G20" i="127"/>
  <c r="G22" i="127" s="1"/>
  <c r="G24" i="127" s="1"/>
  <c r="G26" i="127" s="1"/>
  <c r="E20" i="127"/>
  <c r="M22" i="127" l="1"/>
  <c r="M24" i="127" s="1"/>
  <c r="M26" i="127" s="1"/>
  <c r="S22" i="127"/>
  <c r="S24" i="127" s="1"/>
  <c r="S26" i="127" s="1"/>
  <c r="E22" i="127"/>
  <c r="E24" i="127" s="1"/>
  <c r="E26" i="127" s="1"/>
  <c r="U22" i="127"/>
  <c r="U24" i="127" s="1"/>
  <c r="U26" i="127" s="1"/>
  <c r="U25" i="126"/>
  <c r="G25" i="126"/>
  <c r="P24" i="126"/>
  <c r="P26" i="126" s="1"/>
  <c r="L24" i="126"/>
  <c r="L26" i="126" s="1"/>
  <c r="D24" i="126"/>
  <c r="D26" i="126" s="1"/>
  <c r="U23" i="126"/>
  <c r="G23" i="126"/>
  <c r="AH22" i="126"/>
  <c r="AH24" i="126" s="1"/>
  <c r="AH26" i="126" s="1"/>
  <c r="AG22" i="126"/>
  <c r="AG24" i="126" s="1"/>
  <c r="AG26" i="126" s="1"/>
  <c r="AF22" i="126"/>
  <c r="AF24" i="126" s="1"/>
  <c r="AF26" i="126" s="1"/>
  <c r="AE22" i="126"/>
  <c r="AE24" i="126" s="1"/>
  <c r="AE26" i="126" s="1"/>
  <c r="AD22" i="126"/>
  <c r="AD24" i="126" s="1"/>
  <c r="AD26" i="126" s="1"/>
  <c r="AC22" i="126"/>
  <c r="AC24" i="126" s="1"/>
  <c r="AC26" i="126" s="1"/>
  <c r="AB22" i="126"/>
  <c r="AB24" i="126" s="1"/>
  <c r="AB26" i="126" s="1"/>
  <c r="AA22" i="126"/>
  <c r="AA24" i="126" s="1"/>
  <c r="AA26" i="126" s="1"/>
  <c r="Z22" i="126"/>
  <c r="Z24" i="126" s="1"/>
  <c r="Z26" i="126" s="1"/>
  <c r="Y22" i="126"/>
  <c r="Y24" i="126" s="1"/>
  <c r="Y26" i="126" s="1"/>
  <c r="W22" i="126"/>
  <c r="W24" i="126" s="1"/>
  <c r="W26" i="126" s="1"/>
  <c r="T22" i="126"/>
  <c r="T24" i="126" s="1"/>
  <c r="T26" i="126" s="1"/>
  <c r="R22" i="126"/>
  <c r="R24" i="126" s="1"/>
  <c r="R26" i="126" s="1"/>
  <c r="P22" i="126"/>
  <c r="L22" i="126"/>
  <c r="J22" i="126"/>
  <c r="J24" i="126" s="1"/>
  <c r="J26" i="126" s="1"/>
  <c r="F22" i="126"/>
  <c r="F24" i="126" s="1"/>
  <c r="F26" i="126" s="1"/>
  <c r="E22" i="126"/>
  <c r="E24" i="126" s="1"/>
  <c r="E26" i="126" s="1"/>
  <c r="D22" i="126"/>
  <c r="U21" i="126"/>
  <c r="S21" i="126"/>
  <c r="Q21" i="126"/>
  <c r="Q22" i="126" s="1"/>
  <c r="Q24" i="126" s="1"/>
  <c r="Q26" i="126" s="1"/>
  <c r="O21" i="126"/>
  <c r="N21" i="126"/>
  <c r="M21" i="126"/>
  <c r="K21" i="126"/>
  <c r="G21" i="126"/>
  <c r="E21" i="126"/>
  <c r="X20" i="126"/>
  <c r="X22" i="126" s="1"/>
  <c r="X24" i="126" s="1"/>
  <c r="X26" i="126" s="1"/>
  <c r="V20" i="126"/>
  <c r="V22" i="126" s="1"/>
  <c r="V24" i="126" s="1"/>
  <c r="V26" i="126" s="1"/>
  <c r="U20" i="126"/>
  <c r="S20" i="126"/>
  <c r="Q20" i="126"/>
  <c r="O20" i="126"/>
  <c r="O22" i="126" s="1"/>
  <c r="O24" i="126" s="1"/>
  <c r="O26" i="126" s="1"/>
  <c r="N20" i="126"/>
  <c r="N22" i="126" s="1"/>
  <c r="N24" i="126" s="1"/>
  <c r="N26" i="126" s="1"/>
  <c r="M20" i="126"/>
  <c r="M22" i="126" s="1"/>
  <c r="M24" i="126" s="1"/>
  <c r="M26" i="126" s="1"/>
  <c r="K20" i="126"/>
  <c r="I20" i="126"/>
  <c r="I22" i="126" s="1"/>
  <c r="I24" i="126" s="1"/>
  <c r="I26" i="126" s="1"/>
  <c r="H20" i="126"/>
  <c r="H22" i="126" s="1"/>
  <c r="H24" i="126" s="1"/>
  <c r="H26" i="126" s="1"/>
  <c r="G20" i="126"/>
  <c r="G22" i="126" s="1"/>
  <c r="E20" i="126"/>
  <c r="S22" i="126" l="1"/>
  <c r="S24" i="126" s="1"/>
  <c r="S26" i="126" s="1"/>
  <c r="K22" i="126"/>
  <c r="K24" i="126" s="1"/>
  <c r="K26" i="126" s="1"/>
  <c r="G24" i="126"/>
  <c r="G26" i="126" s="1"/>
  <c r="U22" i="126"/>
  <c r="U24" i="126" s="1"/>
  <c r="U26" i="126" s="1"/>
  <c r="U25" i="125"/>
  <c r="G25" i="125"/>
  <c r="AE24" i="125"/>
  <c r="AE26" i="125" s="1"/>
  <c r="AA24" i="125"/>
  <c r="AA26" i="125" s="1"/>
  <c r="U23" i="125"/>
  <c r="G23" i="125"/>
  <c r="AH22" i="125"/>
  <c r="AH24" i="125" s="1"/>
  <c r="AH26" i="125" s="1"/>
  <c r="AG22" i="125"/>
  <c r="AG24" i="125" s="1"/>
  <c r="AG26" i="125" s="1"/>
  <c r="AF22" i="125"/>
  <c r="AF24" i="125" s="1"/>
  <c r="AF26" i="125" s="1"/>
  <c r="AE22" i="125"/>
  <c r="AD22" i="125"/>
  <c r="AD24" i="125" s="1"/>
  <c r="AD26" i="125" s="1"/>
  <c r="AC22" i="125"/>
  <c r="AC24" i="125" s="1"/>
  <c r="AC26" i="125" s="1"/>
  <c r="AB22" i="125"/>
  <c r="AB24" i="125" s="1"/>
  <c r="AB26" i="125" s="1"/>
  <c r="AA22" i="125"/>
  <c r="Z22" i="125"/>
  <c r="Z24" i="125" s="1"/>
  <c r="Z26" i="125" s="1"/>
  <c r="Y22" i="125"/>
  <c r="Y24" i="125" s="1"/>
  <c r="Y26" i="125" s="1"/>
  <c r="X22" i="125"/>
  <c r="X24" i="125" s="1"/>
  <c r="X26" i="125" s="1"/>
  <c r="W22" i="125"/>
  <c r="W24" i="125" s="1"/>
  <c r="W26" i="125" s="1"/>
  <c r="T22" i="125"/>
  <c r="T24" i="125" s="1"/>
  <c r="T26" i="125" s="1"/>
  <c r="R22" i="125"/>
  <c r="R24" i="125" s="1"/>
  <c r="R26" i="125" s="1"/>
  <c r="P22" i="125"/>
  <c r="P24" i="125" s="1"/>
  <c r="P26" i="125" s="1"/>
  <c r="L22" i="125"/>
  <c r="L24" i="125" s="1"/>
  <c r="L26" i="125" s="1"/>
  <c r="J22" i="125"/>
  <c r="J24" i="125" s="1"/>
  <c r="J26" i="125" s="1"/>
  <c r="H22" i="125"/>
  <c r="H24" i="125" s="1"/>
  <c r="H26" i="125" s="1"/>
  <c r="F22" i="125"/>
  <c r="F24" i="125" s="1"/>
  <c r="F26" i="125" s="1"/>
  <c r="D22" i="125"/>
  <c r="D24" i="125" s="1"/>
  <c r="D26" i="125" s="1"/>
  <c r="U21" i="125"/>
  <c r="S21" i="125"/>
  <c r="Q21" i="125"/>
  <c r="O21" i="125"/>
  <c r="N21" i="125"/>
  <c r="M21" i="125"/>
  <c r="K21" i="125"/>
  <c r="G21" i="125"/>
  <c r="E21" i="125"/>
  <c r="X20" i="125"/>
  <c r="V20" i="125"/>
  <c r="V22" i="125" s="1"/>
  <c r="V24" i="125" s="1"/>
  <c r="V26" i="125" s="1"/>
  <c r="U20" i="125"/>
  <c r="S20" i="125"/>
  <c r="Q20" i="125"/>
  <c r="O20" i="125"/>
  <c r="O22" i="125" s="1"/>
  <c r="O24" i="125" s="1"/>
  <c r="O26" i="125" s="1"/>
  <c r="N20" i="125"/>
  <c r="N22" i="125" s="1"/>
  <c r="N24" i="125" s="1"/>
  <c r="N26" i="125" s="1"/>
  <c r="M20" i="125"/>
  <c r="K20" i="125"/>
  <c r="K22" i="125" s="1"/>
  <c r="K24" i="125" s="1"/>
  <c r="K26" i="125" s="1"/>
  <c r="I20" i="125"/>
  <c r="I22" i="125" s="1"/>
  <c r="I24" i="125" s="1"/>
  <c r="I26" i="125" s="1"/>
  <c r="H20" i="125"/>
  <c r="G20" i="125"/>
  <c r="G22" i="125" s="1"/>
  <c r="E20" i="125"/>
  <c r="E22" i="125" s="1"/>
  <c r="E24" i="125" s="1"/>
  <c r="E26" i="125" s="1"/>
  <c r="Q22" i="125" l="1"/>
  <c r="Q24" i="125" s="1"/>
  <c r="Q26" i="125" s="1"/>
  <c r="S22" i="125"/>
  <c r="S24" i="125" s="1"/>
  <c r="S26" i="125" s="1"/>
  <c r="G24" i="125"/>
  <c r="G26" i="125" s="1"/>
  <c r="M22" i="125"/>
  <c r="M24" i="125" s="1"/>
  <c r="M26" i="125" s="1"/>
  <c r="U22" i="125"/>
  <c r="U24" i="125" s="1"/>
  <c r="U26" i="125" s="1"/>
  <c r="T21" i="124"/>
  <c r="U25" i="124" l="1"/>
  <c r="G25" i="124"/>
  <c r="L24" i="124"/>
  <c r="L26" i="124" s="1"/>
  <c r="D24" i="124"/>
  <c r="D26" i="124" s="1"/>
  <c r="U23" i="124"/>
  <c r="G23" i="124"/>
  <c r="AH22" i="124"/>
  <c r="AH24" i="124" s="1"/>
  <c r="AH26" i="124" s="1"/>
  <c r="AG22" i="124"/>
  <c r="AG24" i="124" s="1"/>
  <c r="AG26" i="124" s="1"/>
  <c r="AF22" i="124"/>
  <c r="AF24" i="124" s="1"/>
  <c r="AF26" i="124" s="1"/>
  <c r="AE22" i="124"/>
  <c r="AE24" i="124" s="1"/>
  <c r="AE26" i="124" s="1"/>
  <c r="AD22" i="124"/>
  <c r="AD24" i="124" s="1"/>
  <c r="AD26" i="124" s="1"/>
  <c r="AC22" i="124"/>
  <c r="AC24" i="124" s="1"/>
  <c r="AC26" i="124" s="1"/>
  <c r="AB22" i="124"/>
  <c r="AB24" i="124" s="1"/>
  <c r="AB26" i="124" s="1"/>
  <c r="AA22" i="124"/>
  <c r="AA24" i="124" s="1"/>
  <c r="AA26" i="124" s="1"/>
  <c r="Z22" i="124"/>
  <c r="Z24" i="124" s="1"/>
  <c r="Z26" i="124" s="1"/>
  <c r="Y22" i="124"/>
  <c r="Y24" i="124" s="1"/>
  <c r="Y26" i="124" s="1"/>
  <c r="W22" i="124"/>
  <c r="W24" i="124" s="1"/>
  <c r="W26" i="124" s="1"/>
  <c r="T22" i="124"/>
  <c r="T24" i="124" s="1"/>
  <c r="T26" i="124" s="1"/>
  <c r="R22" i="124"/>
  <c r="R24" i="124" s="1"/>
  <c r="R26" i="124" s="1"/>
  <c r="P22" i="124"/>
  <c r="P24" i="124" s="1"/>
  <c r="P26" i="124" s="1"/>
  <c r="N22" i="124"/>
  <c r="N24" i="124" s="1"/>
  <c r="N26" i="124" s="1"/>
  <c r="M22" i="124"/>
  <c r="M24" i="124" s="1"/>
  <c r="M26" i="124" s="1"/>
  <c r="L22" i="124"/>
  <c r="J22" i="124"/>
  <c r="J24" i="124" s="1"/>
  <c r="J26" i="124" s="1"/>
  <c r="F22" i="124"/>
  <c r="F24" i="124" s="1"/>
  <c r="F26" i="124" s="1"/>
  <c r="D22" i="124"/>
  <c r="U21" i="124"/>
  <c r="S21" i="124"/>
  <c r="Q21" i="124"/>
  <c r="Q22" i="124" s="1"/>
  <c r="Q24" i="124" s="1"/>
  <c r="Q26" i="124" s="1"/>
  <c r="O21" i="124"/>
  <c r="N21" i="124"/>
  <c r="M21" i="124"/>
  <c r="K21" i="124"/>
  <c r="G21" i="124"/>
  <c r="E21" i="124"/>
  <c r="X20" i="124"/>
  <c r="X22" i="124" s="1"/>
  <c r="X24" i="124" s="1"/>
  <c r="X26" i="124" s="1"/>
  <c r="V20" i="124"/>
  <c r="V22" i="124" s="1"/>
  <c r="V24" i="124" s="1"/>
  <c r="V26" i="124" s="1"/>
  <c r="U20" i="124"/>
  <c r="S20" i="124"/>
  <c r="Q20" i="124"/>
  <c r="O20" i="124"/>
  <c r="O22" i="124" s="1"/>
  <c r="O24" i="124" s="1"/>
  <c r="O26" i="124" s="1"/>
  <c r="N20" i="124"/>
  <c r="M20" i="124"/>
  <c r="K20" i="124"/>
  <c r="I20" i="124"/>
  <c r="I22" i="124" s="1"/>
  <c r="I24" i="124" s="1"/>
  <c r="I26" i="124" s="1"/>
  <c r="H20" i="124"/>
  <c r="H22" i="124" s="1"/>
  <c r="H24" i="124" s="1"/>
  <c r="H26" i="124" s="1"/>
  <c r="G20" i="124"/>
  <c r="G22" i="124" s="1"/>
  <c r="E20" i="124"/>
  <c r="E22" i="124" s="1"/>
  <c r="E24" i="124" s="1"/>
  <c r="E26" i="124" s="1"/>
  <c r="K22" i="124" l="1"/>
  <c r="K24" i="124" s="1"/>
  <c r="K26" i="124" s="1"/>
  <c r="S22" i="124"/>
  <c r="S24" i="124" s="1"/>
  <c r="S26" i="124" s="1"/>
  <c r="G24" i="124"/>
  <c r="G26" i="124" s="1"/>
  <c r="U22" i="124"/>
  <c r="U24" i="124" s="1"/>
  <c r="U26" i="124" s="1"/>
  <c r="U25" i="123"/>
  <c r="G25" i="123"/>
  <c r="R24" i="123"/>
  <c r="R26" i="123" s="1"/>
  <c r="P24" i="123"/>
  <c r="P26" i="123" s="1"/>
  <c r="L24" i="123"/>
  <c r="L26" i="123" s="1"/>
  <c r="J24" i="123"/>
  <c r="J26" i="123" s="1"/>
  <c r="U23" i="123"/>
  <c r="G23" i="123"/>
  <c r="AH22" i="123"/>
  <c r="AH24" i="123" s="1"/>
  <c r="AH26" i="123" s="1"/>
  <c r="AG22" i="123"/>
  <c r="AG24" i="123" s="1"/>
  <c r="AG26" i="123" s="1"/>
  <c r="AF22" i="123"/>
  <c r="AF24" i="123" s="1"/>
  <c r="AF26" i="123" s="1"/>
  <c r="AE22" i="123"/>
  <c r="AE24" i="123" s="1"/>
  <c r="AE26" i="123" s="1"/>
  <c r="AD22" i="123"/>
  <c r="AD24" i="123" s="1"/>
  <c r="AD26" i="123" s="1"/>
  <c r="AC22" i="123"/>
  <c r="AC24" i="123" s="1"/>
  <c r="AC26" i="123" s="1"/>
  <c r="AB22" i="123"/>
  <c r="AB24" i="123" s="1"/>
  <c r="AB26" i="123" s="1"/>
  <c r="AA22" i="123"/>
  <c r="AA24" i="123" s="1"/>
  <c r="AA26" i="123" s="1"/>
  <c r="Z22" i="123"/>
  <c r="Z24" i="123" s="1"/>
  <c r="Z26" i="123" s="1"/>
  <c r="Y22" i="123"/>
  <c r="Y24" i="123" s="1"/>
  <c r="Y26" i="123" s="1"/>
  <c r="W22" i="123"/>
  <c r="W24" i="123" s="1"/>
  <c r="W26" i="123" s="1"/>
  <c r="T22" i="123"/>
  <c r="T24" i="123" s="1"/>
  <c r="T26" i="123" s="1"/>
  <c r="R22" i="123"/>
  <c r="P22" i="123"/>
  <c r="L22" i="123"/>
  <c r="J22" i="123"/>
  <c r="F22" i="123"/>
  <c r="F24" i="123" s="1"/>
  <c r="F26" i="123" s="1"/>
  <c r="D22" i="123"/>
  <c r="D24" i="123" s="1"/>
  <c r="D26" i="123" s="1"/>
  <c r="U21" i="123"/>
  <c r="U22" i="123" s="1"/>
  <c r="U24" i="123" s="1"/>
  <c r="U26" i="123" s="1"/>
  <c r="S21" i="123"/>
  <c r="Q21" i="123"/>
  <c r="O21" i="123"/>
  <c r="N21" i="123"/>
  <c r="M21" i="123"/>
  <c r="K21" i="123"/>
  <c r="K22" i="123" s="1"/>
  <c r="K24" i="123" s="1"/>
  <c r="K26" i="123" s="1"/>
  <c r="G21" i="123"/>
  <c r="E21" i="123"/>
  <c r="X20" i="123"/>
  <c r="X22" i="123" s="1"/>
  <c r="X24" i="123" s="1"/>
  <c r="X26" i="123" s="1"/>
  <c r="V20" i="123"/>
  <c r="V22" i="123" s="1"/>
  <c r="V24" i="123" s="1"/>
  <c r="V26" i="123" s="1"/>
  <c r="U20" i="123"/>
  <c r="S20" i="123"/>
  <c r="S22" i="123" s="1"/>
  <c r="S24" i="123" s="1"/>
  <c r="S26" i="123" s="1"/>
  <c r="Q20" i="123"/>
  <c r="O20" i="123"/>
  <c r="O22" i="123" s="1"/>
  <c r="O24" i="123" s="1"/>
  <c r="O26" i="123" s="1"/>
  <c r="N20" i="123"/>
  <c r="N22" i="123" s="1"/>
  <c r="N24" i="123" s="1"/>
  <c r="N26" i="123" s="1"/>
  <c r="M20" i="123"/>
  <c r="K20" i="123"/>
  <c r="I20" i="123"/>
  <c r="I22" i="123" s="1"/>
  <c r="I24" i="123" s="1"/>
  <c r="I26" i="123" s="1"/>
  <c r="H20" i="123"/>
  <c r="H22" i="123" s="1"/>
  <c r="H24" i="123" s="1"/>
  <c r="H26" i="123" s="1"/>
  <c r="G20" i="123"/>
  <c r="G22" i="123" s="1"/>
  <c r="G24" i="123" s="1"/>
  <c r="G26" i="123" s="1"/>
  <c r="E20" i="123"/>
  <c r="E22" i="123" l="1"/>
  <c r="E24" i="123" s="1"/>
  <c r="E26" i="123" s="1"/>
  <c r="M22" i="123"/>
  <c r="M24" i="123" s="1"/>
  <c r="M26" i="123" s="1"/>
  <c r="Q22" i="123"/>
  <c r="Q24" i="123" s="1"/>
  <c r="Q26" i="123" s="1"/>
  <c r="Z25" i="122"/>
  <c r="Y25" i="122"/>
  <c r="W25" i="122"/>
  <c r="T25" i="122"/>
  <c r="U25" i="122" l="1"/>
  <c r="G25" i="122"/>
  <c r="AE24" i="122"/>
  <c r="AE26" i="122" s="1"/>
  <c r="R24" i="122"/>
  <c r="R26" i="122" s="1"/>
  <c r="K24" i="122"/>
  <c r="K26" i="122" s="1"/>
  <c r="J24" i="122"/>
  <c r="J26" i="122" s="1"/>
  <c r="F24" i="122"/>
  <c r="F26" i="122" s="1"/>
  <c r="U23" i="122"/>
  <c r="G23" i="122"/>
  <c r="AH22" i="122"/>
  <c r="AH24" i="122" s="1"/>
  <c r="AH26" i="122" s="1"/>
  <c r="AG22" i="122"/>
  <c r="AG24" i="122" s="1"/>
  <c r="AG26" i="122" s="1"/>
  <c r="AF22" i="122"/>
  <c r="AF24" i="122" s="1"/>
  <c r="AF26" i="122" s="1"/>
  <c r="AE22" i="122"/>
  <c r="AD22" i="122"/>
  <c r="AD24" i="122" s="1"/>
  <c r="AD26" i="122" s="1"/>
  <c r="AC22" i="122"/>
  <c r="AC24" i="122" s="1"/>
  <c r="AC26" i="122" s="1"/>
  <c r="AB22" i="122"/>
  <c r="AB24" i="122" s="1"/>
  <c r="AB26" i="122" s="1"/>
  <c r="AA22" i="122"/>
  <c r="AA24" i="122" s="1"/>
  <c r="AA26" i="122" s="1"/>
  <c r="Z22" i="122"/>
  <c r="Z24" i="122" s="1"/>
  <c r="Z26" i="122" s="1"/>
  <c r="Y22" i="122"/>
  <c r="Y24" i="122" s="1"/>
  <c r="Y26" i="122" s="1"/>
  <c r="X22" i="122"/>
  <c r="X24" i="122" s="1"/>
  <c r="X26" i="122" s="1"/>
  <c r="W22" i="122"/>
  <c r="W24" i="122" s="1"/>
  <c r="W26" i="122" s="1"/>
  <c r="T22" i="122"/>
  <c r="T24" i="122" s="1"/>
  <c r="T26" i="122" s="1"/>
  <c r="R22" i="122"/>
  <c r="P22" i="122"/>
  <c r="P24" i="122" s="1"/>
  <c r="P26" i="122" s="1"/>
  <c r="L22" i="122"/>
  <c r="L24" i="122" s="1"/>
  <c r="L26" i="122" s="1"/>
  <c r="K22" i="122"/>
  <c r="J22" i="122"/>
  <c r="F22" i="122"/>
  <c r="D22" i="122"/>
  <c r="D24" i="122" s="1"/>
  <c r="D26" i="122" s="1"/>
  <c r="U21" i="122"/>
  <c r="S21" i="122"/>
  <c r="Q21" i="122"/>
  <c r="Q22" i="122" s="1"/>
  <c r="Q24" i="122" s="1"/>
  <c r="Q26" i="122" s="1"/>
  <c r="O21" i="122"/>
  <c r="N21" i="122"/>
  <c r="M21" i="122"/>
  <c r="K21" i="122"/>
  <c r="G21" i="122"/>
  <c r="E21" i="122"/>
  <c r="X20" i="122"/>
  <c r="V20" i="122"/>
  <c r="V22" i="122" s="1"/>
  <c r="V24" i="122" s="1"/>
  <c r="V26" i="122" s="1"/>
  <c r="U20" i="122"/>
  <c r="S20" i="122"/>
  <c r="Q20" i="122"/>
  <c r="O20" i="122"/>
  <c r="O22" i="122" s="1"/>
  <c r="O24" i="122" s="1"/>
  <c r="O26" i="122" s="1"/>
  <c r="N20" i="122"/>
  <c r="N22" i="122" s="1"/>
  <c r="N24" i="122" s="1"/>
  <c r="N26" i="122" s="1"/>
  <c r="M20" i="122"/>
  <c r="M22" i="122" s="1"/>
  <c r="M24" i="122" s="1"/>
  <c r="M26" i="122" s="1"/>
  <c r="K20" i="122"/>
  <c r="I20" i="122"/>
  <c r="I22" i="122" s="1"/>
  <c r="I24" i="122" s="1"/>
  <c r="I26" i="122" s="1"/>
  <c r="H20" i="122"/>
  <c r="H22" i="122" s="1"/>
  <c r="H24" i="122" s="1"/>
  <c r="H26" i="122" s="1"/>
  <c r="G20" i="122"/>
  <c r="G22" i="122" s="1"/>
  <c r="E20" i="122"/>
  <c r="E22" i="122" l="1"/>
  <c r="E24" i="122" s="1"/>
  <c r="E26" i="122" s="1"/>
  <c r="G24" i="122"/>
  <c r="G26" i="122" s="1"/>
  <c r="S22" i="122"/>
  <c r="S24" i="122" s="1"/>
  <c r="S26" i="122" s="1"/>
  <c r="U22" i="122"/>
  <c r="U24" i="122" s="1"/>
  <c r="U26" i="122" s="1"/>
  <c r="U25" i="121"/>
  <c r="G25" i="121"/>
  <c r="R24" i="121"/>
  <c r="R26" i="121" s="1"/>
  <c r="J24" i="121"/>
  <c r="J26" i="121" s="1"/>
  <c r="F24" i="121"/>
  <c r="F26" i="121" s="1"/>
  <c r="U23" i="121"/>
  <c r="G23" i="121"/>
  <c r="AH22" i="121"/>
  <c r="AH24" i="121" s="1"/>
  <c r="AH26" i="121" s="1"/>
  <c r="AG22" i="121"/>
  <c r="AG24" i="121" s="1"/>
  <c r="AG26" i="121" s="1"/>
  <c r="AF22" i="121"/>
  <c r="AF24" i="121" s="1"/>
  <c r="AF26" i="121" s="1"/>
  <c r="AE22" i="121"/>
  <c r="AE24" i="121" s="1"/>
  <c r="AE26" i="121" s="1"/>
  <c r="AD22" i="121"/>
  <c r="AD24" i="121" s="1"/>
  <c r="AD26" i="121" s="1"/>
  <c r="AC22" i="121"/>
  <c r="AC24" i="121" s="1"/>
  <c r="AC26" i="121" s="1"/>
  <c r="AB22" i="121"/>
  <c r="AB24" i="121" s="1"/>
  <c r="AB26" i="121" s="1"/>
  <c r="AA22" i="121"/>
  <c r="AA24" i="121" s="1"/>
  <c r="AA26" i="121" s="1"/>
  <c r="Z22" i="121"/>
  <c r="Z24" i="121" s="1"/>
  <c r="Z26" i="121" s="1"/>
  <c r="Y22" i="121"/>
  <c r="Y24" i="121" s="1"/>
  <c r="Y26" i="121" s="1"/>
  <c r="X22" i="121"/>
  <c r="X24" i="121" s="1"/>
  <c r="X26" i="121" s="1"/>
  <c r="W22" i="121"/>
  <c r="W24" i="121" s="1"/>
  <c r="W26" i="121" s="1"/>
  <c r="T22" i="121"/>
  <c r="T24" i="121" s="1"/>
  <c r="T26" i="121" s="1"/>
  <c r="R22" i="121"/>
  <c r="P22" i="121"/>
  <c r="P24" i="121" s="1"/>
  <c r="P26" i="121" s="1"/>
  <c r="L22" i="121"/>
  <c r="L24" i="121" s="1"/>
  <c r="L26" i="121" s="1"/>
  <c r="K22" i="121"/>
  <c r="K24" i="121" s="1"/>
  <c r="K26" i="121" s="1"/>
  <c r="J22" i="121"/>
  <c r="F22" i="121"/>
  <c r="D22" i="121"/>
  <c r="D24" i="121" s="1"/>
  <c r="D26" i="121" s="1"/>
  <c r="U21" i="121"/>
  <c r="S21" i="121"/>
  <c r="Q21" i="121"/>
  <c r="O21" i="121"/>
  <c r="N21" i="121"/>
  <c r="M21" i="121"/>
  <c r="K21" i="121"/>
  <c r="G21" i="121"/>
  <c r="E21" i="121"/>
  <c r="X20" i="121"/>
  <c r="V20" i="121"/>
  <c r="V22" i="121" s="1"/>
  <c r="V24" i="121" s="1"/>
  <c r="V26" i="121" s="1"/>
  <c r="U20" i="121"/>
  <c r="S20" i="121"/>
  <c r="Q20" i="121"/>
  <c r="O20" i="121"/>
  <c r="O22" i="121" s="1"/>
  <c r="O24" i="121" s="1"/>
  <c r="O26" i="121" s="1"/>
  <c r="N20" i="121"/>
  <c r="N22" i="121" s="1"/>
  <c r="N24" i="121" s="1"/>
  <c r="N26" i="121" s="1"/>
  <c r="M20" i="121"/>
  <c r="K20" i="121"/>
  <c r="I20" i="121"/>
  <c r="I22" i="121" s="1"/>
  <c r="I24" i="121" s="1"/>
  <c r="I26" i="121" s="1"/>
  <c r="H20" i="121"/>
  <c r="H22" i="121" s="1"/>
  <c r="H24" i="121" s="1"/>
  <c r="H26" i="121" s="1"/>
  <c r="G20" i="121"/>
  <c r="G22" i="121" s="1"/>
  <c r="E20" i="121"/>
  <c r="E22" i="121" s="1"/>
  <c r="E24" i="121" s="1"/>
  <c r="E26" i="121" s="1"/>
  <c r="Q22" i="121" l="1"/>
  <c r="Q24" i="121" s="1"/>
  <c r="Q26" i="121" s="1"/>
  <c r="S22" i="121"/>
  <c r="S24" i="121" s="1"/>
  <c r="S26" i="121" s="1"/>
  <c r="M22" i="121"/>
  <c r="M24" i="121" s="1"/>
  <c r="M26" i="121" s="1"/>
  <c r="G24" i="121"/>
  <c r="G26" i="121" s="1"/>
  <c r="U22" i="121"/>
  <c r="U24" i="121" s="1"/>
  <c r="U26" i="121" s="1"/>
  <c r="AF25" i="120"/>
  <c r="AC25" i="120"/>
  <c r="AD25" i="120"/>
  <c r="Z25" i="120"/>
  <c r="Y25" i="120"/>
  <c r="W25" i="120"/>
  <c r="T25" i="120"/>
  <c r="U25" i="120" l="1"/>
  <c r="G25" i="120"/>
  <c r="L24" i="120"/>
  <c r="L26" i="120" s="1"/>
  <c r="D24" i="120"/>
  <c r="D26" i="120" s="1"/>
  <c r="U23" i="120"/>
  <c r="G23" i="120"/>
  <c r="AH22" i="120"/>
  <c r="AH24" i="120" s="1"/>
  <c r="AH26" i="120" s="1"/>
  <c r="AG22" i="120"/>
  <c r="AG24" i="120" s="1"/>
  <c r="AG26" i="120" s="1"/>
  <c r="AF22" i="120"/>
  <c r="AF24" i="120" s="1"/>
  <c r="AF26" i="120" s="1"/>
  <c r="AE22" i="120"/>
  <c r="AE24" i="120" s="1"/>
  <c r="AE26" i="120" s="1"/>
  <c r="AD22" i="120"/>
  <c r="AD24" i="120" s="1"/>
  <c r="AD26" i="120" s="1"/>
  <c r="AC22" i="120"/>
  <c r="AC24" i="120" s="1"/>
  <c r="AC26" i="120" s="1"/>
  <c r="AB22" i="120"/>
  <c r="AB24" i="120" s="1"/>
  <c r="AB26" i="120" s="1"/>
  <c r="AA22" i="120"/>
  <c r="AA24" i="120" s="1"/>
  <c r="AA26" i="120" s="1"/>
  <c r="Z22" i="120"/>
  <c r="Z24" i="120" s="1"/>
  <c r="Z26" i="120" s="1"/>
  <c r="Y22" i="120"/>
  <c r="Y24" i="120" s="1"/>
  <c r="Y26" i="120" s="1"/>
  <c r="W22" i="120"/>
  <c r="W24" i="120" s="1"/>
  <c r="W26" i="120" s="1"/>
  <c r="T22" i="120"/>
  <c r="T24" i="120" s="1"/>
  <c r="T26" i="120" s="1"/>
  <c r="R22" i="120"/>
  <c r="R24" i="120" s="1"/>
  <c r="R26" i="120" s="1"/>
  <c r="P22" i="120"/>
  <c r="P24" i="120" s="1"/>
  <c r="P26" i="120" s="1"/>
  <c r="N22" i="120"/>
  <c r="N24" i="120" s="1"/>
  <c r="N26" i="120" s="1"/>
  <c r="M22" i="120"/>
  <c r="M24" i="120" s="1"/>
  <c r="M26" i="120" s="1"/>
  <c r="L22" i="120"/>
  <c r="J22" i="120"/>
  <c r="J24" i="120" s="1"/>
  <c r="J26" i="120" s="1"/>
  <c r="F22" i="120"/>
  <c r="F24" i="120" s="1"/>
  <c r="F26" i="120" s="1"/>
  <c r="D22" i="120"/>
  <c r="U21" i="120"/>
  <c r="S21" i="120"/>
  <c r="Q21" i="120"/>
  <c r="Q22" i="120" s="1"/>
  <c r="Q24" i="120" s="1"/>
  <c r="Q26" i="120" s="1"/>
  <c r="O21" i="120"/>
  <c r="N21" i="120"/>
  <c r="M21" i="120"/>
  <c r="K21" i="120"/>
  <c r="G21" i="120"/>
  <c r="E21" i="120"/>
  <c r="X20" i="120"/>
  <c r="X22" i="120" s="1"/>
  <c r="X24" i="120" s="1"/>
  <c r="X26" i="120" s="1"/>
  <c r="V20" i="120"/>
  <c r="V22" i="120" s="1"/>
  <c r="V24" i="120" s="1"/>
  <c r="V26" i="120" s="1"/>
  <c r="U20" i="120"/>
  <c r="S20" i="120"/>
  <c r="S22" i="120" s="1"/>
  <c r="S24" i="120" s="1"/>
  <c r="S26" i="120" s="1"/>
  <c r="Q20" i="120"/>
  <c r="O20" i="120"/>
  <c r="O22" i="120" s="1"/>
  <c r="O24" i="120" s="1"/>
  <c r="O26" i="120" s="1"/>
  <c r="N20" i="120"/>
  <c r="M20" i="120"/>
  <c r="K20" i="120"/>
  <c r="K22" i="120" s="1"/>
  <c r="K24" i="120" s="1"/>
  <c r="K26" i="120" s="1"/>
  <c r="I20" i="120"/>
  <c r="I22" i="120" s="1"/>
  <c r="I24" i="120" s="1"/>
  <c r="I26" i="120" s="1"/>
  <c r="H20" i="120"/>
  <c r="H22" i="120" s="1"/>
  <c r="H24" i="120" s="1"/>
  <c r="H26" i="120" s="1"/>
  <c r="G20" i="120"/>
  <c r="G22" i="120" s="1"/>
  <c r="E20" i="120"/>
  <c r="E22" i="120" s="1"/>
  <c r="E24" i="120" s="1"/>
  <c r="E26" i="120" s="1"/>
  <c r="G24" i="120" l="1"/>
  <c r="G26" i="120" s="1"/>
  <c r="U22" i="120"/>
  <c r="U24" i="120" s="1"/>
  <c r="U26" i="120" s="1"/>
  <c r="U25" i="119"/>
  <c r="G25" i="119"/>
  <c r="L24" i="119"/>
  <c r="L26" i="119" s="1"/>
  <c r="D24" i="119"/>
  <c r="D26" i="119" s="1"/>
  <c r="U23" i="119"/>
  <c r="G23" i="119"/>
  <c r="AH22" i="119"/>
  <c r="AH24" i="119" s="1"/>
  <c r="AH26" i="119" s="1"/>
  <c r="AG22" i="119"/>
  <c r="AG24" i="119" s="1"/>
  <c r="AG26" i="119" s="1"/>
  <c r="AF22" i="119"/>
  <c r="AF24" i="119" s="1"/>
  <c r="AF26" i="119" s="1"/>
  <c r="AE22" i="119"/>
  <c r="AE24" i="119" s="1"/>
  <c r="AE26" i="119" s="1"/>
  <c r="AD22" i="119"/>
  <c r="AD24" i="119" s="1"/>
  <c r="AD26" i="119" s="1"/>
  <c r="AC22" i="119"/>
  <c r="AC24" i="119" s="1"/>
  <c r="AC26" i="119" s="1"/>
  <c r="AB22" i="119"/>
  <c r="AB24" i="119" s="1"/>
  <c r="AB26" i="119" s="1"/>
  <c r="AA22" i="119"/>
  <c r="AA24" i="119" s="1"/>
  <c r="AA26" i="119" s="1"/>
  <c r="Z22" i="119"/>
  <c r="Z24" i="119" s="1"/>
  <c r="Z26" i="119" s="1"/>
  <c r="Y22" i="119"/>
  <c r="Y24" i="119" s="1"/>
  <c r="Y26" i="119" s="1"/>
  <c r="W22" i="119"/>
  <c r="W24" i="119" s="1"/>
  <c r="W26" i="119" s="1"/>
  <c r="T22" i="119"/>
  <c r="T24" i="119" s="1"/>
  <c r="T26" i="119" s="1"/>
  <c r="R22" i="119"/>
  <c r="R24" i="119" s="1"/>
  <c r="R26" i="119" s="1"/>
  <c r="P22" i="119"/>
  <c r="P24" i="119" s="1"/>
  <c r="P26" i="119" s="1"/>
  <c r="L22" i="119"/>
  <c r="J22" i="119"/>
  <c r="J24" i="119" s="1"/>
  <c r="J26" i="119" s="1"/>
  <c r="F22" i="119"/>
  <c r="F24" i="119" s="1"/>
  <c r="F26" i="119" s="1"/>
  <c r="E22" i="119"/>
  <c r="E24" i="119" s="1"/>
  <c r="E26" i="119" s="1"/>
  <c r="D22" i="119"/>
  <c r="U21" i="119"/>
  <c r="U22" i="119" s="1"/>
  <c r="S21" i="119"/>
  <c r="Q21" i="119"/>
  <c r="Q22" i="119" s="1"/>
  <c r="Q24" i="119" s="1"/>
  <c r="Q26" i="119" s="1"/>
  <c r="O21" i="119"/>
  <c r="N21" i="119"/>
  <c r="M21" i="119"/>
  <c r="K21" i="119"/>
  <c r="G21" i="119"/>
  <c r="E21" i="119"/>
  <c r="X20" i="119"/>
  <c r="X22" i="119" s="1"/>
  <c r="X24" i="119" s="1"/>
  <c r="X26" i="119" s="1"/>
  <c r="V20" i="119"/>
  <c r="V22" i="119" s="1"/>
  <c r="V24" i="119" s="1"/>
  <c r="V26" i="119" s="1"/>
  <c r="U20" i="119"/>
  <c r="S20" i="119"/>
  <c r="Q20" i="119"/>
  <c r="O20" i="119"/>
  <c r="O22" i="119" s="1"/>
  <c r="O24" i="119" s="1"/>
  <c r="O26" i="119" s="1"/>
  <c r="N20" i="119"/>
  <c r="N22" i="119" s="1"/>
  <c r="N24" i="119" s="1"/>
  <c r="N26" i="119" s="1"/>
  <c r="M20" i="119"/>
  <c r="M22" i="119" s="1"/>
  <c r="M24" i="119" s="1"/>
  <c r="M26" i="119" s="1"/>
  <c r="K20" i="119"/>
  <c r="K22" i="119" s="1"/>
  <c r="K24" i="119" s="1"/>
  <c r="K26" i="119" s="1"/>
  <c r="I20" i="119"/>
  <c r="I22" i="119" s="1"/>
  <c r="I24" i="119" s="1"/>
  <c r="I26" i="119" s="1"/>
  <c r="H20" i="119"/>
  <c r="H22" i="119" s="1"/>
  <c r="H24" i="119" s="1"/>
  <c r="H26" i="119" s="1"/>
  <c r="G20" i="119"/>
  <c r="G22" i="119" s="1"/>
  <c r="E20" i="119"/>
  <c r="U24" i="119" l="1"/>
  <c r="G24" i="119"/>
  <c r="G26" i="119" s="1"/>
  <c r="S22" i="119"/>
  <c r="S24" i="119" s="1"/>
  <c r="S26" i="119" s="1"/>
  <c r="U26" i="119"/>
  <c r="G25" i="118"/>
  <c r="U25" i="118"/>
  <c r="F24" i="118" l="1"/>
  <c r="F26" i="118" s="1"/>
  <c r="U23" i="118"/>
  <c r="G23" i="118"/>
  <c r="AH22" i="118"/>
  <c r="AH24" i="118" s="1"/>
  <c r="AH26" i="118" s="1"/>
  <c r="AG22" i="118"/>
  <c r="AG24" i="118" s="1"/>
  <c r="AG26" i="118" s="1"/>
  <c r="AF22" i="118"/>
  <c r="AF24" i="118" s="1"/>
  <c r="AF26" i="118" s="1"/>
  <c r="AE22" i="118"/>
  <c r="AE24" i="118" s="1"/>
  <c r="AE26" i="118" s="1"/>
  <c r="AD22" i="118"/>
  <c r="AD24" i="118" s="1"/>
  <c r="AD26" i="118" s="1"/>
  <c r="AC22" i="118"/>
  <c r="AC24" i="118" s="1"/>
  <c r="AC26" i="118" s="1"/>
  <c r="AB22" i="118"/>
  <c r="AB24" i="118" s="1"/>
  <c r="AB26" i="118" s="1"/>
  <c r="AA22" i="118"/>
  <c r="AA24" i="118" s="1"/>
  <c r="AA26" i="118" s="1"/>
  <c r="Z22" i="118"/>
  <c r="Z24" i="118" s="1"/>
  <c r="Z26" i="118" s="1"/>
  <c r="Y22" i="118"/>
  <c r="Y24" i="118" s="1"/>
  <c r="Y26" i="118" s="1"/>
  <c r="X22" i="118"/>
  <c r="X24" i="118" s="1"/>
  <c r="X26" i="118" s="1"/>
  <c r="W22" i="118"/>
  <c r="W24" i="118" s="1"/>
  <c r="W26" i="118" s="1"/>
  <c r="T22" i="118"/>
  <c r="T24" i="118" s="1"/>
  <c r="T26" i="118" s="1"/>
  <c r="R22" i="118"/>
  <c r="R24" i="118" s="1"/>
  <c r="R26" i="118" s="1"/>
  <c r="P22" i="118"/>
  <c r="P24" i="118" s="1"/>
  <c r="P26" i="118" s="1"/>
  <c r="O22" i="118"/>
  <c r="O24" i="118" s="1"/>
  <c r="O26" i="118" s="1"/>
  <c r="L22" i="118"/>
  <c r="L24" i="118" s="1"/>
  <c r="L26" i="118" s="1"/>
  <c r="K22" i="118"/>
  <c r="K24" i="118" s="1"/>
  <c r="K26" i="118" s="1"/>
  <c r="J22" i="118"/>
  <c r="J24" i="118" s="1"/>
  <c r="J26" i="118" s="1"/>
  <c r="F22" i="118"/>
  <c r="D22" i="118"/>
  <c r="D24" i="118" s="1"/>
  <c r="D26" i="118" s="1"/>
  <c r="U21" i="118"/>
  <c r="S21" i="118"/>
  <c r="Q21" i="118"/>
  <c r="Q22" i="118" s="1"/>
  <c r="Q24" i="118" s="1"/>
  <c r="Q26" i="118" s="1"/>
  <c r="O21" i="118"/>
  <c r="N21" i="118"/>
  <c r="M21" i="118"/>
  <c r="K21" i="118"/>
  <c r="G21" i="118"/>
  <c r="E21" i="118"/>
  <c r="E22" i="118" s="1"/>
  <c r="E24" i="118" s="1"/>
  <c r="E26" i="118" s="1"/>
  <c r="X20" i="118"/>
  <c r="V20" i="118"/>
  <c r="V22" i="118" s="1"/>
  <c r="V24" i="118" s="1"/>
  <c r="V26" i="118" s="1"/>
  <c r="U20" i="118"/>
  <c r="S20" i="118"/>
  <c r="Q20" i="118"/>
  <c r="O20" i="118"/>
  <c r="N20" i="118"/>
  <c r="N22" i="118" s="1"/>
  <c r="N24" i="118" s="1"/>
  <c r="N26" i="118" s="1"/>
  <c r="M20" i="118"/>
  <c r="K20" i="118"/>
  <c r="I20" i="118"/>
  <c r="I22" i="118" s="1"/>
  <c r="I24" i="118" s="1"/>
  <c r="I26" i="118" s="1"/>
  <c r="H20" i="118"/>
  <c r="H22" i="118" s="1"/>
  <c r="H24" i="118" s="1"/>
  <c r="H26" i="118" s="1"/>
  <c r="G20" i="118"/>
  <c r="G22" i="118" s="1"/>
  <c r="G24" i="118" s="1"/>
  <c r="G26" i="118" s="1"/>
  <c r="E20" i="118"/>
  <c r="S22" i="118" l="1"/>
  <c r="S24" i="118" s="1"/>
  <c r="S26" i="118" s="1"/>
  <c r="M22" i="118"/>
  <c r="M24" i="118" s="1"/>
  <c r="M26" i="118" s="1"/>
  <c r="U22" i="118"/>
  <c r="U24" i="118" s="1"/>
  <c r="U26" i="118" s="1"/>
  <c r="U25" i="117"/>
  <c r="G25" i="117"/>
  <c r="J24" i="117"/>
  <c r="J26" i="117" s="1"/>
  <c r="F24" i="117"/>
  <c r="F26" i="117" s="1"/>
  <c r="U23" i="117"/>
  <c r="G23" i="117"/>
  <c r="AH22" i="117"/>
  <c r="AH24" i="117" s="1"/>
  <c r="AH26" i="117" s="1"/>
  <c r="AG22" i="117"/>
  <c r="AG24" i="117" s="1"/>
  <c r="AG26" i="117" s="1"/>
  <c r="AF22" i="117"/>
  <c r="AF24" i="117" s="1"/>
  <c r="AF26" i="117" s="1"/>
  <c r="AE22" i="117"/>
  <c r="AE24" i="117" s="1"/>
  <c r="AE26" i="117" s="1"/>
  <c r="AD22" i="117"/>
  <c r="AD24" i="117" s="1"/>
  <c r="AD26" i="117" s="1"/>
  <c r="AC22" i="117"/>
  <c r="AC24" i="117" s="1"/>
  <c r="AC26" i="117" s="1"/>
  <c r="AB22" i="117"/>
  <c r="AB24" i="117" s="1"/>
  <c r="AB26" i="117" s="1"/>
  <c r="AA22" i="117"/>
  <c r="AA24" i="117" s="1"/>
  <c r="AA26" i="117" s="1"/>
  <c r="Z22" i="117"/>
  <c r="Z24" i="117" s="1"/>
  <c r="Z26" i="117" s="1"/>
  <c r="Y22" i="117"/>
  <c r="Y24" i="117" s="1"/>
  <c r="Y26" i="117" s="1"/>
  <c r="X22" i="117"/>
  <c r="X24" i="117" s="1"/>
  <c r="X26" i="117" s="1"/>
  <c r="W22" i="117"/>
  <c r="W24" i="117" s="1"/>
  <c r="W26" i="117" s="1"/>
  <c r="T22" i="117"/>
  <c r="T24" i="117" s="1"/>
  <c r="T26" i="117" s="1"/>
  <c r="R22" i="117"/>
  <c r="R24" i="117" s="1"/>
  <c r="R26" i="117" s="1"/>
  <c r="P22" i="117"/>
  <c r="P24" i="117" s="1"/>
  <c r="P26" i="117" s="1"/>
  <c r="L22" i="117"/>
  <c r="L24" i="117" s="1"/>
  <c r="L26" i="117" s="1"/>
  <c r="K22" i="117"/>
  <c r="K24" i="117" s="1"/>
  <c r="K26" i="117" s="1"/>
  <c r="J22" i="117"/>
  <c r="F22" i="117"/>
  <c r="D22" i="117"/>
  <c r="D24" i="117" s="1"/>
  <c r="D26" i="117" s="1"/>
  <c r="U21" i="117"/>
  <c r="S21" i="117"/>
  <c r="Q21" i="117"/>
  <c r="Q22" i="117" s="1"/>
  <c r="Q24" i="117" s="1"/>
  <c r="Q26" i="117" s="1"/>
  <c r="O21" i="117"/>
  <c r="N21" i="117"/>
  <c r="M21" i="117"/>
  <c r="K21" i="117"/>
  <c r="G21" i="117"/>
  <c r="E21" i="117"/>
  <c r="E22" i="117" s="1"/>
  <c r="E24" i="117" s="1"/>
  <c r="E26" i="117" s="1"/>
  <c r="X20" i="117"/>
  <c r="V20" i="117"/>
  <c r="V22" i="117" s="1"/>
  <c r="V24" i="117" s="1"/>
  <c r="V26" i="117" s="1"/>
  <c r="U20" i="117"/>
  <c r="S20" i="117"/>
  <c r="Q20" i="117"/>
  <c r="O20" i="117"/>
  <c r="O22" i="117" s="1"/>
  <c r="O24" i="117" s="1"/>
  <c r="O26" i="117" s="1"/>
  <c r="N20" i="117"/>
  <c r="N22" i="117" s="1"/>
  <c r="N24" i="117" s="1"/>
  <c r="N26" i="117" s="1"/>
  <c r="M20" i="117"/>
  <c r="M22" i="117" s="1"/>
  <c r="M24" i="117" s="1"/>
  <c r="M26" i="117" s="1"/>
  <c r="K20" i="117"/>
  <c r="I20" i="117"/>
  <c r="I22" i="117" s="1"/>
  <c r="I24" i="117" s="1"/>
  <c r="I26" i="117" s="1"/>
  <c r="H20" i="117"/>
  <c r="H22" i="117" s="1"/>
  <c r="H24" i="117" s="1"/>
  <c r="H26" i="117" s="1"/>
  <c r="G20" i="117"/>
  <c r="G22" i="117" s="1"/>
  <c r="E20" i="117"/>
  <c r="S22" i="117" l="1"/>
  <c r="S24" i="117" s="1"/>
  <c r="S26" i="117" s="1"/>
  <c r="U22" i="117"/>
  <c r="U24" i="117" s="1"/>
  <c r="G24" i="117"/>
  <c r="G26" i="117" s="1"/>
  <c r="U26" i="117"/>
  <c r="U25" i="116"/>
  <c r="G25" i="116"/>
  <c r="J24" i="116"/>
  <c r="J26" i="116" s="1"/>
  <c r="U23" i="116"/>
  <c r="G23" i="116"/>
  <c r="AH22" i="116"/>
  <c r="AH24" i="116" s="1"/>
  <c r="AH26" i="116" s="1"/>
  <c r="AG22" i="116"/>
  <c r="AG24" i="116" s="1"/>
  <c r="AG26" i="116" s="1"/>
  <c r="AF22" i="116"/>
  <c r="AF24" i="116" s="1"/>
  <c r="AF26" i="116" s="1"/>
  <c r="AE22" i="116"/>
  <c r="AE24" i="116" s="1"/>
  <c r="AE26" i="116" s="1"/>
  <c r="AD22" i="116"/>
  <c r="AD24" i="116" s="1"/>
  <c r="AD26" i="116" s="1"/>
  <c r="AC22" i="116"/>
  <c r="AC24" i="116" s="1"/>
  <c r="AC26" i="116" s="1"/>
  <c r="AB22" i="116"/>
  <c r="AB24" i="116" s="1"/>
  <c r="AB26" i="116" s="1"/>
  <c r="AA22" i="116"/>
  <c r="AA24" i="116" s="1"/>
  <c r="AA26" i="116" s="1"/>
  <c r="Z22" i="116"/>
  <c r="Z24" i="116" s="1"/>
  <c r="Z26" i="116" s="1"/>
  <c r="Y22" i="116"/>
  <c r="Y24" i="116" s="1"/>
  <c r="Y26" i="116" s="1"/>
  <c r="X22" i="116"/>
  <c r="X24" i="116" s="1"/>
  <c r="X26" i="116" s="1"/>
  <c r="W22" i="116"/>
  <c r="W24" i="116" s="1"/>
  <c r="W26" i="116" s="1"/>
  <c r="T22" i="116"/>
  <c r="T24" i="116" s="1"/>
  <c r="T26" i="116" s="1"/>
  <c r="R22" i="116"/>
  <c r="R24" i="116" s="1"/>
  <c r="R26" i="116" s="1"/>
  <c r="P22" i="116"/>
  <c r="P24" i="116" s="1"/>
  <c r="P26" i="116" s="1"/>
  <c r="L22" i="116"/>
  <c r="L24" i="116" s="1"/>
  <c r="L26" i="116" s="1"/>
  <c r="K22" i="116"/>
  <c r="K24" i="116" s="1"/>
  <c r="K26" i="116" s="1"/>
  <c r="J22" i="116"/>
  <c r="F22" i="116"/>
  <c r="F24" i="116" s="1"/>
  <c r="F26" i="116" s="1"/>
  <c r="D22" i="116"/>
  <c r="D24" i="116" s="1"/>
  <c r="D26" i="116" s="1"/>
  <c r="U21" i="116"/>
  <c r="S21" i="116"/>
  <c r="Q21" i="116"/>
  <c r="Q22" i="116" s="1"/>
  <c r="Q24" i="116" s="1"/>
  <c r="Q26" i="116" s="1"/>
  <c r="O21" i="116"/>
  <c r="N21" i="116"/>
  <c r="M21" i="116"/>
  <c r="K21" i="116"/>
  <c r="G21" i="116"/>
  <c r="E21" i="116"/>
  <c r="E22" i="116" s="1"/>
  <c r="E24" i="116" s="1"/>
  <c r="E26" i="116" s="1"/>
  <c r="X20" i="116"/>
  <c r="V20" i="116"/>
  <c r="V22" i="116" s="1"/>
  <c r="V24" i="116" s="1"/>
  <c r="V26" i="116" s="1"/>
  <c r="U20" i="116"/>
  <c r="S20" i="116"/>
  <c r="Q20" i="116"/>
  <c r="O20" i="116"/>
  <c r="O22" i="116" s="1"/>
  <c r="O24" i="116" s="1"/>
  <c r="O26" i="116" s="1"/>
  <c r="N20" i="116"/>
  <c r="N22" i="116" s="1"/>
  <c r="N24" i="116" s="1"/>
  <c r="N26" i="116" s="1"/>
  <c r="M20" i="116"/>
  <c r="M22" i="116" s="1"/>
  <c r="M24" i="116" s="1"/>
  <c r="M26" i="116" s="1"/>
  <c r="K20" i="116"/>
  <c r="I20" i="116"/>
  <c r="I22" i="116" s="1"/>
  <c r="I24" i="116" s="1"/>
  <c r="I26" i="116" s="1"/>
  <c r="H20" i="116"/>
  <c r="H22" i="116" s="1"/>
  <c r="H24" i="116" s="1"/>
  <c r="H26" i="116" s="1"/>
  <c r="G20" i="116"/>
  <c r="E20" i="116"/>
  <c r="S22" i="116" l="1"/>
  <c r="S24" i="116" s="1"/>
  <c r="S26" i="116" s="1"/>
  <c r="U22" i="116"/>
  <c r="U24" i="116" s="1"/>
  <c r="U26" i="116" s="1"/>
  <c r="G22" i="116"/>
  <c r="G24" i="116" s="1"/>
  <c r="G26" i="116" s="1"/>
  <c r="U25" i="115"/>
  <c r="G25" i="115"/>
  <c r="AH24" i="115"/>
  <c r="AH26" i="115" s="1"/>
  <c r="R24" i="115"/>
  <c r="R26" i="115" s="1"/>
  <c r="P24" i="115"/>
  <c r="P26" i="115" s="1"/>
  <c r="L24" i="115"/>
  <c r="L26" i="115" s="1"/>
  <c r="J24" i="115"/>
  <c r="J26" i="115" s="1"/>
  <c r="U23" i="115"/>
  <c r="G23" i="115"/>
  <c r="AH22" i="115"/>
  <c r="AG22" i="115"/>
  <c r="AG24" i="115" s="1"/>
  <c r="AG26" i="115" s="1"/>
  <c r="AF22" i="115"/>
  <c r="AF24" i="115" s="1"/>
  <c r="AF26" i="115" s="1"/>
  <c r="AE22" i="115"/>
  <c r="AE24" i="115" s="1"/>
  <c r="AE26" i="115" s="1"/>
  <c r="AD22" i="115"/>
  <c r="AD24" i="115" s="1"/>
  <c r="AD26" i="115" s="1"/>
  <c r="AC22" i="115"/>
  <c r="AC24" i="115" s="1"/>
  <c r="AC26" i="115" s="1"/>
  <c r="AB22" i="115"/>
  <c r="AB24" i="115" s="1"/>
  <c r="AB26" i="115" s="1"/>
  <c r="AA22" i="115"/>
  <c r="AA24" i="115" s="1"/>
  <c r="AA26" i="115" s="1"/>
  <c r="Z22" i="115"/>
  <c r="Z24" i="115" s="1"/>
  <c r="Z26" i="115" s="1"/>
  <c r="Y22" i="115"/>
  <c r="Y24" i="115" s="1"/>
  <c r="Y26" i="115" s="1"/>
  <c r="W22" i="115"/>
  <c r="W24" i="115" s="1"/>
  <c r="W26" i="115" s="1"/>
  <c r="T22" i="115"/>
  <c r="T24" i="115" s="1"/>
  <c r="T26" i="115" s="1"/>
  <c r="R22" i="115"/>
  <c r="P22" i="115"/>
  <c r="L22" i="115"/>
  <c r="J22" i="115"/>
  <c r="F22" i="115"/>
  <c r="F24" i="115" s="1"/>
  <c r="F26" i="115" s="1"/>
  <c r="E22" i="115"/>
  <c r="E24" i="115" s="1"/>
  <c r="E26" i="115" s="1"/>
  <c r="D22" i="115"/>
  <c r="D24" i="115" s="1"/>
  <c r="D26" i="115" s="1"/>
  <c r="U21" i="115"/>
  <c r="S21" i="115"/>
  <c r="Q21" i="115"/>
  <c r="O21" i="115"/>
  <c r="N21" i="115"/>
  <c r="M21" i="115"/>
  <c r="K21" i="115"/>
  <c r="K22" i="115" s="1"/>
  <c r="K24" i="115" s="1"/>
  <c r="K26" i="115" s="1"/>
  <c r="G21" i="115"/>
  <c r="E21" i="115"/>
  <c r="X20" i="115"/>
  <c r="X22" i="115" s="1"/>
  <c r="X24" i="115" s="1"/>
  <c r="X26" i="115" s="1"/>
  <c r="V20" i="115"/>
  <c r="V22" i="115" s="1"/>
  <c r="V24" i="115" s="1"/>
  <c r="V26" i="115" s="1"/>
  <c r="U20" i="115"/>
  <c r="S20" i="115"/>
  <c r="S22" i="115" s="1"/>
  <c r="S24" i="115" s="1"/>
  <c r="S26" i="115" s="1"/>
  <c r="Q20" i="115"/>
  <c r="O20" i="115"/>
  <c r="O22" i="115" s="1"/>
  <c r="O24" i="115" s="1"/>
  <c r="O26" i="115" s="1"/>
  <c r="N20" i="115"/>
  <c r="N22" i="115" s="1"/>
  <c r="N24" i="115" s="1"/>
  <c r="N26" i="115" s="1"/>
  <c r="M20" i="115"/>
  <c r="M22" i="115" s="1"/>
  <c r="M24" i="115" s="1"/>
  <c r="M26" i="115" s="1"/>
  <c r="K20" i="115"/>
  <c r="I20" i="115"/>
  <c r="I22" i="115" s="1"/>
  <c r="I24" i="115" s="1"/>
  <c r="I26" i="115" s="1"/>
  <c r="H20" i="115"/>
  <c r="H22" i="115" s="1"/>
  <c r="H24" i="115" s="1"/>
  <c r="H26" i="115" s="1"/>
  <c r="G20" i="115"/>
  <c r="E20" i="115"/>
  <c r="Q22" i="115" l="1"/>
  <c r="Q24" i="115" s="1"/>
  <c r="Q26" i="115" s="1"/>
  <c r="G22" i="115"/>
  <c r="G24" i="115" s="1"/>
  <c r="G26" i="115" s="1"/>
  <c r="U22" i="115"/>
  <c r="U24" i="115" s="1"/>
  <c r="U26" i="115" s="1"/>
  <c r="U25" i="114"/>
  <c r="G25" i="114"/>
  <c r="U23" i="114"/>
  <c r="G23" i="114"/>
  <c r="AH22" i="114"/>
  <c r="AH24" i="114" s="1"/>
  <c r="AH26" i="114" s="1"/>
  <c r="AG22" i="114"/>
  <c r="AG24" i="114" s="1"/>
  <c r="AG26" i="114" s="1"/>
  <c r="AF22" i="114"/>
  <c r="AF24" i="114" s="1"/>
  <c r="AF26" i="114" s="1"/>
  <c r="AE22" i="114"/>
  <c r="AE24" i="114" s="1"/>
  <c r="AE26" i="114" s="1"/>
  <c r="AD22" i="114"/>
  <c r="AD24" i="114" s="1"/>
  <c r="AD26" i="114" s="1"/>
  <c r="AC22" i="114"/>
  <c r="AC24" i="114" s="1"/>
  <c r="AC26" i="114" s="1"/>
  <c r="AB22" i="114"/>
  <c r="AB24" i="114" s="1"/>
  <c r="AB26" i="114" s="1"/>
  <c r="AA22" i="114"/>
  <c r="AA24" i="114" s="1"/>
  <c r="AA26" i="114" s="1"/>
  <c r="Z22" i="114"/>
  <c r="Z24" i="114" s="1"/>
  <c r="Z26" i="114" s="1"/>
  <c r="Y22" i="114"/>
  <c r="Y24" i="114" s="1"/>
  <c r="Y26" i="114" s="1"/>
  <c r="X22" i="114"/>
  <c r="X24" i="114" s="1"/>
  <c r="X26" i="114" s="1"/>
  <c r="W22" i="114"/>
  <c r="W24" i="114" s="1"/>
  <c r="W26" i="114" s="1"/>
  <c r="T22" i="114"/>
  <c r="T24" i="114" s="1"/>
  <c r="T26" i="114" s="1"/>
  <c r="R22" i="114"/>
  <c r="R24" i="114" s="1"/>
  <c r="R26" i="114" s="1"/>
  <c r="P22" i="114"/>
  <c r="P24" i="114" s="1"/>
  <c r="P26" i="114" s="1"/>
  <c r="L22" i="114"/>
  <c r="L24" i="114" s="1"/>
  <c r="L26" i="114" s="1"/>
  <c r="J22" i="114"/>
  <c r="J24" i="114" s="1"/>
  <c r="J26" i="114" s="1"/>
  <c r="F22" i="114"/>
  <c r="F24" i="114" s="1"/>
  <c r="F26" i="114" s="1"/>
  <c r="D22" i="114"/>
  <c r="D24" i="114" s="1"/>
  <c r="D26" i="114" s="1"/>
  <c r="U21" i="114"/>
  <c r="S21" i="114"/>
  <c r="Q21" i="114"/>
  <c r="O21" i="114"/>
  <c r="N21" i="114"/>
  <c r="M21" i="114"/>
  <c r="M22" i="114" s="1"/>
  <c r="M24" i="114" s="1"/>
  <c r="M26" i="114" s="1"/>
  <c r="K21" i="114"/>
  <c r="G21" i="114"/>
  <c r="E21" i="114"/>
  <c r="X20" i="114"/>
  <c r="V20" i="114"/>
  <c r="V22" i="114" s="1"/>
  <c r="V24" i="114" s="1"/>
  <c r="V26" i="114" s="1"/>
  <c r="U20" i="114"/>
  <c r="S20" i="114"/>
  <c r="S22" i="114" s="1"/>
  <c r="S24" i="114" s="1"/>
  <c r="S26" i="114" s="1"/>
  <c r="Q20" i="114"/>
  <c r="O20" i="114"/>
  <c r="O22" i="114" s="1"/>
  <c r="O24" i="114" s="1"/>
  <c r="O26" i="114" s="1"/>
  <c r="N20" i="114"/>
  <c r="N22" i="114" s="1"/>
  <c r="N24" i="114" s="1"/>
  <c r="N26" i="114" s="1"/>
  <c r="M20" i="114"/>
  <c r="K20" i="114"/>
  <c r="I20" i="114"/>
  <c r="I22" i="114" s="1"/>
  <c r="I24" i="114" s="1"/>
  <c r="I26" i="114" s="1"/>
  <c r="H20" i="114"/>
  <c r="H22" i="114" s="1"/>
  <c r="H24" i="114" s="1"/>
  <c r="H26" i="114" s="1"/>
  <c r="G20" i="114"/>
  <c r="E20" i="114"/>
  <c r="K22" i="114" l="1"/>
  <c r="K24" i="114" s="1"/>
  <c r="K26" i="114" s="1"/>
  <c r="Q22" i="114"/>
  <c r="Q24" i="114" s="1"/>
  <c r="Q26" i="114" s="1"/>
  <c r="U22" i="114"/>
  <c r="U24" i="114" s="1"/>
  <c r="E22" i="114"/>
  <c r="E24" i="114" s="1"/>
  <c r="E26" i="114" s="1"/>
  <c r="U26" i="114"/>
  <c r="G22" i="114"/>
  <c r="G24" i="114" s="1"/>
  <c r="G26" i="114" s="1"/>
  <c r="U23" i="112"/>
  <c r="G23" i="112"/>
  <c r="U23" i="113"/>
  <c r="G23" i="113"/>
  <c r="U25" i="113" l="1"/>
  <c r="G25" i="113"/>
  <c r="L24" i="113"/>
  <c r="L26" i="113" s="1"/>
  <c r="J24" i="113"/>
  <c r="J26" i="113" s="1"/>
  <c r="D24" i="113"/>
  <c r="D26" i="113" s="1"/>
  <c r="AH22" i="113"/>
  <c r="AH24" i="113" s="1"/>
  <c r="AH26" i="113" s="1"/>
  <c r="AG22" i="113"/>
  <c r="AG24" i="113" s="1"/>
  <c r="AG26" i="113" s="1"/>
  <c r="AF22" i="113"/>
  <c r="AF24" i="113" s="1"/>
  <c r="AF26" i="113" s="1"/>
  <c r="AE22" i="113"/>
  <c r="AE24" i="113" s="1"/>
  <c r="AE26" i="113" s="1"/>
  <c r="AD22" i="113"/>
  <c r="AD24" i="113" s="1"/>
  <c r="AD26" i="113" s="1"/>
  <c r="AC22" i="113"/>
  <c r="AC24" i="113" s="1"/>
  <c r="AC26" i="113" s="1"/>
  <c r="AB22" i="113"/>
  <c r="AB24" i="113" s="1"/>
  <c r="AB26" i="113" s="1"/>
  <c r="AA22" i="113"/>
  <c r="AA24" i="113" s="1"/>
  <c r="AA26" i="113" s="1"/>
  <c r="Z22" i="113"/>
  <c r="Z24" i="113" s="1"/>
  <c r="Z26" i="113" s="1"/>
  <c r="Y22" i="113"/>
  <c r="Y24" i="113" s="1"/>
  <c r="Y26" i="113" s="1"/>
  <c r="X22" i="113"/>
  <c r="X24" i="113" s="1"/>
  <c r="X26" i="113" s="1"/>
  <c r="W22" i="113"/>
  <c r="W24" i="113" s="1"/>
  <c r="W26" i="113" s="1"/>
  <c r="T22" i="113"/>
  <c r="T24" i="113" s="1"/>
  <c r="T26" i="113" s="1"/>
  <c r="R22" i="113"/>
  <c r="R24" i="113" s="1"/>
  <c r="R26" i="113" s="1"/>
  <c r="P22" i="113"/>
  <c r="P24" i="113" s="1"/>
  <c r="P26" i="113" s="1"/>
  <c r="L22" i="113"/>
  <c r="J22" i="113"/>
  <c r="F22" i="113"/>
  <c r="F24" i="113" s="1"/>
  <c r="F26" i="113" s="1"/>
  <c r="D22" i="113"/>
  <c r="U21" i="113"/>
  <c r="S21" i="113"/>
  <c r="Q21" i="113"/>
  <c r="Q22" i="113" s="1"/>
  <c r="Q24" i="113" s="1"/>
  <c r="Q26" i="113" s="1"/>
  <c r="O21" i="113"/>
  <c r="N21" i="113"/>
  <c r="M21" i="113"/>
  <c r="K21" i="113"/>
  <c r="G21" i="113"/>
  <c r="E21" i="113"/>
  <c r="E22" i="113" s="1"/>
  <c r="E24" i="113" s="1"/>
  <c r="E26" i="113" s="1"/>
  <c r="X20" i="113"/>
  <c r="V20" i="113"/>
  <c r="V22" i="113" s="1"/>
  <c r="V24" i="113" s="1"/>
  <c r="V26" i="113" s="1"/>
  <c r="U20" i="113"/>
  <c r="S20" i="113"/>
  <c r="Q20" i="113"/>
  <c r="O20" i="113"/>
  <c r="O22" i="113" s="1"/>
  <c r="O24" i="113" s="1"/>
  <c r="O26" i="113" s="1"/>
  <c r="N20" i="113"/>
  <c r="N22" i="113" s="1"/>
  <c r="N24" i="113" s="1"/>
  <c r="N26" i="113" s="1"/>
  <c r="M20" i="113"/>
  <c r="K20" i="113"/>
  <c r="K22" i="113" s="1"/>
  <c r="K24" i="113" s="1"/>
  <c r="K26" i="113" s="1"/>
  <c r="I20" i="113"/>
  <c r="I22" i="113" s="1"/>
  <c r="I24" i="113" s="1"/>
  <c r="I26" i="113" s="1"/>
  <c r="H20" i="113"/>
  <c r="H22" i="113" s="1"/>
  <c r="H24" i="113" s="1"/>
  <c r="H26" i="113" s="1"/>
  <c r="G20" i="113"/>
  <c r="G22" i="113" s="1"/>
  <c r="G24" i="113" s="1"/>
  <c r="E20" i="113"/>
  <c r="M22" i="113" l="1"/>
  <c r="M24" i="113" s="1"/>
  <c r="M26" i="113" s="1"/>
  <c r="S22" i="113"/>
  <c r="S24" i="113" s="1"/>
  <c r="S26" i="113" s="1"/>
  <c r="U22" i="113"/>
  <c r="U24" i="113" s="1"/>
  <c r="U26" i="113" s="1"/>
  <c r="G26" i="113"/>
  <c r="AF25" i="112"/>
  <c r="AC25" i="112"/>
  <c r="Y25" i="112"/>
  <c r="U25" i="112" l="1"/>
  <c r="G25" i="112"/>
  <c r="AH22" i="112"/>
  <c r="AH24" i="112" s="1"/>
  <c r="AH26" i="112" s="1"/>
  <c r="AG22" i="112"/>
  <c r="AG24" i="112" s="1"/>
  <c r="AG26" i="112" s="1"/>
  <c r="AF22" i="112"/>
  <c r="AF24" i="112" s="1"/>
  <c r="AF26" i="112" s="1"/>
  <c r="AE22" i="112"/>
  <c r="AE24" i="112" s="1"/>
  <c r="AE26" i="112" s="1"/>
  <c r="AD22" i="112"/>
  <c r="AD24" i="112" s="1"/>
  <c r="AD26" i="112" s="1"/>
  <c r="AC22" i="112"/>
  <c r="AC24" i="112" s="1"/>
  <c r="AC26" i="112" s="1"/>
  <c r="AB22" i="112"/>
  <c r="AB24" i="112" s="1"/>
  <c r="AB26" i="112" s="1"/>
  <c r="AA22" i="112"/>
  <c r="AA24" i="112" s="1"/>
  <c r="AA26" i="112" s="1"/>
  <c r="Z22" i="112"/>
  <c r="Z24" i="112" s="1"/>
  <c r="Z26" i="112" s="1"/>
  <c r="Y22" i="112"/>
  <c r="Y24" i="112" s="1"/>
  <c r="Y26" i="112" s="1"/>
  <c r="W22" i="112"/>
  <c r="W24" i="112" s="1"/>
  <c r="W26" i="112" s="1"/>
  <c r="T22" i="112"/>
  <c r="T24" i="112" s="1"/>
  <c r="T26" i="112" s="1"/>
  <c r="R22" i="112"/>
  <c r="R24" i="112" s="1"/>
  <c r="R26" i="112" s="1"/>
  <c r="P22" i="112"/>
  <c r="P24" i="112" s="1"/>
  <c r="P26" i="112" s="1"/>
  <c r="M22" i="112"/>
  <c r="M24" i="112" s="1"/>
  <c r="M26" i="112" s="1"/>
  <c r="L22" i="112"/>
  <c r="L24" i="112" s="1"/>
  <c r="L26" i="112" s="1"/>
  <c r="J22" i="112"/>
  <c r="J24" i="112" s="1"/>
  <c r="J26" i="112" s="1"/>
  <c r="F22" i="112"/>
  <c r="F24" i="112" s="1"/>
  <c r="F26" i="112" s="1"/>
  <c r="E22" i="112"/>
  <c r="E24" i="112" s="1"/>
  <c r="E26" i="112" s="1"/>
  <c r="D22" i="112"/>
  <c r="D24" i="112" s="1"/>
  <c r="D26" i="112" s="1"/>
  <c r="U21" i="112"/>
  <c r="S21" i="112"/>
  <c r="Q21" i="112"/>
  <c r="Q22" i="112" s="1"/>
  <c r="Q24" i="112" s="1"/>
  <c r="Q26" i="112" s="1"/>
  <c r="O21" i="112"/>
  <c r="N21" i="112"/>
  <c r="M21" i="112"/>
  <c r="K21" i="112"/>
  <c r="G21" i="112"/>
  <c r="E21" i="112"/>
  <c r="X20" i="112"/>
  <c r="X22" i="112" s="1"/>
  <c r="X24" i="112" s="1"/>
  <c r="X26" i="112" s="1"/>
  <c r="V20" i="112"/>
  <c r="V22" i="112" s="1"/>
  <c r="V24" i="112" s="1"/>
  <c r="V26" i="112" s="1"/>
  <c r="U20" i="112"/>
  <c r="S20" i="112"/>
  <c r="S22" i="112" s="1"/>
  <c r="S24" i="112" s="1"/>
  <c r="S26" i="112" s="1"/>
  <c r="Q20" i="112"/>
  <c r="O20" i="112"/>
  <c r="O22" i="112" s="1"/>
  <c r="O24" i="112" s="1"/>
  <c r="O26" i="112" s="1"/>
  <c r="N20" i="112"/>
  <c r="N22" i="112" s="1"/>
  <c r="N24" i="112" s="1"/>
  <c r="N26" i="112" s="1"/>
  <c r="M20" i="112"/>
  <c r="K20" i="112"/>
  <c r="I20" i="112"/>
  <c r="I22" i="112" s="1"/>
  <c r="I24" i="112" s="1"/>
  <c r="I26" i="112" s="1"/>
  <c r="H20" i="112"/>
  <c r="H22" i="112" s="1"/>
  <c r="H24" i="112" s="1"/>
  <c r="H26" i="112" s="1"/>
  <c r="G20" i="112"/>
  <c r="G22" i="112" s="1"/>
  <c r="E20" i="112"/>
  <c r="K22" i="112" l="1"/>
  <c r="K24" i="112" s="1"/>
  <c r="K26" i="112" s="1"/>
  <c r="G24" i="112"/>
  <c r="G26" i="112" s="1"/>
  <c r="U22" i="112"/>
  <c r="U24" i="112" s="1"/>
  <c r="U26" i="112" s="1"/>
  <c r="U25" i="111"/>
  <c r="G25" i="111"/>
  <c r="J24" i="111"/>
  <c r="J26" i="111" s="1"/>
  <c r="U23" i="111"/>
  <c r="G23" i="111"/>
  <c r="AH22" i="111"/>
  <c r="AH24" i="111" s="1"/>
  <c r="AH26" i="111" s="1"/>
  <c r="AG22" i="111"/>
  <c r="AG24" i="111" s="1"/>
  <c r="AG26" i="111" s="1"/>
  <c r="AF22" i="111"/>
  <c r="AF24" i="111" s="1"/>
  <c r="AF26" i="111" s="1"/>
  <c r="AE22" i="111"/>
  <c r="AE24" i="111" s="1"/>
  <c r="AE26" i="111" s="1"/>
  <c r="AD22" i="111"/>
  <c r="AD24" i="111" s="1"/>
  <c r="AD26" i="111" s="1"/>
  <c r="AC22" i="111"/>
  <c r="AC24" i="111" s="1"/>
  <c r="AC26" i="111" s="1"/>
  <c r="AB22" i="111"/>
  <c r="AB24" i="111" s="1"/>
  <c r="AB26" i="111" s="1"/>
  <c r="AA22" i="111"/>
  <c r="AA24" i="111" s="1"/>
  <c r="AA26" i="111" s="1"/>
  <c r="Z22" i="111"/>
  <c r="Z24" i="111" s="1"/>
  <c r="Z26" i="111" s="1"/>
  <c r="Y22" i="111"/>
  <c r="Y24" i="111" s="1"/>
  <c r="Y26" i="111" s="1"/>
  <c r="X22" i="111"/>
  <c r="X24" i="111" s="1"/>
  <c r="X26" i="111" s="1"/>
  <c r="W22" i="111"/>
  <c r="W24" i="111" s="1"/>
  <c r="W26" i="111" s="1"/>
  <c r="T22" i="111"/>
  <c r="T24" i="111" s="1"/>
  <c r="T26" i="111" s="1"/>
  <c r="R22" i="111"/>
  <c r="R24" i="111" s="1"/>
  <c r="R26" i="111" s="1"/>
  <c r="P22" i="111"/>
  <c r="P24" i="111" s="1"/>
  <c r="P26" i="111" s="1"/>
  <c r="L22" i="111"/>
  <c r="L24" i="111" s="1"/>
  <c r="L26" i="111" s="1"/>
  <c r="J22" i="111"/>
  <c r="F22" i="111"/>
  <c r="F24" i="111" s="1"/>
  <c r="F26" i="111" s="1"/>
  <c r="D22" i="111"/>
  <c r="D24" i="111" s="1"/>
  <c r="D26" i="111" s="1"/>
  <c r="U21" i="111"/>
  <c r="S21" i="111"/>
  <c r="Q21" i="111"/>
  <c r="O21" i="111"/>
  <c r="N21" i="111"/>
  <c r="M21" i="111"/>
  <c r="K21" i="111"/>
  <c r="G21" i="111"/>
  <c r="E21" i="111"/>
  <c r="X20" i="111"/>
  <c r="V20" i="111"/>
  <c r="V22" i="111" s="1"/>
  <c r="V24" i="111" s="1"/>
  <c r="V26" i="111" s="1"/>
  <c r="U20" i="111"/>
  <c r="S20" i="111"/>
  <c r="Q20" i="111"/>
  <c r="O20" i="111"/>
  <c r="O22" i="111" s="1"/>
  <c r="O24" i="111" s="1"/>
  <c r="O26" i="111" s="1"/>
  <c r="N20" i="111"/>
  <c r="N22" i="111" s="1"/>
  <c r="N24" i="111" s="1"/>
  <c r="N26" i="111" s="1"/>
  <c r="M20" i="111"/>
  <c r="K20" i="111"/>
  <c r="K22" i="111" s="1"/>
  <c r="K24" i="111" s="1"/>
  <c r="K26" i="111" s="1"/>
  <c r="I20" i="111"/>
  <c r="I22" i="111" s="1"/>
  <c r="I24" i="111" s="1"/>
  <c r="I26" i="111" s="1"/>
  <c r="H20" i="111"/>
  <c r="H22" i="111" s="1"/>
  <c r="H24" i="111" s="1"/>
  <c r="H26" i="111" s="1"/>
  <c r="G20" i="111"/>
  <c r="G22" i="111" s="1"/>
  <c r="E20" i="111"/>
  <c r="E22" i="111" s="1"/>
  <c r="E24" i="111" s="1"/>
  <c r="E26" i="111" s="1"/>
  <c r="Q22" i="111" l="1"/>
  <c r="Q24" i="111" s="1"/>
  <c r="Q26" i="111" s="1"/>
  <c r="M22" i="111"/>
  <c r="M24" i="111" s="1"/>
  <c r="M26" i="111" s="1"/>
  <c r="S22" i="111"/>
  <c r="S24" i="111" s="1"/>
  <c r="S26" i="111" s="1"/>
  <c r="G24" i="111"/>
  <c r="U22" i="111"/>
  <c r="U24" i="111" s="1"/>
  <c r="U26" i="111" s="1"/>
  <c r="G26" i="111"/>
  <c r="U25" i="110" l="1"/>
  <c r="G25" i="110"/>
  <c r="AB24" i="110"/>
  <c r="AB26" i="110" s="1"/>
  <c r="U23" i="110"/>
  <c r="G23" i="110"/>
  <c r="AH22" i="110"/>
  <c r="AH24" i="110" s="1"/>
  <c r="AH26" i="110" s="1"/>
  <c r="AG22" i="110"/>
  <c r="AG24" i="110" s="1"/>
  <c r="AG26" i="110" s="1"/>
  <c r="AF22" i="110"/>
  <c r="AF24" i="110" s="1"/>
  <c r="AF26" i="110" s="1"/>
  <c r="AE22" i="110"/>
  <c r="AE24" i="110" s="1"/>
  <c r="AE26" i="110" s="1"/>
  <c r="AD22" i="110"/>
  <c r="AD24" i="110" s="1"/>
  <c r="AD26" i="110" s="1"/>
  <c r="AC22" i="110"/>
  <c r="AC24" i="110" s="1"/>
  <c r="AC26" i="110" s="1"/>
  <c r="AB22" i="110"/>
  <c r="AA22" i="110"/>
  <c r="AA24" i="110" s="1"/>
  <c r="AA26" i="110" s="1"/>
  <c r="Z22" i="110"/>
  <c r="Z24" i="110" s="1"/>
  <c r="Z26" i="110" s="1"/>
  <c r="Y22" i="110"/>
  <c r="Y24" i="110" s="1"/>
  <c r="Y26" i="110" s="1"/>
  <c r="W22" i="110"/>
  <c r="W24" i="110" s="1"/>
  <c r="W26" i="110" s="1"/>
  <c r="T22" i="110"/>
  <c r="T24" i="110" s="1"/>
  <c r="T26" i="110" s="1"/>
  <c r="R22" i="110"/>
  <c r="R24" i="110" s="1"/>
  <c r="R26" i="110" s="1"/>
  <c r="P22" i="110"/>
  <c r="P24" i="110" s="1"/>
  <c r="P26" i="110" s="1"/>
  <c r="M22" i="110"/>
  <c r="M24" i="110" s="1"/>
  <c r="M26" i="110" s="1"/>
  <c r="L22" i="110"/>
  <c r="L24" i="110" s="1"/>
  <c r="L26" i="110" s="1"/>
  <c r="J22" i="110"/>
  <c r="J24" i="110" s="1"/>
  <c r="J26" i="110" s="1"/>
  <c r="F22" i="110"/>
  <c r="F24" i="110" s="1"/>
  <c r="F26" i="110" s="1"/>
  <c r="D22" i="110"/>
  <c r="D24" i="110" s="1"/>
  <c r="D26" i="110" s="1"/>
  <c r="U21" i="110"/>
  <c r="S21" i="110"/>
  <c r="Q21" i="110"/>
  <c r="O21" i="110"/>
  <c r="N21" i="110"/>
  <c r="M21" i="110"/>
  <c r="K21" i="110"/>
  <c r="G21" i="110"/>
  <c r="E21" i="110"/>
  <c r="X20" i="110"/>
  <c r="X22" i="110" s="1"/>
  <c r="X24" i="110" s="1"/>
  <c r="X26" i="110" s="1"/>
  <c r="V20" i="110"/>
  <c r="V22" i="110" s="1"/>
  <c r="V24" i="110" s="1"/>
  <c r="V26" i="110" s="1"/>
  <c r="U20" i="110"/>
  <c r="S20" i="110"/>
  <c r="Q20" i="110"/>
  <c r="O20" i="110"/>
  <c r="O22" i="110" s="1"/>
  <c r="O24" i="110" s="1"/>
  <c r="O26" i="110" s="1"/>
  <c r="N20" i="110"/>
  <c r="N22" i="110" s="1"/>
  <c r="N24" i="110" s="1"/>
  <c r="N26" i="110" s="1"/>
  <c r="M20" i="110"/>
  <c r="K20" i="110"/>
  <c r="I20" i="110"/>
  <c r="I22" i="110" s="1"/>
  <c r="I24" i="110" s="1"/>
  <c r="I26" i="110" s="1"/>
  <c r="H20" i="110"/>
  <c r="H22" i="110" s="1"/>
  <c r="H24" i="110" s="1"/>
  <c r="H26" i="110" s="1"/>
  <c r="G20" i="110"/>
  <c r="E20" i="110"/>
  <c r="E22" i="110" s="1"/>
  <c r="E24" i="110" s="1"/>
  <c r="E26" i="110" s="1"/>
  <c r="Q22" i="110" l="1"/>
  <c r="Q24" i="110" s="1"/>
  <c r="Q26" i="110" s="1"/>
  <c r="S22" i="110"/>
  <c r="S24" i="110" s="1"/>
  <c r="S26" i="110" s="1"/>
  <c r="U22" i="110"/>
  <c r="U24" i="110" s="1"/>
  <c r="U26" i="110" s="1"/>
  <c r="K22" i="110"/>
  <c r="K24" i="110" s="1"/>
  <c r="K26" i="110" s="1"/>
  <c r="G22" i="110"/>
  <c r="G24" i="110" s="1"/>
  <c r="G26" i="110" s="1"/>
  <c r="U20" i="109"/>
  <c r="T22" i="109"/>
  <c r="U26" i="109" l="1"/>
  <c r="U25" i="109" l="1"/>
  <c r="G25" i="109"/>
  <c r="U23" i="109"/>
  <c r="G23" i="109"/>
  <c r="AH22" i="109"/>
  <c r="AH24" i="109" s="1"/>
  <c r="AH27" i="109" s="1"/>
  <c r="AG22" i="109"/>
  <c r="AG24" i="109" s="1"/>
  <c r="AG27" i="109" s="1"/>
  <c r="AF22" i="109"/>
  <c r="AF24" i="109" s="1"/>
  <c r="AF27" i="109" s="1"/>
  <c r="AE22" i="109"/>
  <c r="AE24" i="109" s="1"/>
  <c r="AE27" i="109" s="1"/>
  <c r="AD22" i="109"/>
  <c r="AD24" i="109" s="1"/>
  <c r="AD27" i="109" s="1"/>
  <c r="AC22" i="109"/>
  <c r="AC24" i="109" s="1"/>
  <c r="AC27" i="109" s="1"/>
  <c r="AB22" i="109"/>
  <c r="AB24" i="109" s="1"/>
  <c r="AB27" i="109" s="1"/>
  <c r="AA22" i="109"/>
  <c r="AA24" i="109" s="1"/>
  <c r="AA27" i="109" s="1"/>
  <c r="Z22" i="109"/>
  <c r="Z24" i="109" s="1"/>
  <c r="Z27" i="109" s="1"/>
  <c r="Y22" i="109"/>
  <c r="Y24" i="109" s="1"/>
  <c r="Y27" i="109" s="1"/>
  <c r="W22" i="109"/>
  <c r="W24" i="109" s="1"/>
  <c r="W27" i="109" s="1"/>
  <c r="T24" i="109"/>
  <c r="T27" i="109" s="1"/>
  <c r="R22" i="109"/>
  <c r="R24" i="109" s="1"/>
  <c r="R27" i="109" s="1"/>
  <c r="P22" i="109"/>
  <c r="P24" i="109" s="1"/>
  <c r="P27" i="109" s="1"/>
  <c r="L22" i="109"/>
  <c r="L24" i="109" s="1"/>
  <c r="L27" i="109" s="1"/>
  <c r="J22" i="109"/>
  <c r="J24" i="109" s="1"/>
  <c r="J27" i="109" s="1"/>
  <c r="F22" i="109"/>
  <c r="F24" i="109" s="1"/>
  <c r="F27" i="109" s="1"/>
  <c r="D22" i="109"/>
  <c r="D24" i="109" s="1"/>
  <c r="D27" i="109" s="1"/>
  <c r="U21" i="109"/>
  <c r="S21" i="109"/>
  <c r="Q21" i="109"/>
  <c r="O21" i="109"/>
  <c r="N21" i="109"/>
  <c r="M21" i="109"/>
  <c r="K21" i="109"/>
  <c r="K22" i="109" s="1"/>
  <c r="K24" i="109" s="1"/>
  <c r="K27" i="109" s="1"/>
  <c r="G21" i="109"/>
  <c r="E21" i="109"/>
  <c r="X20" i="109"/>
  <c r="X22" i="109" s="1"/>
  <c r="X24" i="109" s="1"/>
  <c r="X27" i="109" s="1"/>
  <c r="V20" i="109"/>
  <c r="V22" i="109" s="1"/>
  <c r="V24" i="109" s="1"/>
  <c r="V27" i="109" s="1"/>
  <c r="S20" i="109"/>
  <c r="Q20" i="109"/>
  <c r="O20" i="109"/>
  <c r="O22" i="109" s="1"/>
  <c r="O24" i="109" s="1"/>
  <c r="O27" i="109" s="1"/>
  <c r="N20" i="109"/>
  <c r="N22" i="109" s="1"/>
  <c r="N24" i="109" s="1"/>
  <c r="N27" i="109" s="1"/>
  <c r="M20" i="109"/>
  <c r="M22" i="109" s="1"/>
  <c r="M24" i="109" s="1"/>
  <c r="M27" i="109" s="1"/>
  <c r="K20" i="109"/>
  <c r="I20" i="109"/>
  <c r="I22" i="109" s="1"/>
  <c r="I24" i="109" s="1"/>
  <c r="I27" i="109" s="1"/>
  <c r="H20" i="109"/>
  <c r="H22" i="109" s="1"/>
  <c r="H24" i="109" s="1"/>
  <c r="H27" i="109" s="1"/>
  <c r="G20" i="109"/>
  <c r="E20" i="109"/>
  <c r="S22" i="109" l="1"/>
  <c r="S24" i="109" s="1"/>
  <c r="S27" i="109" s="1"/>
  <c r="E22" i="109"/>
  <c r="E24" i="109" s="1"/>
  <c r="E27" i="109" s="1"/>
  <c r="Q22" i="109"/>
  <c r="Q24" i="109" s="1"/>
  <c r="Q27" i="109" s="1"/>
  <c r="G22" i="109"/>
  <c r="G24" i="109" s="1"/>
  <c r="G27" i="109" s="1"/>
  <c r="U22" i="109"/>
  <c r="U24" i="109" s="1"/>
  <c r="U27" i="109" s="1"/>
  <c r="U25" i="108"/>
  <c r="G25" i="108"/>
  <c r="P24" i="108"/>
  <c r="P26" i="108" s="1"/>
  <c r="L24" i="108"/>
  <c r="L26" i="108" s="1"/>
  <c r="D24" i="108"/>
  <c r="D26" i="108" s="1"/>
  <c r="U23" i="108"/>
  <c r="G23" i="108"/>
  <c r="AH22" i="108"/>
  <c r="AH24" i="108" s="1"/>
  <c r="AH26" i="108" s="1"/>
  <c r="AG22" i="108"/>
  <c r="AG24" i="108" s="1"/>
  <c r="AG26" i="108" s="1"/>
  <c r="AF22" i="108"/>
  <c r="AF24" i="108" s="1"/>
  <c r="AF26" i="108" s="1"/>
  <c r="AE22" i="108"/>
  <c r="AE24" i="108" s="1"/>
  <c r="AE26" i="108" s="1"/>
  <c r="AD22" i="108"/>
  <c r="AD24" i="108" s="1"/>
  <c r="AD26" i="108" s="1"/>
  <c r="AC22" i="108"/>
  <c r="AC24" i="108" s="1"/>
  <c r="AC26" i="108" s="1"/>
  <c r="AB22" i="108"/>
  <c r="AB24" i="108" s="1"/>
  <c r="AB26" i="108" s="1"/>
  <c r="AA22" i="108"/>
  <c r="AA24" i="108" s="1"/>
  <c r="AA26" i="108" s="1"/>
  <c r="Z22" i="108"/>
  <c r="Z24" i="108" s="1"/>
  <c r="Z26" i="108" s="1"/>
  <c r="Y22" i="108"/>
  <c r="Y24" i="108" s="1"/>
  <c r="Y26" i="108" s="1"/>
  <c r="W22" i="108"/>
  <c r="W24" i="108" s="1"/>
  <c r="W26" i="108" s="1"/>
  <c r="T22" i="108"/>
  <c r="T24" i="108" s="1"/>
  <c r="T26" i="108" s="1"/>
  <c r="R22" i="108"/>
  <c r="R24" i="108" s="1"/>
  <c r="R26" i="108" s="1"/>
  <c r="P22" i="108"/>
  <c r="M22" i="108"/>
  <c r="M24" i="108" s="1"/>
  <c r="M26" i="108" s="1"/>
  <c r="L22" i="108"/>
  <c r="J22" i="108"/>
  <c r="J24" i="108" s="1"/>
  <c r="J26" i="108" s="1"/>
  <c r="F22" i="108"/>
  <c r="F24" i="108" s="1"/>
  <c r="F26" i="108" s="1"/>
  <c r="E22" i="108"/>
  <c r="E24" i="108" s="1"/>
  <c r="E26" i="108" s="1"/>
  <c r="D22" i="108"/>
  <c r="U21" i="108"/>
  <c r="S21" i="108"/>
  <c r="Q21" i="108"/>
  <c r="O21" i="108"/>
  <c r="N21" i="108"/>
  <c r="M21" i="108"/>
  <c r="K21" i="108"/>
  <c r="G21" i="108"/>
  <c r="E21" i="108"/>
  <c r="X20" i="108"/>
  <c r="X22" i="108" s="1"/>
  <c r="X24" i="108" s="1"/>
  <c r="X26" i="108" s="1"/>
  <c r="V20" i="108"/>
  <c r="V22" i="108" s="1"/>
  <c r="V24" i="108" s="1"/>
  <c r="V26" i="108" s="1"/>
  <c r="U20" i="108"/>
  <c r="S20" i="108"/>
  <c r="S22" i="108" s="1"/>
  <c r="S24" i="108" s="1"/>
  <c r="S26" i="108" s="1"/>
  <c r="Q20" i="108"/>
  <c r="O20" i="108"/>
  <c r="O22" i="108" s="1"/>
  <c r="O24" i="108" s="1"/>
  <c r="O26" i="108" s="1"/>
  <c r="N20" i="108"/>
  <c r="N22" i="108" s="1"/>
  <c r="N24" i="108" s="1"/>
  <c r="N26" i="108" s="1"/>
  <c r="M20" i="108"/>
  <c r="K20" i="108"/>
  <c r="I20" i="108"/>
  <c r="I22" i="108" s="1"/>
  <c r="I24" i="108" s="1"/>
  <c r="I26" i="108" s="1"/>
  <c r="H20" i="108"/>
  <c r="H22" i="108" s="1"/>
  <c r="H24" i="108" s="1"/>
  <c r="H26" i="108" s="1"/>
  <c r="G20" i="108"/>
  <c r="E20" i="108"/>
  <c r="K22" i="108" l="1"/>
  <c r="K24" i="108" s="1"/>
  <c r="K26" i="108" s="1"/>
  <c r="Q22" i="108"/>
  <c r="Q24" i="108" s="1"/>
  <c r="Q26" i="108" s="1"/>
  <c r="G22" i="108"/>
  <c r="G24" i="108" s="1"/>
  <c r="G26" i="108" s="1"/>
  <c r="U22" i="108"/>
  <c r="U24" i="108"/>
  <c r="U26" i="108" s="1"/>
  <c r="U25" i="107"/>
  <c r="G25" i="107"/>
  <c r="U23" i="107"/>
  <c r="G23" i="107"/>
  <c r="AH22" i="107"/>
  <c r="AH24" i="107" s="1"/>
  <c r="AH26" i="107" s="1"/>
  <c r="AG22" i="107"/>
  <c r="AG24" i="107" s="1"/>
  <c r="AG26" i="107" s="1"/>
  <c r="AF22" i="107"/>
  <c r="AF24" i="107" s="1"/>
  <c r="AF26" i="107" s="1"/>
  <c r="AE22" i="107"/>
  <c r="AE24" i="107" s="1"/>
  <c r="AE26" i="107" s="1"/>
  <c r="AD22" i="107"/>
  <c r="AD24" i="107" s="1"/>
  <c r="AD26" i="107" s="1"/>
  <c r="AC22" i="107"/>
  <c r="AC24" i="107" s="1"/>
  <c r="AC26" i="107" s="1"/>
  <c r="AB22" i="107"/>
  <c r="AB24" i="107" s="1"/>
  <c r="AB26" i="107" s="1"/>
  <c r="AA22" i="107"/>
  <c r="AA24" i="107" s="1"/>
  <c r="AA26" i="107" s="1"/>
  <c r="Z22" i="107"/>
  <c r="Z24" i="107" s="1"/>
  <c r="Z26" i="107" s="1"/>
  <c r="Y22" i="107"/>
  <c r="Y24" i="107" s="1"/>
  <c r="Y26" i="107" s="1"/>
  <c r="W22" i="107"/>
  <c r="W24" i="107" s="1"/>
  <c r="W26" i="107" s="1"/>
  <c r="V22" i="107"/>
  <c r="V24" i="107" s="1"/>
  <c r="V26" i="107" s="1"/>
  <c r="T22" i="107"/>
  <c r="T24" i="107" s="1"/>
  <c r="T26" i="107" s="1"/>
  <c r="R22" i="107"/>
  <c r="R24" i="107" s="1"/>
  <c r="R26" i="107" s="1"/>
  <c r="P22" i="107"/>
  <c r="P24" i="107" s="1"/>
  <c r="P26" i="107" s="1"/>
  <c r="L22" i="107"/>
  <c r="L24" i="107" s="1"/>
  <c r="L26" i="107" s="1"/>
  <c r="J22" i="107"/>
  <c r="J24" i="107" s="1"/>
  <c r="J26" i="107" s="1"/>
  <c r="F22" i="107"/>
  <c r="F24" i="107" s="1"/>
  <c r="F26" i="107" s="1"/>
  <c r="D22" i="107"/>
  <c r="D24" i="107" s="1"/>
  <c r="D26" i="107" s="1"/>
  <c r="U21" i="107"/>
  <c r="S21" i="107"/>
  <c r="Q21" i="107"/>
  <c r="O21" i="107"/>
  <c r="N21" i="107"/>
  <c r="M21" i="107"/>
  <c r="K21" i="107"/>
  <c r="G21" i="107"/>
  <c r="E21" i="107"/>
  <c r="X20" i="107"/>
  <c r="X22" i="107" s="1"/>
  <c r="X24" i="107" s="1"/>
  <c r="X26" i="107" s="1"/>
  <c r="V20" i="107"/>
  <c r="U20" i="107"/>
  <c r="S20" i="107"/>
  <c r="Q20" i="107"/>
  <c r="O20" i="107"/>
  <c r="O22" i="107" s="1"/>
  <c r="O24" i="107" s="1"/>
  <c r="O26" i="107" s="1"/>
  <c r="N20" i="107"/>
  <c r="N22" i="107" s="1"/>
  <c r="N24" i="107" s="1"/>
  <c r="N26" i="107" s="1"/>
  <c r="M20" i="107"/>
  <c r="K20" i="107"/>
  <c r="K22" i="107" s="1"/>
  <c r="K24" i="107" s="1"/>
  <c r="K26" i="107" s="1"/>
  <c r="I20" i="107"/>
  <c r="I22" i="107" s="1"/>
  <c r="I24" i="107" s="1"/>
  <c r="I26" i="107" s="1"/>
  <c r="H20" i="107"/>
  <c r="H22" i="107" s="1"/>
  <c r="H24" i="107" s="1"/>
  <c r="H26" i="107" s="1"/>
  <c r="G20" i="107"/>
  <c r="E20" i="107"/>
  <c r="E22" i="107" s="1"/>
  <c r="E24" i="107" s="1"/>
  <c r="E26" i="107" s="1"/>
  <c r="M22" i="107" l="1"/>
  <c r="M24" i="107" s="1"/>
  <c r="M26" i="107" s="1"/>
  <c r="Q22" i="107"/>
  <c r="Q24" i="107" s="1"/>
  <c r="Q26" i="107" s="1"/>
  <c r="S22" i="107"/>
  <c r="S24" i="107" s="1"/>
  <c r="S26" i="107" s="1"/>
  <c r="U22" i="107"/>
  <c r="U24" i="107" s="1"/>
  <c r="U26" i="107" s="1"/>
  <c r="G22" i="107"/>
  <c r="G24" i="107" s="1"/>
  <c r="G26" i="107" s="1"/>
  <c r="AF25" i="106"/>
  <c r="AC25" i="106"/>
  <c r="Y25" i="106"/>
  <c r="F22" i="106" l="1"/>
  <c r="U25" i="106" l="1"/>
  <c r="G25" i="106"/>
  <c r="L24" i="106"/>
  <c r="L26" i="106" s="1"/>
  <c r="D24" i="106"/>
  <c r="D26" i="106" s="1"/>
  <c r="U23" i="106"/>
  <c r="G23" i="106"/>
  <c r="AH22" i="106"/>
  <c r="AH24" i="106" s="1"/>
  <c r="AH26" i="106" s="1"/>
  <c r="AG22" i="106"/>
  <c r="AG24" i="106" s="1"/>
  <c r="AG26" i="106" s="1"/>
  <c r="AF22" i="106"/>
  <c r="AF24" i="106" s="1"/>
  <c r="AF26" i="106" s="1"/>
  <c r="AE22" i="106"/>
  <c r="AE24" i="106" s="1"/>
  <c r="AE26" i="106" s="1"/>
  <c r="AD22" i="106"/>
  <c r="AD24" i="106" s="1"/>
  <c r="AD26" i="106" s="1"/>
  <c r="AC22" i="106"/>
  <c r="AC24" i="106" s="1"/>
  <c r="AC26" i="106" s="1"/>
  <c r="AB22" i="106"/>
  <c r="AB24" i="106" s="1"/>
  <c r="AB26" i="106" s="1"/>
  <c r="AA22" i="106"/>
  <c r="AA24" i="106" s="1"/>
  <c r="AA26" i="106" s="1"/>
  <c r="Z22" i="106"/>
  <c r="Z24" i="106" s="1"/>
  <c r="Z26" i="106" s="1"/>
  <c r="Y22" i="106"/>
  <c r="Y24" i="106" s="1"/>
  <c r="Y26" i="106" s="1"/>
  <c r="W22" i="106"/>
  <c r="W24" i="106" s="1"/>
  <c r="W26" i="106" s="1"/>
  <c r="T22" i="106"/>
  <c r="T24" i="106" s="1"/>
  <c r="T26" i="106" s="1"/>
  <c r="R22" i="106"/>
  <c r="R24" i="106" s="1"/>
  <c r="R26" i="106" s="1"/>
  <c r="P22" i="106"/>
  <c r="P24" i="106" s="1"/>
  <c r="P26" i="106" s="1"/>
  <c r="N22" i="106"/>
  <c r="N24" i="106" s="1"/>
  <c r="N26" i="106" s="1"/>
  <c r="M22" i="106"/>
  <c r="M24" i="106" s="1"/>
  <c r="M26" i="106" s="1"/>
  <c r="L22" i="106"/>
  <c r="J22" i="106"/>
  <c r="J24" i="106" s="1"/>
  <c r="J26" i="106" s="1"/>
  <c r="F24" i="106"/>
  <c r="F26" i="106" s="1"/>
  <c r="D22" i="106"/>
  <c r="U21" i="106"/>
  <c r="S21" i="106"/>
  <c r="Q21" i="106"/>
  <c r="Q22" i="106" s="1"/>
  <c r="Q24" i="106" s="1"/>
  <c r="Q26" i="106" s="1"/>
  <c r="O21" i="106"/>
  <c r="N21" i="106"/>
  <c r="M21" i="106"/>
  <c r="K21" i="106"/>
  <c r="G21" i="106"/>
  <c r="E21" i="106"/>
  <c r="X20" i="106"/>
  <c r="X22" i="106" s="1"/>
  <c r="X24" i="106" s="1"/>
  <c r="X26" i="106" s="1"/>
  <c r="V20" i="106"/>
  <c r="V22" i="106" s="1"/>
  <c r="V24" i="106" s="1"/>
  <c r="V26" i="106" s="1"/>
  <c r="U20" i="106"/>
  <c r="S20" i="106"/>
  <c r="Q20" i="106"/>
  <c r="O20" i="106"/>
  <c r="O22" i="106" s="1"/>
  <c r="O24" i="106" s="1"/>
  <c r="O26" i="106" s="1"/>
  <c r="N20" i="106"/>
  <c r="M20" i="106"/>
  <c r="K20" i="106"/>
  <c r="K22" i="106" s="1"/>
  <c r="K24" i="106" s="1"/>
  <c r="K26" i="106" s="1"/>
  <c r="I20" i="106"/>
  <c r="I22" i="106" s="1"/>
  <c r="I24" i="106" s="1"/>
  <c r="I26" i="106" s="1"/>
  <c r="H20" i="106"/>
  <c r="H22" i="106" s="1"/>
  <c r="H24" i="106" s="1"/>
  <c r="H26" i="106" s="1"/>
  <c r="G20" i="106"/>
  <c r="E20" i="106"/>
  <c r="E22" i="106" s="1"/>
  <c r="E24" i="106" s="1"/>
  <c r="E26" i="106" s="1"/>
  <c r="S22" i="106" l="1"/>
  <c r="S24" i="106" s="1"/>
  <c r="S26" i="106" s="1"/>
  <c r="G22" i="106"/>
  <c r="G24" i="106" s="1"/>
  <c r="G26" i="106" s="1"/>
  <c r="U22" i="106"/>
  <c r="U24" i="106" s="1"/>
  <c r="U26" i="106" s="1"/>
  <c r="AA22" i="105"/>
  <c r="U25" i="105" l="1"/>
  <c r="G25" i="105"/>
  <c r="D24" i="105"/>
  <c r="D26" i="105" s="1"/>
  <c r="U23" i="105"/>
  <c r="G23" i="105"/>
  <c r="AH22" i="105"/>
  <c r="AH24" i="105" s="1"/>
  <c r="AH26" i="105" s="1"/>
  <c r="AG22" i="105"/>
  <c r="AG24" i="105" s="1"/>
  <c r="AG26" i="105" s="1"/>
  <c r="AF22" i="105"/>
  <c r="AF24" i="105" s="1"/>
  <c r="AF26" i="105" s="1"/>
  <c r="AE22" i="105"/>
  <c r="AE24" i="105" s="1"/>
  <c r="AE26" i="105" s="1"/>
  <c r="AD22" i="105"/>
  <c r="AD24" i="105" s="1"/>
  <c r="AD26" i="105" s="1"/>
  <c r="AC22" i="105"/>
  <c r="AC24" i="105" s="1"/>
  <c r="AC26" i="105" s="1"/>
  <c r="AB22" i="105"/>
  <c r="AB24" i="105" s="1"/>
  <c r="AB26" i="105" s="1"/>
  <c r="AA24" i="105"/>
  <c r="AA26" i="105" s="1"/>
  <c r="Z22" i="105"/>
  <c r="Z24" i="105" s="1"/>
  <c r="Z26" i="105" s="1"/>
  <c r="Y22" i="105"/>
  <c r="Y24" i="105" s="1"/>
  <c r="Y26" i="105" s="1"/>
  <c r="W22" i="105"/>
  <c r="W24" i="105" s="1"/>
  <c r="W26" i="105" s="1"/>
  <c r="T22" i="105"/>
  <c r="T24" i="105" s="1"/>
  <c r="T26" i="105" s="1"/>
  <c r="R22" i="105"/>
  <c r="R24" i="105" s="1"/>
  <c r="R26" i="105" s="1"/>
  <c r="P22" i="105"/>
  <c r="P24" i="105" s="1"/>
  <c r="P26" i="105" s="1"/>
  <c r="L22" i="105"/>
  <c r="L24" i="105" s="1"/>
  <c r="L26" i="105" s="1"/>
  <c r="J22" i="105"/>
  <c r="J24" i="105" s="1"/>
  <c r="J26" i="105" s="1"/>
  <c r="F22" i="105"/>
  <c r="F24" i="105" s="1"/>
  <c r="F26" i="105" s="1"/>
  <c r="D22" i="105"/>
  <c r="U21" i="105"/>
  <c r="U22" i="105" s="1"/>
  <c r="S21" i="105"/>
  <c r="Q21" i="105"/>
  <c r="Q22" i="105" s="1"/>
  <c r="Q24" i="105" s="1"/>
  <c r="Q26" i="105" s="1"/>
  <c r="O21" i="105"/>
  <c r="N21" i="105"/>
  <c r="M21" i="105"/>
  <c r="K21" i="105"/>
  <c r="G21" i="105"/>
  <c r="E21" i="105"/>
  <c r="X20" i="105"/>
  <c r="X22" i="105" s="1"/>
  <c r="X24" i="105" s="1"/>
  <c r="X26" i="105" s="1"/>
  <c r="V20" i="105"/>
  <c r="V22" i="105" s="1"/>
  <c r="V24" i="105" s="1"/>
  <c r="V26" i="105" s="1"/>
  <c r="U20" i="105"/>
  <c r="S20" i="105"/>
  <c r="Q20" i="105"/>
  <c r="O20" i="105"/>
  <c r="O22" i="105" s="1"/>
  <c r="O24" i="105" s="1"/>
  <c r="O26" i="105" s="1"/>
  <c r="N20" i="105"/>
  <c r="N22" i="105" s="1"/>
  <c r="N24" i="105" s="1"/>
  <c r="N26" i="105" s="1"/>
  <c r="M20" i="105"/>
  <c r="M22" i="105" s="1"/>
  <c r="M24" i="105" s="1"/>
  <c r="M26" i="105" s="1"/>
  <c r="K20" i="105"/>
  <c r="I20" i="105"/>
  <c r="I22" i="105" s="1"/>
  <c r="I24" i="105" s="1"/>
  <c r="I26" i="105" s="1"/>
  <c r="H20" i="105"/>
  <c r="H22" i="105" s="1"/>
  <c r="H24" i="105" s="1"/>
  <c r="H26" i="105" s="1"/>
  <c r="G20" i="105"/>
  <c r="E20" i="105"/>
  <c r="E22" i="105" s="1"/>
  <c r="E24" i="105" s="1"/>
  <c r="E26" i="105" s="1"/>
  <c r="S22" i="105" l="1"/>
  <c r="S24" i="105" s="1"/>
  <c r="S26" i="105" s="1"/>
  <c r="K22" i="105"/>
  <c r="K24" i="105" s="1"/>
  <c r="K26" i="105" s="1"/>
  <c r="U24" i="105"/>
  <c r="U26" i="105" s="1"/>
  <c r="G22" i="105"/>
  <c r="G24" i="105" s="1"/>
  <c r="G26" i="105" s="1"/>
  <c r="U25" i="104"/>
  <c r="G25" i="104"/>
  <c r="R24" i="104"/>
  <c r="R26" i="104" s="1"/>
  <c r="P24" i="104"/>
  <c r="P26" i="104" s="1"/>
  <c r="L24" i="104"/>
  <c r="L26" i="104" s="1"/>
  <c r="J24" i="104"/>
  <c r="J26" i="104" s="1"/>
  <c r="D24" i="104"/>
  <c r="D26" i="104" s="1"/>
  <c r="U23" i="104"/>
  <c r="G23" i="104"/>
  <c r="AH22" i="104"/>
  <c r="AH24" i="104" s="1"/>
  <c r="AH26" i="104" s="1"/>
  <c r="AG22" i="104"/>
  <c r="AG24" i="104" s="1"/>
  <c r="AG26" i="104" s="1"/>
  <c r="AF22" i="104"/>
  <c r="AF24" i="104" s="1"/>
  <c r="AF26" i="104" s="1"/>
  <c r="AE22" i="104"/>
  <c r="AE24" i="104" s="1"/>
  <c r="AE26" i="104" s="1"/>
  <c r="AD22" i="104"/>
  <c r="AD24" i="104" s="1"/>
  <c r="AD26" i="104" s="1"/>
  <c r="AC22" i="104"/>
  <c r="AC24" i="104" s="1"/>
  <c r="AC26" i="104" s="1"/>
  <c r="AB22" i="104"/>
  <c r="AB24" i="104" s="1"/>
  <c r="AB26" i="104" s="1"/>
  <c r="AA22" i="104"/>
  <c r="AA24" i="104" s="1"/>
  <c r="AA26" i="104" s="1"/>
  <c r="Z22" i="104"/>
  <c r="Z24" i="104" s="1"/>
  <c r="Z26" i="104" s="1"/>
  <c r="Y22" i="104"/>
  <c r="Y24" i="104" s="1"/>
  <c r="Y26" i="104" s="1"/>
  <c r="W22" i="104"/>
  <c r="W24" i="104" s="1"/>
  <c r="W26" i="104" s="1"/>
  <c r="T22" i="104"/>
  <c r="T24" i="104" s="1"/>
  <c r="T26" i="104" s="1"/>
  <c r="R22" i="104"/>
  <c r="P22" i="104"/>
  <c r="L22" i="104"/>
  <c r="J22" i="104"/>
  <c r="F22" i="104"/>
  <c r="F24" i="104" s="1"/>
  <c r="F26" i="104" s="1"/>
  <c r="D22" i="104"/>
  <c r="U21" i="104"/>
  <c r="U22" i="104" s="1"/>
  <c r="U24" i="104" s="1"/>
  <c r="S21" i="104"/>
  <c r="Q21" i="104"/>
  <c r="O21" i="104"/>
  <c r="N21" i="104"/>
  <c r="M21" i="104"/>
  <c r="K21" i="104"/>
  <c r="K22" i="104" s="1"/>
  <c r="K24" i="104" s="1"/>
  <c r="K26" i="104" s="1"/>
  <c r="G21" i="104"/>
  <c r="E21" i="104"/>
  <c r="X20" i="104"/>
  <c r="X22" i="104" s="1"/>
  <c r="X24" i="104" s="1"/>
  <c r="X26" i="104" s="1"/>
  <c r="V20" i="104"/>
  <c r="V22" i="104" s="1"/>
  <c r="V24" i="104" s="1"/>
  <c r="V26" i="104" s="1"/>
  <c r="U20" i="104"/>
  <c r="S20" i="104"/>
  <c r="Q20" i="104"/>
  <c r="O20" i="104"/>
  <c r="O22" i="104" s="1"/>
  <c r="O24" i="104" s="1"/>
  <c r="O26" i="104" s="1"/>
  <c r="N20" i="104"/>
  <c r="N22" i="104" s="1"/>
  <c r="N24" i="104" s="1"/>
  <c r="N26" i="104" s="1"/>
  <c r="M20" i="104"/>
  <c r="M22" i="104" s="1"/>
  <c r="M24" i="104" s="1"/>
  <c r="M26" i="104" s="1"/>
  <c r="K20" i="104"/>
  <c r="I20" i="104"/>
  <c r="I22" i="104" s="1"/>
  <c r="I24" i="104" s="1"/>
  <c r="I26" i="104" s="1"/>
  <c r="H20" i="104"/>
  <c r="H22" i="104" s="1"/>
  <c r="H24" i="104" s="1"/>
  <c r="H26" i="104" s="1"/>
  <c r="G20" i="104"/>
  <c r="G22" i="104" s="1"/>
  <c r="E20" i="104"/>
  <c r="Q22" i="104" l="1"/>
  <c r="Q24" i="104" s="1"/>
  <c r="Q26" i="104" s="1"/>
  <c r="S22" i="104"/>
  <c r="S24" i="104" s="1"/>
  <c r="S26" i="104" s="1"/>
  <c r="E22" i="104"/>
  <c r="E24" i="104" s="1"/>
  <c r="E26" i="104" s="1"/>
  <c r="G24" i="104"/>
  <c r="G26" i="104" s="1"/>
  <c r="U26" i="104"/>
  <c r="U25" i="103"/>
  <c r="G25" i="103"/>
  <c r="AG24" i="103"/>
  <c r="AG26" i="103" s="1"/>
  <c r="P24" i="103"/>
  <c r="P26" i="103" s="1"/>
  <c r="L24" i="103"/>
  <c r="L26" i="103" s="1"/>
  <c r="D24" i="103"/>
  <c r="D26" i="103" s="1"/>
  <c r="U23" i="103"/>
  <c r="G23" i="103"/>
  <c r="AH22" i="103"/>
  <c r="AH24" i="103" s="1"/>
  <c r="AH26" i="103" s="1"/>
  <c r="AG22" i="103"/>
  <c r="AF22" i="103"/>
  <c r="AF24" i="103" s="1"/>
  <c r="AF26" i="103" s="1"/>
  <c r="AE22" i="103"/>
  <c r="AE24" i="103" s="1"/>
  <c r="AE26" i="103" s="1"/>
  <c r="AD22" i="103"/>
  <c r="AD24" i="103" s="1"/>
  <c r="AD26" i="103" s="1"/>
  <c r="AC22" i="103"/>
  <c r="AC24" i="103" s="1"/>
  <c r="AC26" i="103" s="1"/>
  <c r="AB22" i="103"/>
  <c r="AB24" i="103" s="1"/>
  <c r="AB26" i="103" s="1"/>
  <c r="AA22" i="103"/>
  <c r="AA24" i="103" s="1"/>
  <c r="AA26" i="103" s="1"/>
  <c r="Z22" i="103"/>
  <c r="Z24" i="103" s="1"/>
  <c r="Z26" i="103" s="1"/>
  <c r="Y22" i="103"/>
  <c r="Y24" i="103" s="1"/>
  <c r="Y26" i="103" s="1"/>
  <c r="W22" i="103"/>
  <c r="W24" i="103" s="1"/>
  <c r="W26" i="103" s="1"/>
  <c r="T22" i="103"/>
  <c r="T24" i="103" s="1"/>
  <c r="T26" i="103" s="1"/>
  <c r="R22" i="103"/>
  <c r="R24" i="103" s="1"/>
  <c r="R26" i="103" s="1"/>
  <c r="P22" i="103"/>
  <c r="O22" i="103"/>
  <c r="O24" i="103" s="1"/>
  <c r="O26" i="103" s="1"/>
  <c r="N22" i="103"/>
  <c r="N24" i="103" s="1"/>
  <c r="N26" i="103" s="1"/>
  <c r="L22" i="103"/>
  <c r="J22" i="103"/>
  <c r="J24" i="103" s="1"/>
  <c r="J26" i="103" s="1"/>
  <c r="F22" i="103"/>
  <c r="F24" i="103" s="1"/>
  <c r="F26" i="103" s="1"/>
  <c r="D22" i="103"/>
  <c r="U21" i="103"/>
  <c r="S21" i="103"/>
  <c r="Q21" i="103"/>
  <c r="O21" i="103"/>
  <c r="N21" i="103"/>
  <c r="M21" i="103"/>
  <c r="K21" i="103"/>
  <c r="G21" i="103"/>
  <c r="E21" i="103"/>
  <c r="X20" i="103"/>
  <c r="X22" i="103" s="1"/>
  <c r="X24" i="103" s="1"/>
  <c r="X26" i="103" s="1"/>
  <c r="V20" i="103"/>
  <c r="V22" i="103" s="1"/>
  <c r="V24" i="103" s="1"/>
  <c r="V26" i="103" s="1"/>
  <c r="U20" i="103"/>
  <c r="S20" i="103"/>
  <c r="Q20" i="103"/>
  <c r="Q22" i="103" s="1"/>
  <c r="Q24" i="103" s="1"/>
  <c r="Q26" i="103" s="1"/>
  <c r="O20" i="103"/>
  <c r="N20" i="103"/>
  <c r="M20" i="103"/>
  <c r="M22" i="103" s="1"/>
  <c r="M24" i="103" s="1"/>
  <c r="M26" i="103" s="1"/>
  <c r="K20" i="103"/>
  <c r="I20" i="103"/>
  <c r="I22" i="103" s="1"/>
  <c r="I24" i="103" s="1"/>
  <c r="I26" i="103" s="1"/>
  <c r="H20" i="103"/>
  <c r="H22" i="103" s="1"/>
  <c r="H24" i="103" s="1"/>
  <c r="H26" i="103" s="1"/>
  <c r="G20" i="103"/>
  <c r="G22" i="103" s="1"/>
  <c r="E20" i="103"/>
  <c r="E22" i="103" s="1"/>
  <c r="E24" i="103" s="1"/>
  <c r="E26" i="103" s="1"/>
  <c r="U22" i="103" l="1"/>
  <c r="U24" i="103" s="1"/>
  <c r="K22" i="103"/>
  <c r="K24" i="103" s="1"/>
  <c r="K26" i="103" s="1"/>
  <c r="S22" i="103"/>
  <c r="S24" i="103" s="1"/>
  <c r="S26" i="103" s="1"/>
  <c r="G24" i="103"/>
  <c r="G26" i="103" s="1"/>
  <c r="U26" i="103"/>
  <c r="AF23" i="102"/>
  <c r="U25" i="102" l="1"/>
  <c r="G25" i="102"/>
  <c r="P24" i="102"/>
  <c r="P26" i="102" s="1"/>
  <c r="L24" i="102"/>
  <c r="L26" i="102" s="1"/>
  <c r="J24" i="102"/>
  <c r="J26" i="102" s="1"/>
  <c r="D24" i="102"/>
  <c r="D26" i="102" s="1"/>
  <c r="U23" i="102"/>
  <c r="G23" i="102"/>
  <c r="AH22" i="102"/>
  <c r="AH24" i="102" s="1"/>
  <c r="AH26" i="102" s="1"/>
  <c r="AG22" i="102"/>
  <c r="AG24" i="102" s="1"/>
  <c r="AG26" i="102" s="1"/>
  <c r="AF22" i="102"/>
  <c r="AF24" i="102" s="1"/>
  <c r="AF26" i="102" s="1"/>
  <c r="AE22" i="102"/>
  <c r="AE24" i="102" s="1"/>
  <c r="AE26" i="102" s="1"/>
  <c r="AD22" i="102"/>
  <c r="AD24" i="102" s="1"/>
  <c r="AD26" i="102" s="1"/>
  <c r="AC22" i="102"/>
  <c r="AC24" i="102" s="1"/>
  <c r="AC26" i="102" s="1"/>
  <c r="AB22" i="102"/>
  <c r="AB24" i="102" s="1"/>
  <c r="AB26" i="102" s="1"/>
  <c r="AA22" i="102"/>
  <c r="AA24" i="102" s="1"/>
  <c r="AA26" i="102" s="1"/>
  <c r="Z22" i="102"/>
  <c r="Z24" i="102" s="1"/>
  <c r="Z26" i="102" s="1"/>
  <c r="Y22" i="102"/>
  <c r="Y24" i="102" s="1"/>
  <c r="Y26" i="102" s="1"/>
  <c r="W22" i="102"/>
  <c r="W24" i="102" s="1"/>
  <c r="W26" i="102" s="1"/>
  <c r="T22" i="102"/>
  <c r="T24" i="102" s="1"/>
  <c r="T26" i="102" s="1"/>
  <c r="R22" i="102"/>
  <c r="R24" i="102" s="1"/>
  <c r="R26" i="102" s="1"/>
  <c r="P22" i="102"/>
  <c r="L22" i="102"/>
  <c r="J22" i="102"/>
  <c r="F22" i="102"/>
  <c r="F24" i="102" s="1"/>
  <c r="F26" i="102" s="1"/>
  <c r="E22" i="102"/>
  <c r="E24" i="102" s="1"/>
  <c r="E26" i="102" s="1"/>
  <c r="D22" i="102"/>
  <c r="U21" i="102"/>
  <c r="S21" i="102"/>
  <c r="Q21" i="102"/>
  <c r="Q22" i="102" s="1"/>
  <c r="Q24" i="102" s="1"/>
  <c r="Q26" i="102" s="1"/>
  <c r="O21" i="102"/>
  <c r="N21" i="102"/>
  <c r="M21" i="102"/>
  <c r="K21" i="102"/>
  <c r="K22" i="102" s="1"/>
  <c r="K24" i="102" s="1"/>
  <c r="K26" i="102" s="1"/>
  <c r="G21" i="102"/>
  <c r="E21" i="102"/>
  <c r="X20" i="102"/>
  <c r="X22" i="102" s="1"/>
  <c r="X24" i="102" s="1"/>
  <c r="X26" i="102" s="1"/>
  <c r="V20" i="102"/>
  <c r="V22" i="102" s="1"/>
  <c r="V24" i="102" s="1"/>
  <c r="V26" i="102" s="1"/>
  <c r="U20" i="102"/>
  <c r="S20" i="102"/>
  <c r="Q20" i="102"/>
  <c r="O20" i="102"/>
  <c r="O22" i="102" s="1"/>
  <c r="O24" i="102" s="1"/>
  <c r="O26" i="102" s="1"/>
  <c r="N20" i="102"/>
  <c r="N22" i="102" s="1"/>
  <c r="N24" i="102" s="1"/>
  <c r="N26" i="102" s="1"/>
  <c r="M20" i="102"/>
  <c r="M22" i="102" s="1"/>
  <c r="M24" i="102" s="1"/>
  <c r="M26" i="102" s="1"/>
  <c r="K20" i="102"/>
  <c r="I20" i="102"/>
  <c r="I22" i="102" s="1"/>
  <c r="I24" i="102" s="1"/>
  <c r="I26" i="102" s="1"/>
  <c r="H20" i="102"/>
  <c r="H22" i="102" s="1"/>
  <c r="H24" i="102" s="1"/>
  <c r="H26" i="102" s="1"/>
  <c r="G20" i="102"/>
  <c r="E20" i="102"/>
  <c r="S22" i="102" l="1"/>
  <c r="S24" i="102" s="1"/>
  <c r="S26" i="102" s="1"/>
  <c r="G22" i="102"/>
  <c r="G24" i="102" s="1"/>
  <c r="G26" i="102" s="1"/>
  <c r="U22" i="102"/>
  <c r="U24" i="102" s="1"/>
  <c r="U26" i="102" s="1"/>
  <c r="U25" i="101" l="1"/>
  <c r="G25" i="101"/>
  <c r="U23" i="101"/>
  <c r="G23" i="101"/>
  <c r="AH22" i="101"/>
  <c r="AH24" i="101" s="1"/>
  <c r="AH26" i="101" s="1"/>
  <c r="AG22" i="101"/>
  <c r="AG24" i="101" s="1"/>
  <c r="AG26" i="101" s="1"/>
  <c r="AF22" i="101"/>
  <c r="AF24" i="101" s="1"/>
  <c r="AF26" i="101" s="1"/>
  <c r="AE22" i="101"/>
  <c r="AE24" i="101" s="1"/>
  <c r="AE26" i="101" s="1"/>
  <c r="AD22" i="101"/>
  <c r="AD24" i="101" s="1"/>
  <c r="AD26" i="101" s="1"/>
  <c r="AC22" i="101"/>
  <c r="AC24" i="101" s="1"/>
  <c r="AC26" i="101" s="1"/>
  <c r="AB22" i="101"/>
  <c r="AB24" i="101" s="1"/>
  <c r="AB26" i="101" s="1"/>
  <c r="AA22" i="101"/>
  <c r="AA24" i="101" s="1"/>
  <c r="AA26" i="101" s="1"/>
  <c r="Z22" i="101"/>
  <c r="Z24" i="101" s="1"/>
  <c r="Z26" i="101" s="1"/>
  <c r="Y22" i="101"/>
  <c r="Y24" i="101" s="1"/>
  <c r="Y26" i="101" s="1"/>
  <c r="W22" i="101"/>
  <c r="W24" i="101" s="1"/>
  <c r="W26" i="101" s="1"/>
  <c r="T22" i="101"/>
  <c r="T24" i="101" s="1"/>
  <c r="T26" i="101" s="1"/>
  <c r="R22" i="101"/>
  <c r="R24" i="101" s="1"/>
  <c r="R26" i="101" s="1"/>
  <c r="P22" i="101"/>
  <c r="P24" i="101" s="1"/>
  <c r="P26" i="101" s="1"/>
  <c r="L22" i="101"/>
  <c r="L24" i="101" s="1"/>
  <c r="L26" i="101" s="1"/>
  <c r="J22" i="101"/>
  <c r="J24" i="101" s="1"/>
  <c r="J26" i="101" s="1"/>
  <c r="F22" i="101"/>
  <c r="F24" i="101" s="1"/>
  <c r="F26" i="101" s="1"/>
  <c r="D22" i="101"/>
  <c r="D24" i="101" s="1"/>
  <c r="D26" i="101" s="1"/>
  <c r="U21" i="101"/>
  <c r="S21" i="101"/>
  <c r="Q21" i="101"/>
  <c r="O21" i="101"/>
  <c r="N21" i="101"/>
  <c r="M21" i="101"/>
  <c r="K21" i="101"/>
  <c r="G21" i="101"/>
  <c r="E21" i="101"/>
  <c r="X20" i="101"/>
  <c r="X22" i="101" s="1"/>
  <c r="X24" i="101" s="1"/>
  <c r="X26" i="101" s="1"/>
  <c r="V20" i="101"/>
  <c r="V22" i="101" s="1"/>
  <c r="V24" i="101" s="1"/>
  <c r="V26" i="101" s="1"/>
  <c r="U20" i="101"/>
  <c r="U22" i="101" s="1"/>
  <c r="S20" i="101"/>
  <c r="S22" i="101" s="1"/>
  <c r="S24" i="101" s="1"/>
  <c r="S26" i="101" s="1"/>
  <c r="Q20" i="101"/>
  <c r="O20" i="101"/>
  <c r="O22" i="101" s="1"/>
  <c r="O24" i="101" s="1"/>
  <c r="O26" i="101" s="1"/>
  <c r="N20" i="101"/>
  <c r="N22" i="101" s="1"/>
  <c r="N24" i="101" s="1"/>
  <c r="N26" i="101" s="1"/>
  <c r="M20" i="101"/>
  <c r="K20" i="101"/>
  <c r="I20" i="101"/>
  <c r="I22" i="101" s="1"/>
  <c r="I24" i="101" s="1"/>
  <c r="I26" i="101" s="1"/>
  <c r="H20" i="101"/>
  <c r="H22" i="101" s="1"/>
  <c r="H24" i="101" s="1"/>
  <c r="H26" i="101" s="1"/>
  <c r="G20" i="101"/>
  <c r="E20" i="101"/>
  <c r="E22" i="101" s="1"/>
  <c r="E24" i="101" s="1"/>
  <c r="E26" i="101" s="1"/>
  <c r="K22" i="101" l="1"/>
  <c r="K24" i="101" s="1"/>
  <c r="K26" i="101" s="1"/>
  <c r="M22" i="101"/>
  <c r="M24" i="101" s="1"/>
  <c r="M26" i="101" s="1"/>
  <c r="Q22" i="101"/>
  <c r="Q24" i="101" s="1"/>
  <c r="Q26" i="101" s="1"/>
  <c r="U24" i="101"/>
  <c r="U26" i="101" s="1"/>
  <c r="G22" i="101"/>
  <c r="G24" i="101" s="1"/>
  <c r="G26" i="101" s="1"/>
  <c r="U25" i="100"/>
  <c r="G25" i="100"/>
  <c r="R24" i="100"/>
  <c r="R26" i="100" s="1"/>
  <c r="J24" i="100"/>
  <c r="J26" i="100" s="1"/>
  <c r="U23" i="100"/>
  <c r="G23" i="100"/>
  <c r="AH22" i="100"/>
  <c r="AH24" i="100" s="1"/>
  <c r="AH26" i="100" s="1"/>
  <c r="AG22" i="100"/>
  <c r="AG24" i="100" s="1"/>
  <c r="AG26" i="100" s="1"/>
  <c r="AF22" i="100"/>
  <c r="AF24" i="100" s="1"/>
  <c r="AF26" i="100" s="1"/>
  <c r="AE22" i="100"/>
  <c r="AE24" i="100" s="1"/>
  <c r="AE26" i="100" s="1"/>
  <c r="AD22" i="100"/>
  <c r="AD24" i="100" s="1"/>
  <c r="AD26" i="100" s="1"/>
  <c r="AC22" i="100"/>
  <c r="AC24" i="100" s="1"/>
  <c r="AC26" i="100" s="1"/>
  <c r="AB22" i="100"/>
  <c r="AB24" i="100" s="1"/>
  <c r="AB26" i="100" s="1"/>
  <c r="AA22" i="100"/>
  <c r="AA24" i="100" s="1"/>
  <c r="AA26" i="100" s="1"/>
  <c r="Z22" i="100"/>
  <c r="Z24" i="100" s="1"/>
  <c r="Z26" i="100" s="1"/>
  <c r="Y22" i="100"/>
  <c r="Y24" i="100" s="1"/>
  <c r="Y26" i="100" s="1"/>
  <c r="X22" i="100"/>
  <c r="X24" i="100" s="1"/>
  <c r="X26" i="100" s="1"/>
  <c r="W22" i="100"/>
  <c r="W24" i="100" s="1"/>
  <c r="W26" i="100" s="1"/>
  <c r="T22" i="100"/>
  <c r="T24" i="100" s="1"/>
  <c r="T26" i="100" s="1"/>
  <c r="R22" i="100"/>
  <c r="P22" i="100"/>
  <c r="P24" i="100" s="1"/>
  <c r="P26" i="100" s="1"/>
  <c r="L22" i="100"/>
  <c r="L24" i="100" s="1"/>
  <c r="L26" i="100" s="1"/>
  <c r="K22" i="100"/>
  <c r="K24" i="100" s="1"/>
  <c r="K26" i="100" s="1"/>
  <c r="J22" i="100"/>
  <c r="F22" i="100"/>
  <c r="F24" i="100" s="1"/>
  <c r="F26" i="100" s="1"/>
  <c r="D22" i="100"/>
  <c r="D24" i="100" s="1"/>
  <c r="D26" i="100" s="1"/>
  <c r="U21" i="100"/>
  <c r="S21" i="100"/>
  <c r="Q21" i="100"/>
  <c r="Q22" i="100" s="1"/>
  <c r="Q24" i="100" s="1"/>
  <c r="Q26" i="100" s="1"/>
  <c r="O21" i="100"/>
  <c r="N21" i="100"/>
  <c r="M21" i="100"/>
  <c r="K21" i="100"/>
  <c r="G21" i="100"/>
  <c r="E21" i="100"/>
  <c r="X20" i="100"/>
  <c r="V20" i="100"/>
  <c r="V22" i="100" s="1"/>
  <c r="V24" i="100" s="1"/>
  <c r="V26" i="100" s="1"/>
  <c r="U20" i="100"/>
  <c r="S20" i="100"/>
  <c r="Q20" i="100"/>
  <c r="O20" i="100"/>
  <c r="O22" i="100" s="1"/>
  <c r="O24" i="100" s="1"/>
  <c r="O26" i="100" s="1"/>
  <c r="N20" i="100"/>
  <c r="N22" i="100" s="1"/>
  <c r="N24" i="100" s="1"/>
  <c r="N26" i="100" s="1"/>
  <c r="M20" i="100"/>
  <c r="M22" i="100" s="1"/>
  <c r="M24" i="100" s="1"/>
  <c r="M26" i="100" s="1"/>
  <c r="K20" i="100"/>
  <c r="I20" i="100"/>
  <c r="I22" i="100" s="1"/>
  <c r="I24" i="100" s="1"/>
  <c r="I26" i="100" s="1"/>
  <c r="H20" i="100"/>
  <c r="H22" i="100" s="1"/>
  <c r="H24" i="100" s="1"/>
  <c r="H26" i="100" s="1"/>
  <c r="G20" i="100"/>
  <c r="E20" i="100"/>
  <c r="S22" i="100" l="1"/>
  <c r="S24" i="100" s="1"/>
  <c r="S26" i="100" s="1"/>
  <c r="E22" i="100"/>
  <c r="E24" i="100" s="1"/>
  <c r="E26" i="100" s="1"/>
  <c r="U22" i="100"/>
  <c r="U24" i="100" s="1"/>
  <c r="U26" i="100" s="1"/>
  <c r="G22" i="100"/>
  <c r="G24" i="100" s="1"/>
  <c r="G26" i="100" s="1"/>
  <c r="U25" i="99"/>
  <c r="G25" i="99"/>
  <c r="AE24" i="99"/>
  <c r="AE26" i="99" s="1"/>
  <c r="R24" i="99"/>
  <c r="R26" i="99" s="1"/>
  <c r="L24" i="99"/>
  <c r="L26" i="99" s="1"/>
  <c r="E24" i="99"/>
  <c r="E26" i="99" s="1"/>
  <c r="U23" i="99"/>
  <c r="G23" i="99"/>
  <c r="AH22" i="99"/>
  <c r="AH24" i="99" s="1"/>
  <c r="AH26" i="99" s="1"/>
  <c r="AG22" i="99"/>
  <c r="AG24" i="99" s="1"/>
  <c r="AG26" i="99" s="1"/>
  <c r="AF22" i="99"/>
  <c r="AF24" i="99" s="1"/>
  <c r="AF26" i="99" s="1"/>
  <c r="AE22" i="99"/>
  <c r="AD22" i="99"/>
  <c r="AD24" i="99" s="1"/>
  <c r="AD26" i="99" s="1"/>
  <c r="AC22" i="99"/>
  <c r="AC24" i="99" s="1"/>
  <c r="AC26" i="99" s="1"/>
  <c r="AB22" i="99"/>
  <c r="AB24" i="99" s="1"/>
  <c r="AB26" i="99" s="1"/>
  <c r="AA22" i="99"/>
  <c r="AA24" i="99" s="1"/>
  <c r="AA26" i="99" s="1"/>
  <c r="Z22" i="99"/>
  <c r="Z24" i="99" s="1"/>
  <c r="Z26" i="99" s="1"/>
  <c r="Y22" i="99"/>
  <c r="Y24" i="99" s="1"/>
  <c r="Y26" i="99" s="1"/>
  <c r="W22" i="99"/>
  <c r="W24" i="99" s="1"/>
  <c r="W26" i="99" s="1"/>
  <c r="V22" i="99"/>
  <c r="V24" i="99" s="1"/>
  <c r="V26" i="99" s="1"/>
  <c r="T22" i="99"/>
  <c r="T24" i="99" s="1"/>
  <c r="T26" i="99" s="1"/>
  <c r="R22" i="99"/>
  <c r="P22" i="99"/>
  <c r="P24" i="99" s="1"/>
  <c r="P26" i="99" s="1"/>
  <c r="O22" i="99"/>
  <c r="O24" i="99" s="1"/>
  <c r="O26" i="99" s="1"/>
  <c r="N22" i="99"/>
  <c r="N24" i="99" s="1"/>
  <c r="N26" i="99" s="1"/>
  <c r="L22" i="99"/>
  <c r="J22" i="99"/>
  <c r="J24" i="99" s="1"/>
  <c r="J26" i="99" s="1"/>
  <c r="F22" i="99"/>
  <c r="F24" i="99" s="1"/>
  <c r="F26" i="99" s="1"/>
  <c r="E22" i="99"/>
  <c r="D22" i="99"/>
  <c r="D24" i="99" s="1"/>
  <c r="D26" i="99" s="1"/>
  <c r="U21" i="99"/>
  <c r="S21" i="99"/>
  <c r="Q21" i="99"/>
  <c r="O21" i="99"/>
  <c r="N21" i="99"/>
  <c r="M21" i="99"/>
  <c r="K21" i="99"/>
  <c r="G21" i="99"/>
  <c r="E21" i="99"/>
  <c r="X20" i="99"/>
  <c r="X22" i="99" s="1"/>
  <c r="X24" i="99" s="1"/>
  <c r="X26" i="99" s="1"/>
  <c r="V20" i="99"/>
  <c r="U20" i="99"/>
  <c r="S20" i="99"/>
  <c r="Q20" i="99"/>
  <c r="Q22" i="99" s="1"/>
  <c r="Q24" i="99" s="1"/>
  <c r="Q26" i="99" s="1"/>
  <c r="O20" i="99"/>
  <c r="N20" i="99"/>
  <c r="M20" i="99"/>
  <c r="K20" i="99"/>
  <c r="I20" i="99"/>
  <c r="I22" i="99" s="1"/>
  <c r="I24" i="99" s="1"/>
  <c r="I26" i="99" s="1"/>
  <c r="H20" i="99"/>
  <c r="H22" i="99" s="1"/>
  <c r="H24" i="99" s="1"/>
  <c r="H26" i="99" s="1"/>
  <c r="G20" i="99"/>
  <c r="E20" i="99"/>
  <c r="S22" i="99" l="1"/>
  <c r="S24" i="99" s="1"/>
  <c r="S26" i="99" s="1"/>
  <c r="K22" i="99"/>
  <c r="K24" i="99" s="1"/>
  <c r="K26" i="99" s="1"/>
  <c r="M22" i="99"/>
  <c r="M24" i="99" s="1"/>
  <c r="M26" i="99" s="1"/>
  <c r="G22" i="99"/>
  <c r="G24" i="99" s="1"/>
  <c r="G26" i="99" s="1"/>
  <c r="U22" i="99"/>
  <c r="U24" i="99"/>
  <c r="U26" i="99" s="1"/>
  <c r="U25" i="98"/>
  <c r="G25" i="98"/>
  <c r="R24" i="98"/>
  <c r="R26" i="98" s="1"/>
  <c r="J24" i="98"/>
  <c r="J26" i="98" s="1"/>
  <c r="U23" i="98"/>
  <c r="G23" i="98"/>
  <c r="AH22" i="98"/>
  <c r="AH24" i="98" s="1"/>
  <c r="AH26" i="98" s="1"/>
  <c r="AG22" i="98"/>
  <c r="AG24" i="98" s="1"/>
  <c r="AG26" i="98" s="1"/>
  <c r="AF22" i="98"/>
  <c r="AF24" i="98" s="1"/>
  <c r="AF26" i="98" s="1"/>
  <c r="AE22" i="98"/>
  <c r="AE24" i="98" s="1"/>
  <c r="AE26" i="98" s="1"/>
  <c r="AD22" i="98"/>
  <c r="AD24" i="98" s="1"/>
  <c r="AD26" i="98" s="1"/>
  <c r="AC22" i="98"/>
  <c r="AC24" i="98" s="1"/>
  <c r="AC26" i="98" s="1"/>
  <c r="AB22" i="98"/>
  <c r="AB24" i="98" s="1"/>
  <c r="AB26" i="98" s="1"/>
  <c r="AA22" i="98"/>
  <c r="AA24" i="98" s="1"/>
  <c r="AA26" i="98" s="1"/>
  <c r="Z22" i="98"/>
  <c r="Z24" i="98" s="1"/>
  <c r="Z26" i="98" s="1"/>
  <c r="Y22" i="98"/>
  <c r="Y24" i="98" s="1"/>
  <c r="Y26" i="98" s="1"/>
  <c r="X22" i="98"/>
  <c r="X24" i="98" s="1"/>
  <c r="X26" i="98" s="1"/>
  <c r="W22" i="98"/>
  <c r="W24" i="98" s="1"/>
  <c r="W26" i="98" s="1"/>
  <c r="T22" i="98"/>
  <c r="T24" i="98" s="1"/>
  <c r="T26" i="98" s="1"/>
  <c r="R22" i="98"/>
  <c r="P22" i="98"/>
  <c r="P24" i="98" s="1"/>
  <c r="P26" i="98" s="1"/>
  <c r="L22" i="98"/>
  <c r="L24" i="98" s="1"/>
  <c r="L26" i="98" s="1"/>
  <c r="K22" i="98"/>
  <c r="K24" i="98" s="1"/>
  <c r="K26" i="98" s="1"/>
  <c r="J22" i="98"/>
  <c r="F22" i="98"/>
  <c r="F24" i="98" s="1"/>
  <c r="F26" i="98" s="1"/>
  <c r="D22" i="98"/>
  <c r="D24" i="98" s="1"/>
  <c r="D26" i="98" s="1"/>
  <c r="U21" i="98"/>
  <c r="S21" i="98"/>
  <c r="Q21" i="98"/>
  <c r="Q22" i="98" s="1"/>
  <c r="Q24" i="98" s="1"/>
  <c r="Q26" i="98" s="1"/>
  <c r="O21" i="98"/>
  <c r="N21" i="98"/>
  <c r="M21" i="98"/>
  <c r="K21" i="98"/>
  <c r="G21" i="98"/>
  <c r="E21" i="98"/>
  <c r="X20" i="98"/>
  <c r="V20" i="98"/>
  <c r="V22" i="98" s="1"/>
  <c r="V24" i="98" s="1"/>
  <c r="V26" i="98" s="1"/>
  <c r="U20" i="98"/>
  <c r="S20" i="98"/>
  <c r="S22" i="98" s="1"/>
  <c r="S24" i="98" s="1"/>
  <c r="S26" i="98" s="1"/>
  <c r="Q20" i="98"/>
  <c r="O20" i="98"/>
  <c r="O22" i="98" s="1"/>
  <c r="O24" i="98" s="1"/>
  <c r="O26" i="98" s="1"/>
  <c r="N20" i="98"/>
  <c r="N22" i="98" s="1"/>
  <c r="N24" i="98" s="1"/>
  <c r="N26" i="98" s="1"/>
  <c r="M20" i="98"/>
  <c r="K20" i="98"/>
  <c r="I20" i="98"/>
  <c r="I22" i="98" s="1"/>
  <c r="I24" i="98" s="1"/>
  <c r="I26" i="98" s="1"/>
  <c r="H20" i="98"/>
  <c r="H22" i="98" s="1"/>
  <c r="H24" i="98" s="1"/>
  <c r="H26" i="98" s="1"/>
  <c r="G20" i="98"/>
  <c r="E20" i="98"/>
  <c r="E22" i="98" l="1"/>
  <c r="E24" i="98" s="1"/>
  <c r="E26" i="98" s="1"/>
  <c r="M22" i="98"/>
  <c r="M24" i="98" s="1"/>
  <c r="M26" i="98" s="1"/>
  <c r="U22" i="98"/>
  <c r="U24" i="98" s="1"/>
  <c r="U26" i="98" s="1"/>
  <c r="G22" i="98"/>
  <c r="G24" i="98" s="1"/>
  <c r="G26" i="98" s="1"/>
  <c r="U25" i="97"/>
  <c r="G25" i="97"/>
  <c r="AE24" i="97"/>
  <c r="AE26" i="97" s="1"/>
  <c r="AA24" i="97"/>
  <c r="AA26" i="97" s="1"/>
  <c r="U23" i="97"/>
  <c r="G23" i="97"/>
  <c r="AH22" i="97"/>
  <c r="AH24" i="97" s="1"/>
  <c r="AH26" i="97" s="1"/>
  <c r="AG22" i="97"/>
  <c r="AG24" i="97" s="1"/>
  <c r="AG26" i="97" s="1"/>
  <c r="AF22" i="97"/>
  <c r="AF24" i="97" s="1"/>
  <c r="AF26" i="97" s="1"/>
  <c r="AE22" i="97"/>
  <c r="AD22" i="97"/>
  <c r="AD24" i="97" s="1"/>
  <c r="AD26" i="97" s="1"/>
  <c r="AC22" i="97"/>
  <c r="AC24" i="97" s="1"/>
  <c r="AC26" i="97" s="1"/>
  <c r="AB22" i="97"/>
  <c r="AB24" i="97" s="1"/>
  <c r="AB26" i="97" s="1"/>
  <c r="AA22" i="97"/>
  <c r="Z22" i="97"/>
  <c r="Z24" i="97" s="1"/>
  <c r="Z26" i="97" s="1"/>
  <c r="Y22" i="97"/>
  <c r="Y24" i="97" s="1"/>
  <c r="Y26" i="97" s="1"/>
  <c r="X22" i="97"/>
  <c r="X24" i="97" s="1"/>
  <c r="X26" i="97" s="1"/>
  <c r="W22" i="97"/>
  <c r="W24" i="97" s="1"/>
  <c r="W26" i="97" s="1"/>
  <c r="T22" i="97"/>
  <c r="T24" i="97" s="1"/>
  <c r="T26" i="97" s="1"/>
  <c r="R22" i="97"/>
  <c r="R24" i="97" s="1"/>
  <c r="R26" i="97" s="1"/>
  <c r="P22" i="97"/>
  <c r="P24" i="97" s="1"/>
  <c r="P26" i="97" s="1"/>
  <c r="L22" i="97"/>
  <c r="L24" i="97" s="1"/>
  <c r="L26" i="97" s="1"/>
  <c r="J22" i="97"/>
  <c r="J24" i="97" s="1"/>
  <c r="J26" i="97" s="1"/>
  <c r="F22" i="97"/>
  <c r="F24" i="97" s="1"/>
  <c r="F26" i="97" s="1"/>
  <c r="E22" i="97"/>
  <c r="E24" i="97" s="1"/>
  <c r="E26" i="97" s="1"/>
  <c r="D22" i="97"/>
  <c r="D24" i="97" s="1"/>
  <c r="D26" i="97" s="1"/>
  <c r="U21" i="97"/>
  <c r="S21" i="97"/>
  <c r="Q21" i="97"/>
  <c r="O21" i="97"/>
  <c r="N21" i="97"/>
  <c r="M21" i="97"/>
  <c r="K21" i="97"/>
  <c r="G21" i="97"/>
  <c r="E21" i="97"/>
  <c r="X20" i="97"/>
  <c r="V20" i="97"/>
  <c r="V22" i="97" s="1"/>
  <c r="V24" i="97" s="1"/>
  <c r="V26" i="97" s="1"/>
  <c r="U20" i="97"/>
  <c r="S20" i="97"/>
  <c r="S22" i="97" s="1"/>
  <c r="S24" i="97" s="1"/>
  <c r="S26" i="97" s="1"/>
  <c r="Q20" i="97"/>
  <c r="O20" i="97"/>
  <c r="O22" i="97" s="1"/>
  <c r="O24" i="97" s="1"/>
  <c r="O26" i="97" s="1"/>
  <c r="N20" i="97"/>
  <c r="N22" i="97" s="1"/>
  <c r="N24" i="97" s="1"/>
  <c r="N26" i="97" s="1"/>
  <c r="M20" i="97"/>
  <c r="M22" i="97" s="1"/>
  <c r="M24" i="97" s="1"/>
  <c r="M26" i="97" s="1"/>
  <c r="K20" i="97"/>
  <c r="K22" i="97" s="1"/>
  <c r="K24" i="97" s="1"/>
  <c r="K26" i="97" s="1"/>
  <c r="I20" i="97"/>
  <c r="I22" i="97" s="1"/>
  <c r="I24" i="97" s="1"/>
  <c r="I26" i="97" s="1"/>
  <c r="H20" i="97"/>
  <c r="H22" i="97" s="1"/>
  <c r="H24" i="97" s="1"/>
  <c r="H26" i="97" s="1"/>
  <c r="G20" i="97"/>
  <c r="E20" i="97"/>
  <c r="Q22" i="97" l="1"/>
  <c r="Q24" i="97" s="1"/>
  <c r="Q26" i="97" s="1"/>
  <c r="U22" i="97"/>
  <c r="U24" i="97" s="1"/>
  <c r="U26" i="97" s="1"/>
  <c r="G22" i="97"/>
  <c r="G24" i="97" s="1"/>
  <c r="G26" i="97" s="1"/>
  <c r="G25" i="96"/>
  <c r="U25" i="96"/>
  <c r="U23" i="96" l="1"/>
  <c r="G23" i="96"/>
  <c r="AH22" i="96"/>
  <c r="AH24" i="96" s="1"/>
  <c r="AH26" i="96" s="1"/>
  <c r="AG22" i="96"/>
  <c r="AG24" i="96" s="1"/>
  <c r="AG26" i="96" s="1"/>
  <c r="AF22" i="96"/>
  <c r="AF24" i="96" s="1"/>
  <c r="AF26" i="96" s="1"/>
  <c r="AE22" i="96"/>
  <c r="AE24" i="96" s="1"/>
  <c r="AE26" i="96" s="1"/>
  <c r="AD22" i="96"/>
  <c r="AD24" i="96" s="1"/>
  <c r="AD26" i="96" s="1"/>
  <c r="AC22" i="96"/>
  <c r="AC24" i="96" s="1"/>
  <c r="AC26" i="96" s="1"/>
  <c r="AB22" i="96"/>
  <c r="AB24" i="96" s="1"/>
  <c r="AB26" i="96" s="1"/>
  <c r="AA22" i="96"/>
  <c r="AA24" i="96" s="1"/>
  <c r="AA26" i="96" s="1"/>
  <c r="Z22" i="96"/>
  <c r="Z24" i="96" s="1"/>
  <c r="Z26" i="96" s="1"/>
  <c r="Y22" i="96"/>
  <c r="Y24" i="96" s="1"/>
  <c r="Y26" i="96" s="1"/>
  <c r="W22" i="96"/>
  <c r="W24" i="96" s="1"/>
  <c r="W26" i="96" s="1"/>
  <c r="T22" i="96"/>
  <c r="T24" i="96" s="1"/>
  <c r="T26" i="96" s="1"/>
  <c r="R22" i="96"/>
  <c r="R24" i="96" s="1"/>
  <c r="R26" i="96" s="1"/>
  <c r="P22" i="96"/>
  <c r="P24" i="96" s="1"/>
  <c r="P26" i="96" s="1"/>
  <c r="O22" i="96"/>
  <c r="O24" i="96" s="1"/>
  <c r="O26" i="96" s="1"/>
  <c r="L22" i="96"/>
  <c r="L24" i="96" s="1"/>
  <c r="L26" i="96" s="1"/>
  <c r="K22" i="96"/>
  <c r="K24" i="96" s="1"/>
  <c r="K26" i="96" s="1"/>
  <c r="J22" i="96"/>
  <c r="J24" i="96" s="1"/>
  <c r="J26" i="96" s="1"/>
  <c r="F22" i="96"/>
  <c r="F24" i="96" s="1"/>
  <c r="F26" i="96" s="1"/>
  <c r="D22" i="96"/>
  <c r="D24" i="96" s="1"/>
  <c r="D26" i="96" s="1"/>
  <c r="U21" i="96"/>
  <c r="S21" i="96"/>
  <c r="Q21" i="96"/>
  <c r="Q22" i="96" s="1"/>
  <c r="Q24" i="96" s="1"/>
  <c r="Q26" i="96" s="1"/>
  <c r="O21" i="96"/>
  <c r="N21" i="96"/>
  <c r="M21" i="96"/>
  <c r="K21" i="96"/>
  <c r="G21" i="96"/>
  <c r="E21" i="96"/>
  <c r="X20" i="96"/>
  <c r="X22" i="96" s="1"/>
  <c r="X24" i="96" s="1"/>
  <c r="X26" i="96" s="1"/>
  <c r="V20" i="96"/>
  <c r="V22" i="96" s="1"/>
  <c r="V24" i="96" s="1"/>
  <c r="V26" i="96" s="1"/>
  <c r="U20" i="96"/>
  <c r="S20" i="96"/>
  <c r="Q20" i="96"/>
  <c r="O20" i="96"/>
  <c r="N20" i="96"/>
  <c r="N22" i="96" s="1"/>
  <c r="N24" i="96" s="1"/>
  <c r="N26" i="96" s="1"/>
  <c r="M20" i="96"/>
  <c r="K20" i="96"/>
  <c r="I20" i="96"/>
  <c r="I22" i="96" s="1"/>
  <c r="I24" i="96" s="1"/>
  <c r="I26" i="96" s="1"/>
  <c r="H20" i="96"/>
  <c r="H22" i="96" s="1"/>
  <c r="H24" i="96" s="1"/>
  <c r="H26" i="96" s="1"/>
  <c r="G20" i="96"/>
  <c r="G22" i="96" s="1"/>
  <c r="G24" i="96" s="1"/>
  <c r="G26" i="96" s="1"/>
  <c r="E20" i="96"/>
  <c r="E22" i="96" l="1"/>
  <c r="E24" i="96" s="1"/>
  <c r="E26" i="96" s="1"/>
  <c r="M22" i="96"/>
  <c r="M24" i="96" s="1"/>
  <c r="M26" i="96" s="1"/>
  <c r="S22" i="96"/>
  <c r="S24" i="96" s="1"/>
  <c r="S26" i="96" s="1"/>
  <c r="U22" i="96"/>
  <c r="U24" i="96" s="1"/>
  <c r="U26" i="96" s="1"/>
  <c r="U25" i="95"/>
  <c r="G25" i="95"/>
  <c r="AH24" i="95"/>
  <c r="AH26" i="95" s="1"/>
  <c r="AD24" i="95"/>
  <c r="AD26" i="95" s="1"/>
  <c r="R24" i="95"/>
  <c r="R26" i="95" s="1"/>
  <c r="J24" i="95"/>
  <c r="J26" i="95" s="1"/>
  <c r="U23" i="95"/>
  <c r="G23" i="95"/>
  <c r="AH22" i="95"/>
  <c r="AG22" i="95"/>
  <c r="AG24" i="95" s="1"/>
  <c r="AG26" i="95" s="1"/>
  <c r="AF22" i="95"/>
  <c r="AF24" i="95" s="1"/>
  <c r="AF26" i="95" s="1"/>
  <c r="AE22" i="95"/>
  <c r="AE24" i="95" s="1"/>
  <c r="AE26" i="95" s="1"/>
  <c r="AD22" i="95"/>
  <c r="AC22" i="95"/>
  <c r="AC24" i="95" s="1"/>
  <c r="AC26" i="95" s="1"/>
  <c r="AB22" i="95"/>
  <c r="AB24" i="95" s="1"/>
  <c r="AB26" i="95" s="1"/>
  <c r="AA22" i="95"/>
  <c r="AA24" i="95" s="1"/>
  <c r="AA26" i="95" s="1"/>
  <c r="Z22" i="95"/>
  <c r="Z24" i="95" s="1"/>
  <c r="Z26" i="95" s="1"/>
  <c r="Y22" i="95"/>
  <c r="Y24" i="95" s="1"/>
  <c r="Y26" i="95" s="1"/>
  <c r="X22" i="95"/>
  <c r="X24" i="95" s="1"/>
  <c r="X26" i="95" s="1"/>
  <c r="W22" i="95"/>
  <c r="W24" i="95" s="1"/>
  <c r="W26" i="95" s="1"/>
  <c r="T22" i="95"/>
  <c r="T24" i="95" s="1"/>
  <c r="T26" i="95" s="1"/>
  <c r="R22" i="95"/>
  <c r="P22" i="95"/>
  <c r="P24" i="95" s="1"/>
  <c r="P26" i="95" s="1"/>
  <c r="L22" i="95"/>
  <c r="L24" i="95" s="1"/>
  <c r="L26" i="95" s="1"/>
  <c r="K22" i="95"/>
  <c r="K24" i="95" s="1"/>
  <c r="K26" i="95" s="1"/>
  <c r="J22" i="95"/>
  <c r="F22" i="95"/>
  <c r="F24" i="95" s="1"/>
  <c r="F26" i="95" s="1"/>
  <c r="D22" i="95"/>
  <c r="D24" i="95" s="1"/>
  <c r="D26" i="95" s="1"/>
  <c r="U21" i="95"/>
  <c r="S21" i="95"/>
  <c r="Q21" i="95"/>
  <c r="Q22" i="95" s="1"/>
  <c r="Q24" i="95" s="1"/>
  <c r="Q26" i="95" s="1"/>
  <c r="O21" i="95"/>
  <c r="N21" i="95"/>
  <c r="M21" i="95"/>
  <c r="K21" i="95"/>
  <c r="G21" i="95"/>
  <c r="E21" i="95"/>
  <c r="X20" i="95"/>
  <c r="V20" i="95"/>
  <c r="V22" i="95" s="1"/>
  <c r="V24" i="95" s="1"/>
  <c r="V26" i="95" s="1"/>
  <c r="U20" i="95"/>
  <c r="S20" i="95"/>
  <c r="S22" i="95" s="1"/>
  <c r="S24" i="95" s="1"/>
  <c r="S26" i="95" s="1"/>
  <c r="Q20" i="95"/>
  <c r="O20" i="95"/>
  <c r="O22" i="95" s="1"/>
  <c r="O24" i="95" s="1"/>
  <c r="O26" i="95" s="1"/>
  <c r="N20" i="95"/>
  <c r="N22" i="95" s="1"/>
  <c r="N24" i="95" s="1"/>
  <c r="N26" i="95" s="1"/>
  <c r="M20" i="95"/>
  <c r="M22" i="95" s="1"/>
  <c r="M24" i="95" s="1"/>
  <c r="M26" i="95" s="1"/>
  <c r="K20" i="95"/>
  <c r="I20" i="95"/>
  <c r="I22" i="95" s="1"/>
  <c r="I24" i="95" s="1"/>
  <c r="I26" i="95" s="1"/>
  <c r="H20" i="95"/>
  <c r="H22" i="95" s="1"/>
  <c r="H24" i="95" s="1"/>
  <c r="H26" i="95" s="1"/>
  <c r="G20" i="95"/>
  <c r="G22" i="95" s="1"/>
  <c r="E20" i="95"/>
  <c r="E22" i="95" l="1"/>
  <c r="E24" i="95" s="1"/>
  <c r="E26" i="95" s="1"/>
  <c r="U22" i="95"/>
  <c r="U24" i="95" s="1"/>
  <c r="U26" i="95" s="1"/>
  <c r="G24" i="95"/>
  <c r="G26" i="95" s="1"/>
  <c r="U25" i="94"/>
  <c r="G25" i="94"/>
  <c r="AD24" i="94"/>
  <c r="AD26" i="94" s="1"/>
  <c r="R24" i="94"/>
  <c r="R26" i="94" s="1"/>
  <c r="J24" i="94"/>
  <c r="J26" i="94" s="1"/>
  <c r="U23" i="94"/>
  <c r="G23" i="94"/>
  <c r="AH22" i="94"/>
  <c r="AH24" i="94" s="1"/>
  <c r="AH26" i="94" s="1"/>
  <c r="AG22" i="94"/>
  <c r="AG24" i="94" s="1"/>
  <c r="AG26" i="94" s="1"/>
  <c r="AF22" i="94"/>
  <c r="AF24" i="94" s="1"/>
  <c r="AF26" i="94" s="1"/>
  <c r="AE22" i="94"/>
  <c r="AE24" i="94" s="1"/>
  <c r="AE26" i="94" s="1"/>
  <c r="AD22" i="94"/>
  <c r="AC22" i="94"/>
  <c r="AC24" i="94" s="1"/>
  <c r="AC26" i="94" s="1"/>
  <c r="AB22" i="94"/>
  <c r="AB24" i="94" s="1"/>
  <c r="AB26" i="94" s="1"/>
  <c r="AA22" i="94"/>
  <c r="AA24" i="94" s="1"/>
  <c r="AA26" i="94" s="1"/>
  <c r="Z22" i="94"/>
  <c r="Z24" i="94" s="1"/>
  <c r="Z26" i="94" s="1"/>
  <c r="Y22" i="94"/>
  <c r="Y24" i="94" s="1"/>
  <c r="Y26" i="94" s="1"/>
  <c r="X22" i="94"/>
  <c r="X24" i="94" s="1"/>
  <c r="X26" i="94" s="1"/>
  <c r="W22" i="94"/>
  <c r="W24" i="94" s="1"/>
  <c r="W26" i="94" s="1"/>
  <c r="T22" i="94"/>
  <c r="T24" i="94" s="1"/>
  <c r="T26" i="94" s="1"/>
  <c r="R22" i="94"/>
  <c r="P22" i="94"/>
  <c r="P24" i="94" s="1"/>
  <c r="P26" i="94" s="1"/>
  <c r="L22" i="94"/>
  <c r="L24" i="94" s="1"/>
  <c r="L26" i="94" s="1"/>
  <c r="K22" i="94"/>
  <c r="K24" i="94" s="1"/>
  <c r="K26" i="94" s="1"/>
  <c r="J22" i="94"/>
  <c r="F22" i="94"/>
  <c r="F24" i="94" s="1"/>
  <c r="F26" i="94" s="1"/>
  <c r="D22" i="94"/>
  <c r="D24" i="94" s="1"/>
  <c r="D26" i="94" s="1"/>
  <c r="U21" i="94"/>
  <c r="S21" i="94"/>
  <c r="Q21" i="94"/>
  <c r="O21" i="94"/>
  <c r="N21" i="94"/>
  <c r="M21" i="94"/>
  <c r="K21" i="94"/>
  <c r="G21" i="94"/>
  <c r="E21" i="94"/>
  <c r="X20" i="94"/>
  <c r="V20" i="94"/>
  <c r="V22" i="94" s="1"/>
  <c r="V24" i="94" s="1"/>
  <c r="V26" i="94" s="1"/>
  <c r="U20" i="94"/>
  <c r="S20" i="94"/>
  <c r="Q20" i="94"/>
  <c r="O20" i="94"/>
  <c r="O22" i="94" s="1"/>
  <c r="O24" i="94" s="1"/>
  <c r="O26" i="94" s="1"/>
  <c r="N20" i="94"/>
  <c r="N22" i="94" s="1"/>
  <c r="N24" i="94" s="1"/>
  <c r="N26" i="94" s="1"/>
  <c r="M20" i="94"/>
  <c r="M22" i="94" s="1"/>
  <c r="M24" i="94" s="1"/>
  <c r="M26" i="94" s="1"/>
  <c r="K20" i="94"/>
  <c r="I20" i="94"/>
  <c r="I22" i="94" s="1"/>
  <c r="I24" i="94" s="1"/>
  <c r="I26" i="94" s="1"/>
  <c r="H20" i="94"/>
  <c r="H22" i="94" s="1"/>
  <c r="H24" i="94" s="1"/>
  <c r="H26" i="94" s="1"/>
  <c r="G20" i="94"/>
  <c r="E20" i="94"/>
  <c r="Q22" i="94" l="1"/>
  <c r="Q24" i="94" s="1"/>
  <c r="Q26" i="94" s="1"/>
  <c r="E22" i="94"/>
  <c r="E24" i="94" s="1"/>
  <c r="E26" i="94" s="1"/>
  <c r="S22" i="94"/>
  <c r="S24" i="94" s="1"/>
  <c r="S26" i="94" s="1"/>
  <c r="U22" i="94"/>
  <c r="U24" i="94" s="1"/>
  <c r="U26" i="94" s="1"/>
  <c r="G22" i="94"/>
  <c r="G24" i="94" s="1"/>
  <c r="G26" i="94" s="1"/>
  <c r="G25" i="93"/>
  <c r="U25" i="93"/>
  <c r="U23" i="93" l="1"/>
  <c r="G23" i="93"/>
  <c r="AH22" i="93"/>
  <c r="AH24" i="93" s="1"/>
  <c r="AH26" i="93" s="1"/>
  <c r="AG22" i="93"/>
  <c r="AG24" i="93" s="1"/>
  <c r="AG26" i="93" s="1"/>
  <c r="AF22" i="93"/>
  <c r="AF24" i="93" s="1"/>
  <c r="AF26" i="93" s="1"/>
  <c r="AE22" i="93"/>
  <c r="AE24" i="93" s="1"/>
  <c r="AE26" i="93" s="1"/>
  <c r="AD22" i="93"/>
  <c r="AD24" i="93" s="1"/>
  <c r="AD26" i="93" s="1"/>
  <c r="AC22" i="93"/>
  <c r="AC24" i="93" s="1"/>
  <c r="AC26" i="93" s="1"/>
  <c r="AB22" i="93"/>
  <c r="AB24" i="93" s="1"/>
  <c r="AB26" i="93" s="1"/>
  <c r="AA22" i="93"/>
  <c r="AA24" i="93" s="1"/>
  <c r="AA26" i="93" s="1"/>
  <c r="Z22" i="93"/>
  <c r="Z24" i="93" s="1"/>
  <c r="Z26" i="93" s="1"/>
  <c r="Y22" i="93"/>
  <c r="Y24" i="93" s="1"/>
  <c r="Y26" i="93" s="1"/>
  <c r="W22" i="93"/>
  <c r="W24" i="93" s="1"/>
  <c r="W26" i="93" s="1"/>
  <c r="T22" i="93"/>
  <c r="T24" i="93" s="1"/>
  <c r="T26" i="93" s="1"/>
  <c r="R22" i="93"/>
  <c r="R24" i="93" s="1"/>
  <c r="R26" i="93" s="1"/>
  <c r="P22" i="93"/>
  <c r="P24" i="93" s="1"/>
  <c r="P26" i="93" s="1"/>
  <c r="L22" i="93"/>
  <c r="L24" i="93" s="1"/>
  <c r="L26" i="93" s="1"/>
  <c r="J22" i="93"/>
  <c r="J24" i="93" s="1"/>
  <c r="J26" i="93" s="1"/>
  <c r="F22" i="93"/>
  <c r="F24" i="93" s="1"/>
  <c r="F26" i="93" s="1"/>
  <c r="D22" i="93"/>
  <c r="D24" i="93" s="1"/>
  <c r="D26" i="93" s="1"/>
  <c r="U21" i="93"/>
  <c r="S21" i="93"/>
  <c r="Q21" i="93"/>
  <c r="O21" i="93"/>
  <c r="N21" i="93"/>
  <c r="M21" i="93"/>
  <c r="K21" i="93"/>
  <c r="G21" i="93"/>
  <c r="E21" i="93"/>
  <c r="X20" i="93"/>
  <c r="X22" i="93" s="1"/>
  <c r="X24" i="93" s="1"/>
  <c r="X26" i="93" s="1"/>
  <c r="V20" i="93"/>
  <c r="V22" i="93" s="1"/>
  <c r="V24" i="93" s="1"/>
  <c r="V26" i="93" s="1"/>
  <c r="U20" i="93"/>
  <c r="S20" i="93"/>
  <c r="S22" i="93" s="1"/>
  <c r="S24" i="93" s="1"/>
  <c r="S26" i="93" s="1"/>
  <c r="Q20" i="93"/>
  <c r="Q22" i="93" s="1"/>
  <c r="Q24" i="93" s="1"/>
  <c r="Q26" i="93" s="1"/>
  <c r="O20" i="93"/>
  <c r="O22" i="93" s="1"/>
  <c r="O24" i="93" s="1"/>
  <c r="O26" i="93" s="1"/>
  <c r="N20" i="93"/>
  <c r="N22" i="93" s="1"/>
  <c r="N24" i="93" s="1"/>
  <c r="N26" i="93" s="1"/>
  <c r="M20" i="93"/>
  <c r="K20" i="93"/>
  <c r="I20" i="93"/>
  <c r="I22" i="93" s="1"/>
  <c r="I24" i="93" s="1"/>
  <c r="I26" i="93" s="1"/>
  <c r="H20" i="93"/>
  <c r="H22" i="93" s="1"/>
  <c r="H24" i="93" s="1"/>
  <c r="H26" i="93" s="1"/>
  <c r="G20" i="93"/>
  <c r="E20" i="93"/>
  <c r="E22" i="93" s="1"/>
  <c r="E24" i="93" s="1"/>
  <c r="E26" i="93" s="1"/>
  <c r="K22" i="93" l="1"/>
  <c r="K24" i="93" s="1"/>
  <c r="K26" i="93" s="1"/>
  <c r="M22" i="93"/>
  <c r="M24" i="93" s="1"/>
  <c r="M26" i="93" s="1"/>
  <c r="U22" i="93"/>
  <c r="U24" i="93" s="1"/>
  <c r="U26" i="93" s="1"/>
  <c r="G22" i="93"/>
  <c r="G24" i="93" s="1"/>
  <c r="G26" i="93"/>
  <c r="AF25" i="92"/>
  <c r="Y25" i="92"/>
  <c r="G23" i="92" l="1"/>
  <c r="U23" i="92"/>
  <c r="AF23" i="92" l="1"/>
  <c r="U25" i="92" l="1"/>
  <c r="G25" i="92"/>
  <c r="P24" i="92"/>
  <c r="P26" i="92" s="1"/>
  <c r="L24" i="92"/>
  <c r="L26" i="92" s="1"/>
  <c r="J24" i="92"/>
  <c r="J26" i="92" s="1"/>
  <c r="AH22" i="92"/>
  <c r="AH24" i="92" s="1"/>
  <c r="AH26" i="92" s="1"/>
  <c r="AG22" i="92"/>
  <c r="AG24" i="92" s="1"/>
  <c r="AG26" i="92" s="1"/>
  <c r="AF22" i="92"/>
  <c r="AF24" i="92" s="1"/>
  <c r="AF26" i="92" s="1"/>
  <c r="AE22" i="92"/>
  <c r="AE24" i="92" s="1"/>
  <c r="AE26" i="92" s="1"/>
  <c r="AD22" i="92"/>
  <c r="AD24" i="92" s="1"/>
  <c r="AD26" i="92" s="1"/>
  <c r="AC22" i="92"/>
  <c r="AC24" i="92" s="1"/>
  <c r="AC26" i="92" s="1"/>
  <c r="AB22" i="92"/>
  <c r="AB24" i="92" s="1"/>
  <c r="AB26" i="92" s="1"/>
  <c r="AA22" i="92"/>
  <c r="AA24" i="92" s="1"/>
  <c r="AA26" i="92" s="1"/>
  <c r="Z22" i="92"/>
  <c r="Z24" i="92" s="1"/>
  <c r="Z26" i="92" s="1"/>
  <c r="Y22" i="92"/>
  <c r="Y24" i="92" s="1"/>
  <c r="Y26" i="92" s="1"/>
  <c r="X22" i="92"/>
  <c r="X24" i="92" s="1"/>
  <c r="X26" i="92" s="1"/>
  <c r="W22" i="92"/>
  <c r="W24" i="92" s="1"/>
  <c r="W26" i="92" s="1"/>
  <c r="T22" i="92"/>
  <c r="T24" i="92" s="1"/>
  <c r="T26" i="92" s="1"/>
  <c r="R22" i="92"/>
  <c r="R24" i="92" s="1"/>
  <c r="R26" i="92" s="1"/>
  <c r="P22" i="92"/>
  <c r="L22" i="92"/>
  <c r="J22" i="92"/>
  <c r="F22" i="92"/>
  <c r="F24" i="92" s="1"/>
  <c r="F26" i="92" s="1"/>
  <c r="D22" i="92"/>
  <c r="D24" i="92" s="1"/>
  <c r="D26" i="92" s="1"/>
  <c r="U21" i="92"/>
  <c r="S21" i="92"/>
  <c r="Q21" i="92"/>
  <c r="Q22" i="92" s="1"/>
  <c r="Q24" i="92" s="1"/>
  <c r="Q26" i="92" s="1"/>
  <c r="O21" i="92"/>
  <c r="N21" i="92"/>
  <c r="M21" i="92"/>
  <c r="K21" i="92"/>
  <c r="G21" i="92"/>
  <c r="E21" i="92"/>
  <c r="X20" i="92"/>
  <c r="V20" i="92"/>
  <c r="V22" i="92" s="1"/>
  <c r="V24" i="92" s="1"/>
  <c r="V26" i="92" s="1"/>
  <c r="U20" i="92"/>
  <c r="S20" i="92"/>
  <c r="Q20" i="92"/>
  <c r="O20" i="92"/>
  <c r="O22" i="92" s="1"/>
  <c r="O24" i="92" s="1"/>
  <c r="O26" i="92" s="1"/>
  <c r="N20" i="92"/>
  <c r="N22" i="92" s="1"/>
  <c r="N24" i="92" s="1"/>
  <c r="N26" i="92" s="1"/>
  <c r="M20" i="92"/>
  <c r="M22" i="92" s="1"/>
  <c r="M24" i="92" s="1"/>
  <c r="M26" i="92" s="1"/>
  <c r="K20" i="92"/>
  <c r="I20" i="92"/>
  <c r="I22" i="92" s="1"/>
  <c r="I24" i="92" s="1"/>
  <c r="I26" i="92" s="1"/>
  <c r="H20" i="92"/>
  <c r="H22" i="92" s="1"/>
  <c r="H24" i="92" s="1"/>
  <c r="H26" i="92" s="1"/>
  <c r="G20" i="92"/>
  <c r="E20" i="92"/>
  <c r="E22" i="92" s="1"/>
  <c r="E24" i="92" s="1"/>
  <c r="E26" i="92" s="1"/>
  <c r="S22" i="92" l="1"/>
  <c r="S24" i="92" s="1"/>
  <c r="S26" i="92" s="1"/>
  <c r="K22" i="92"/>
  <c r="K24" i="92" s="1"/>
  <c r="K26" i="92" s="1"/>
  <c r="U22" i="92"/>
  <c r="U24" i="92" s="1"/>
  <c r="U26" i="92" s="1"/>
  <c r="G22" i="92"/>
  <c r="G24" i="92" s="1"/>
  <c r="G26" i="92" s="1"/>
  <c r="G25" i="91"/>
  <c r="U25" i="91"/>
  <c r="U20" i="91" l="1"/>
  <c r="U23" i="91" l="1"/>
  <c r="G23" i="91"/>
  <c r="AH22" i="91"/>
  <c r="AH24" i="91" s="1"/>
  <c r="AH26" i="91" s="1"/>
  <c r="AG22" i="91"/>
  <c r="AG24" i="91" s="1"/>
  <c r="AG26" i="91" s="1"/>
  <c r="AF22" i="91"/>
  <c r="AF24" i="91" s="1"/>
  <c r="AF26" i="91" s="1"/>
  <c r="AE22" i="91"/>
  <c r="AE24" i="91" s="1"/>
  <c r="AE26" i="91" s="1"/>
  <c r="AD22" i="91"/>
  <c r="AD24" i="91" s="1"/>
  <c r="AD26" i="91" s="1"/>
  <c r="AC22" i="91"/>
  <c r="AC24" i="91" s="1"/>
  <c r="AC26" i="91" s="1"/>
  <c r="AB22" i="91"/>
  <c r="AB24" i="91" s="1"/>
  <c r="AB26" i="91" s="1"/>
  <c r="AA22" i="91"/>
  <c r="AA24" i="91" s="1"/>
  <c r="AA26" i="91" s="1"/>
  <c r="Z22" i="91"/>
  <c r="Z24" i="91" s="1"/>
  <c r="Z26" i="91" s="1"/>
  <c r="Y22" i="91"/>
  <c r="Y24" i="91" s="1"/>
  <c r="Y26" i="91" s="1"/>
  <c r="W22" i="91"/>
  <c r="W24" i="91" s="1"/>
  <c r="W26" i="91" s="1"/>
  <c r="V22" i="91"/>
  <c r="V24" i="91" s="1"/>
  <c r="V26" i="91" s="1"/>
  <c r="T22" i="91"/>
  <c r="T24" i="91" s="1"/>
  <c r="T26" i="91" s="1"/>
  <c r="R22" i="91"/>
  <c r="R24" i="91" s="1"/>
  <c r="R26" i="91" s="1"/>
  <c r="P22" i="91"/>
  <c r="P24" i="91" s="1"/>
  <c r="P26" i="91" s="1"/>
  <c r="O22" i="91"/>
  <c r="O24" i="91" s="1"/>
  <c r="O26" i="91" s="1"/>
  <c r="N22" i="91"/>
  <c r="N24" i="91" s="1"/>
  <c r="N26" i="91" s="1"/>
  <c r="L22" i="91"/>
  <c r="L24" i="91" s="1"/>
  <c r="L26" i="91" s="1"/>
  <c r="J22" i="91"/>
  <c r="J24" i="91" s="1"/>
  <c r="J26" i="91" s="1"/>
  <c r="F22" i="91"/>
  <c r="F24" i="91" s="1"/>
  <c r="F26" i="91" s="1"/>
  <c r="D22" i="91"/>
  <c r="D24" i="91" s="1"/>
  <c r="D26" i="91" s="1"/>
  <c r="U21" i="91"/>
  <c r="S21" i="91"/>
  <c r="Q21" i="91"/>
  <c r="O21" i="91"/>
  <c r="N21" i="91"/>
  <c r="M21" i="91"/>
  <c r="K21" i="91"/>
  <c r="G21" i="91"/>
  <c r="E21" i="91"/>
  <c r="X20" i="91"/>
  <c r="X22" i="91" s="1"/>
  <c r="X24" i="91" s="1"/>
  <c r="X26" i="91" s="1"/>
  <c r="V20" i="91"/>
  <c r="S20" i="91"/>
  <c r="Q20" i="91"/>
  <c r="O20" i="91"/>
  <c r="N20" i="91"/>
  <c r="M20" i="91"/>
  <c r="K20" i="91"/>
  <c r="I20" i="91"/>
  <c r="I22" i="91" s="1"/>
  <c r="I24" i="91" s="1"/>
  <c r="I26" i="91" s="1"/>
  <c r="H20" i="91"/>
  <c r="H22" i="91" s="1"/>
  <c r="H24" i="91" s="1"/>
  <c r="H26" i="91" s="1"/>
  <c r="G20" i="91"/>
  <c r="E20" i="91"/>
  <c r="E22" i="91" s="1"/>
  <c r="E24" i="91" s="1"/>
  <c r="E26" i="91" s="1"/>
  <c r="K22" i="91" l="1"/>
  <c r="K24" i="91" s="1"/>
  <c r="K26" i="91" s="1"/>
  <c r="Q22" i="91"/>
  <c r="Q24" i="91" s="1"/>
  <c r="Q26" i="91" s="1"/>
  <c r="S22" i="91"/>
  <c r="S24" i="91" s="1"/>
  <c r="S26" i="91" s="1"/>
  <c r="M22" i="91"/>
  <c r="M24" i="91" s="1"/>
  <c r="M26" i="91" s="1"/>
  <c r="G22" i="91"/>
  <c r="G24" i="91" s="1"/>
  <c r="G26" i="91" s="1"/>
  <c r="U22" i="91"/>
  <c r="U24" i="91" s="1"/>
  <c r="U26" i="91" s="1"/>
  <c r="U25" i="90" l="1"/>
  <c r="G25" i="90"/>
  <c r="U23" i="90"/>
  <c r="G23" i="90"/>
  <c r="AH22" i="90"/>
  <c r="AH24" i="90" s="1"/>
  <c r="AH26" i="90" s="1"/>
  <c r="AG22" i="90"/>
  <c r="AG24" i="90" s="1"/>
  <c r="AG26" i="90" s="1"/>
  <c r="AF22" i="90"/>
  <c r="AF24" i="90" s="1"/>
  <c r="AF26" i="90" s="1"/>
  <c r="AE22" i="90"/>
  <c r="AE24" i="90" s="1"/>
  <c r="AE26" i="90" s="1"/>
  <c r="AD22" i="90"/>
  <c r="AD24" i="90" s="1"/>
  <c r="AD26" i="90" s="1"/>
  <c r="AC22" i="90"/>
  <c r="AC24" i="90" s="1"/>
  <c r="AC26" i="90" s="1"/>
  <c r="AB22" i="90"/>
  <c r="AB24" i="90" s="1"/>
  <c r="AB26" i="90" s="1"/>
  <c r="AA22" i="90"/>
  <c r="AA24" i="90" s="1"/>
  <c r="AA26" i="90" s="1"/>
  <c r="Z22" i="90"/>
  <c r="Z24" i="90" s="1"/>
  <c r="Z26" i="90" s="1"/>
  <c r="Y22" i="90"/>
  <c r="Y24" i="90" s="1"/>
  <c r="Y26" i="90" s="1"/>
  <c r="W22" i="90"/>
  <c r="W24" i="90" s="1"/>
  <c r="W26" i="90" s="1"/>
  <c r="T22" i="90"/>
  <c r="T24" i="90" s="1"/>
  <c r="T26" i="90" s="1"/>
  <c r="S22" i="90"/>
  <c r="S24" i="90" s="1"/>
  <c r="S26" i="90" s="1"/>
  <c r="R22" i="90"/>
  <c r="R24" i="90" s="1"/>
  <c r="R26" i="90" s="1"/>
  <c r="P22" i="90"/>
  <c r="P24" i="90" s="1"/>
  <c r="P26" i="90" s="1"/>
  <c r="L22" i="90"/>
  <c r="L24" i="90" s="1"/>
  <c r="L26" i="90" s="1"/>
  <c r="J22" i="90"/>
  <c r="J24" i="90" s="1"/>
  <c r="J26" i="90" s="1"/>
  <c r="F22" i="90"/>
  <c r="F24" i="90" s="1"/>
  <c r="F26" i="90" s="1"/>
  <c r="D22" i="90"/>
  <c r="D24" i="90" s="1"/>
  <c r="D26" i="90" s="1"/>
  <c r="U21" i="90"/>
  <c r="S21" i="90"/>
  <c r="Q21" i="90"/>
  <c r="O21" i="90"/>
  <c r="N21" i="90"/>
  <c r="M21" i="90"/>
  <c r="K21" i="90"/>
  <c r="K22" i="90" s="1"/>
  <c r="K24" i="90" s="1"/>
  <c r="K26" i="90" s="1"/>
  <c r="G21" i="90"/>
  <c r="E21" i="90"/>
  <c r="X20" i="90"/>
  <c r="X22" i="90" s="1"/>
  <c r="X24" i="90" s="1"/>
  <c r="X26" i="90" s="1"/>
  <c r="V20" i="90"/>
  <c r="V22" i="90" s="1"/>
  <c r="V24" i="90" s="1"/>
  <c r="V26" i="90" s="1"/>
  <c r="U20" i="90"/>
  <c r="S20" i="90"/>
  <c r="Q20" i="90"/>
  <c r="O20" i="90"/>
  <c r="O22" i="90" s="1"/>
  <c r="O24" i="90" s="1"/>
  <c r="O26" i="90" s="1"/>
  <c r="N20" i="90"/>
  <c r="N22" i="90" s="1"/>
  <c r="N24" i="90" s="1"/>
  <c r="N26" i="90" s="1"/>
  <c r="M20" i="90"/>
  <c r="K20" i="90"/>
  <c r="I20" i="90"/>
  <c r="I22" i="90" s="1"/>
  <c r="I24" i="90" s="1"/>
  <c r="I26" i="90" s="1"/>
  <c r="H20" i="90"/>
  <c r="H22" i="90" s="1"/>
  <c r="H24" i="90" s="1"/>
  <c r="H26" i="90" s="1"/>
  <c r="G20" i="90"/>
  <c r="E20" i="90"/>
  <c r="M22" i="90" l="1"/>
  <c r="M24" i="90" s="1"/>
  <c r="M26" i="90" s="1"/>
  <c r="Q22" i="90"/>
  <c r="Q24" i="90" s="1"/>
  <c r="Q26" i="90" s="1"/>
  <c r="E22" i="90"/>
  <c r="E24" i="90" s="1"/>
  <c r="E26" i="90" s="1"/>
  <c r="U22" i="90"/>
  <c r="U24" i="90" s="1"/>
  <c r="U26" i="90" s="1"/>
  <c r="G22" i="90"/>
  <c r="G24" i="90" s="1"/>
  <c r="G26" i="90" s="1"/>
  <c r="AF23" i="89"/>
  <c r="U25" i="89" l="1"/>
  <c r="G25" i="89"/>
  <c r="AE24" i="89"/>
  <c r="AE26" i="89" s="1"/>
  <c r="AD24" i="89"/>
  <c r="AD26" i="89" s="1"/>
  <c r="J24" i="89"/>
  <c r="J26" i="89" s="1"/>
  <c r="U23" i="89"/>
  <c r="G23" i="89"/>
  <c r="AH22" i="89"/>
  <c r="AH24" i="89" s="1"/>
  <c r="AH26" i="89" s="1"/>
  <c r="AG22" i="89"/>
  <c r="AG24" i="89" s="1"/>
  <c r="AG26" i="89" s="1"/>
  <c r="AF22" i="89"/>
  <c r="AF24" i="89" s="1"/>
  <c r="AF26" i="89" s="1"/>
  <c r="AE22" i="89"/>
  <c r="AD22" i="89"/>
  <c r="AC22" i="89"/>
  <c r="AC24" i="89" s="1"/>
  <c r="AC26" i="89" s="1"/>
  <c r="AB22" i="89"/>
  <c r="AB24" i="89" s="1"/>
  <c r="AB26" i="89" s="1"/>
  <c r="AA22" i="89"/>
  <c r="AA24" i="89" s="1"/>
  <c r="AA26" i="89" s="1"/>
  <c r="Z22" i="89"/>
  <c r="Z24" i="89" s="1"/>
  <c r="Z26" i="89" s="1"/>
  <c r="Y22" i="89"/>
  <c r="Y24" i="89" s="1"/>
  <c r="Y26" i="89" s="1"/>
  <c r="X22" i="89"/>
  <c r="X24" i="89" s="1"/>
  <c r="X26" i="89" s="1"/>
  <c r="W22" i="89"/>
  <c r="W24" i="89" s="1"/>
  <c r="W26" i="89" s="1"/>
  <c r="T22" i="89"/>
  <c r="T24" i="89" s="1"/>
  <c r="T26" i="89" s="1"/>
  <c r="R22" i="89"/>
  <c r="R24" i="89" s="1"/>
  <c r="R26" i="89" s="1"/>
  <c r="P22" i="89"/>
  <c r="P24" i="89" s="1"/>
  <c r="P26" i="89" s="1"/>
  <c r="L22" i="89"/>
  <c r="L24" i="89" s="1"/>
  <c r="L26" i="89" s="1"/>
  <c r="J22" i="89"/>
  <c r="F22" i="89"/>
  <c r="F24" i="89" s="1"/>
  <c r="F26" i="89" s="1"/>
  <c r="D22" i="89"/>
  <c r="D24" i="89" s="1"/>
  <c r="D26" i="89" s="1"/>
  <c r="U21" i="89"/>
  <c r="S21" i="89"/>
  <c r="Q21" i="89"/>
  <c r="Q22" i="89" s="1"/>
  <c r="Q24" i="89" s="1"/>
  <c r="Q26" i="89" s="1"/>
  <c r="O21" i="89"/>
  <c r="N21" i="89"/>
  <c r="M21" i="89"/>
  <c r="K21" i="89"/>
  <c r="G21" i="89"/>
  <c r="E21" i="89"/>
  <c r="X20" i="89"/>
  <c r="V20" i="89"/>
  <c r="V22" i="89" s="1"/>
  <c r="V24" i="89" s="1"/>
  <c r="V26" i="89" s="1"/>
  <c r="U20" i="89"/>
  <c r="S20" i="89"/>
  <c r="S22" i="89" s="1"/>
  <c r="S24" i="89" s="1"/>
  <c r="S26" i="89" s="1"/>
  <c r="Q20" i="89"/>
  <c r="O20" i="89"/>
  <c r="O22" i="89" s="1"/>
  <c r="O24" i="89" s="1"/>
  <c r="O26" i="89" s="1"/>
  <c r="N20" i="89"/>
  <c r="N22" i="89" s="1"/>
  <c r="N24" i="89" s="1"/>
  <c r="N26" i="89" s="1"/>
  <c r="M20" i="89"/>
  <c r="M22" i="89" s="1"/>
  <c r="M24" i="89" s="1"/>
  <c r="M26" i="89" s="1"/>
  <c r="K20" i="89"/>
  <c r="K22" i="89" s="1"/>
  <c r="K24" i="89" s="1"/>
  <c r="K26" i="89" s="1"/>
  <c r="I20" i="89"/>
  <c r="I22" i="89" s="1"/>
  <c r="I24" i="89" s="1"/>
  <c r="I26" i="89" s="1"/>
  <c r="H20" i="89"/>
  <c r="H22" i="89" s="1"/>
  <c r="H24" i="89" s="1"/>
  <c r="H26" i="89" s="1"/>
  <c r="G20" i="89"/>
  <c r="E20" i="89"/>
  <c r="E22" i="89" s="1"/>
  <c r="E24" i="89" s="1"/>
  <c r="E26" i="89" s="1"/>
  <c r="U22" i="89" l="1"/>
  <c r="U24" i="89" s="1"/>
  <c r="U26" i="89" s="1"/>
  <c r="G22" i="89"/>
  <c r="G24" i="89" s="1"/>
  <c r="G26" i="89" s="1"/>
  <c r="AF25" i="88"/>
  <c r="AF23" i="88" l="1"/>
  <c r="U25" i="88" l="1"/>
  <c r="G25" i="88"/>
  <c r="U23" i="88"/>
  <c r="G23" i="88"/>
  <c r="AH22" i="88"/>
  <c r="AH24" i="88" s="1"/>
  <c r="AH26" i="88" s="1"/>
  <c r="AG22" i="88"/>
  <c r="AG24" i="88" s="1"/>
  <c r="AG26" i="88" s="1"/>
  <c r="AF22" i="88"/>
  <c r="AF24" i="88" s="1"/>
  <c r="AF26" i="88" s="1"/>
  <c r="AE22" i="88"/>
  <c r="AE24" i="88" s="1"/>
  <c r="AE26" i="88" s="1"/>
  <c r="AD22" i="88"/>
  <c r="AD24" i="88" s="1"/>
  <c r="AD26" i="88" s="1"/>
  <c r="AC22" i="88"/>
  <c r="AC24" i="88" s="1"/>
  <c r="AC26" i="88" s="1"/>
  <c r="AB22" i="88"/>
  <c r="AB24" i="88" s="1"/>
  <c r="AB26" i="88" s="1"/>
  <c r="AA22" i="88"/>
  <c r="AA24" i="88" s="1"/>
  <c r="AA26" i="88" s="1"/>
  <c r="Z22" i="88"/>
  <c r="Z24" i="88" s="1"/>
  <c r="Z26" i="88" s="1"/>
  <c r="Y22" i="88"/>
  <c r="Y24" i="88" s="1"/>
  <c r="Y26" i="88" s="1"/>
  <c r="W22" i="88"/>
  <c r="W24" i="88" s="1"/>
  <c r="W26" i="88" s="1"/>
  <c r="T22" i="88"/>
  <c r="T24" i="88" s="1"/>
  <c r="T26" i="88" s="1"/>
  <c r="R22" i="88"/>
  <c r="R24" i="88" s="1"/>
  <c r="R26" i="88" s="1"/>
  <c r="P22" i="88"/>
  <c r="P24" i="88" s="1"/>
  <c r="P26" i="88" s="1"/>
  <c r="O22" i="88"/>
  <c r="O24" i="88" s="1"/>
  <c r="O26" i="88" s="1"/>
  <c r="N22" i="88"/>
  <c r="N24" i="88" s="1"/>
  <c r="N26" i="88" s="1"/>
  <c r="L22" i="88"/>
  <c r="L24" i="88" s="1"/>
  <c r="L26" i="88" s="1"/>
  <c r="J22" i="88"/>
  <c r="J24" i="88" s="1"/>
  <c r="J26" i="88" s="1"/>
  <c r="F22" i="88"/>
  <c r="F24" i="88" s="1"/>
  <c r="F26" i="88" s="1"/>
  <c r="D22" i="88"/>
  <c r="D24" i="88" s="1"/>
  <c r="D26" i="88" s="1"/>
  <c r="U21" i="88"/>
  <c r="S21" i="88"/>
  <c r="Q21" i="88"/>
  <c r="O21" i="88"/>
  <c r="N21" i="88"/>
  <c r="M21" i="88"/>
  <c r="K21" i="88"/>
  <c r="G21" i="88"/>
  <c r="E21" i="88"/>
  <c r="X20" i="88"/>
  <c r="X22" i="88" s="1"/>
  <c r="X24" i="88" s="1"/>
  <c r="X26" i="88" s="1"/>
  <c r="V20" i="88"/>
  <c r="V22" i="88" s="1"/>
  <c r="V24" i="88" s="1"/>
  <c r="V26" i="88" s="1"/>
  <c r="U20" i="88"/>
  <c r="S20" i="88"/>
  <c r="Q20" i="88"/>
  <c r="Q22" i="88" s="1"/>
  <c r="Q24" i="88" s="1"/>
  <c r="Q26" i="88" s="1"/>
  <c r="O20" i="88"/>
  <c r="N20" i="88"/>
  <c r="M20" i="88"/>
  <c r="K20" i="88"/>
  <c r="I20" i="88"/>
  <c r="I22" i="88" s="1"/>
  <c r="I24" i="88" s="1"/>
  <c r="I26" i="88" s="1"/>
  <c r="H20" i="88"/>
  <c r="H22" i="88" s="1"/>
  <c r="H24" i="88" s="1"/>
  <c r="H26" i="88" s="1"/>
  <c r="G20" i="88"/>
  <c r="E20" i="88"/>
  <c r="E22" i="88" s="1"/>
  <c r="E24" i="88" s="1"/>
  <c r="E26" i="88" s="1"/>
  <c r="K22" i="88" l="1"/>
  <c r="K24" i="88" s="1"/>
  <c r="K26" i="88" s="1"/>
  <c r="M22" i="88"/>
  <c r="M24" i="88" s="1"/>
  <c r="M26" i="88" s="1"/>
  <c r="S22" i="88"/>
  <c r="S24" i="88" s="1"/>
  <c r="S26" i="88" s="1"/>
  <c r="U22" i="88"/>
  <c r="U24" i="88" s="1"/>
  <c r="U26" i="88" s="1"/>
  <c r="G22" i="88"/>
  <c r="G24" i="88" s="1"/>
  <c r="G26" i="88" s="1"/>
  <c r="AF25" i="87"/>
  <c r="U25" i="87" l="1"/>
  <c r="G25" i="87"/>
  <c r="AE24" i="87"/>
  <c r="AE26" i="87" s="1"/>
  <c r="AB24" i="87"/>
  <c r="AB26" i="87" s="1"/>
  <c r="L24" i="87"/>
  <c r="L26" i="87" s="1"/>
  <c r="D24" i="87"/>
  <c r="D26" i="87" s="1"/>
  <c r="U23" i="87"/>
  <c r="G23" i="87"/>
  <c r="AH22" i="87"/>
  <c r="AH24" i="87" s="1"/>
  <c r="AH26" i="87" s="1"/>
  <c r="AG22" i="87"/>
  <c r="AG24" i="87" s="1"/>
  <c r="AG26" i="87" s="1"/>
  <c r="AF22" i="87"/>
  <c r="AF24" i="87" s="1"/>
  <c r="AF26" i="87" s="1"/>
  <c r="AE22" i="87"/>
  <c r="AD22" i="87"/>
  <c r="AD24" i="87" s="1"/>
  <c r="AD26" i="87" s="1"/>
  <c r="AC22" i="87"/>
  <c r="AC24" i="87" s="1"/>
  <c r="AC26" i="87" s="1"/>
  <c r="AB22" i="87"/>
  <c r="AA22" i="87"/>
  <c r="AA24" i="87" s="1"/>
  <c r="AA26" i="87" s="1"/>
  <c r="Z22" i="87"/>
  <c r="Z24" i="87" s="1"/>
  <c r="Z26" i="87" s="1"/>
  <c r="Y22" i="87"/>
  <c r="Y24" i="87" s="1"/>
  <c r="Y26" i="87" s="1"/>
  <c r="W22" i="87"/>
  <c r="W24" i="87" s="1"/>
  <c r="W26" i="87" s="1"/>
  <c r="T22" i="87"/>
  <c r="T24" i="87" s="1"/>
  <c r="T26" i="87" s="1"/>
  <c r="R22" i="87"/>
  <c r="R24" i="87" s="1"/>
  <c r="R26" i="87" s="1"/>
  <c r="P22" i="87"/>
  <c r="P24" i="87" s="1"/>
  <c r="P26" i="87" s="1"/>
  <c r="N22" i="87"/>
  <c r="N24" i="87" s="1"/>
  <c r="N26" i="87" s="1"/>
  <c r="L22" i="87"/>
  <c r="J22" i="87"/>
  <c r="J24" i="87" s="1"/>
  <c r="J26" i="87" s="1"/>
  <c r="F22" i="87"/>
  <c r="F24" i="87" s="1"/>
  <c r="F26" i="87" s="1"/>
  <c r="D22" i="87"/>
  <c r="U21" i="87"/>
  <c r="S21" i="87"/>
  <c r="Q21" i="87"/>
  <c r="Q22" i="87" s="1"/>
  <c r="Q24" i="87" s="1"/>
  <c r="Q26" i="87" s="1"/>
  <c r="O21" i="87"/>
  <c r="N21" i="87"/>
  <c r="M21" i="87"/>
  <c r="K21" i="87"/>
  <c r="G21" i="87"/>
  <c r="E21" i="87"/>
  <c r="X20" i="87"/>
  <c r="X22" i="87" s="1"/>
  <c r="X24" i="87" s="1"/>
  <c r="X26" i="87" s="1"/>
  <c r="V20" i="87"/>
  <c r="V22" i="87" s="1"/>
  <c r="V24" i="87" s="1"/>
  <c r="V26" i="87" s="1"/>
  <c r="U20" i="87"/>
  <c r="S20" i="87"/>
  <c r="Q20" i="87"/>
  <c r="O20" i="87"/>
  <c r="O22" i="87" s="1"/>
  <c r="O24" i="87" s="1"/>
  <c r="O26" i="87" s="1"/>
  <c r="N20" i="87"/>
  <c r="M20" i="87"/>
  <c r="M22" i="87" s="1"/>
  <c r="M24" i="87" s="1"/>
  <c r="M26" i="87" s="1"/>
  <c r="K20" i="87"/>
  <c r="K22" i="87" s="1"/>
  <c r="K24" i="87" s="1"/>
  <c r="K26" i="87" s="1"/>
  <c r="I20" i="87"/>
  <c r="I22" i="87" s="1"/>
  <c r="I24" i="87" s="1"/>
  <c r="I26" i="87" s="1"/>
  <c r="H20" i="87"/>
  <c r="H22" i="87" s="1"/>
  <c r="H24" i="87" s="1"/>
  <c r="H26" i="87" s="1"/>
  <c r="G20" i="87"/>
  <c r="E20" i="87"/>
  <c r="E22" i="87" s="1"/>
  <c r="E24" i="87" s="1"/>
  <c r="E26" i="87" s="1"/>
  <c r="S22" i="87" l="1"/>
  <c r="S24" i="87" s="1"/>
  <c r="S26" i="87" s="1"/>
  <c r="G22" i="87"/>
  <c r="G24" i="87" s="1"/>
  <c r="G26" i="87" s="1"/>
  <c r="U22" i="87"/>
  <c r="U24" i="87" s="1"/>
  <c r="U26" i="87" s="1"/>
  <c r="AF23" i="86"/>
  <c r="U25" i="86" l="1"/>
  <c r="G25" i="86"/>
  <c r="L24" i="86"/>
  <c r="L26" i="86" s="1"/>
  <c r="J24" i="86"/>
  <c r="J26" i="86" s="1"/>
  <c r="U23" i="86"/>
  <c r="G23" i="86"/>
  <c r="AH22" i="86"/>
  <c r="AH24" i="86" s="1"/>
  <c r="AH26" i="86" s="1"/>
  <c r="AG22" i="86"/>
  <c r="AG24" i="86" s="1"/>
  <c r="AG26" i="86" s="1"/>
  <c r="AF22" i="86"/>
  <c r="AF24" i="86" s="1"/>
  <c r="AF26" i="86" s="1"/>
  <c r="AE22" i="86"/>
  <c r="AE24" i="86" s="1"/>
  <c r="AE26" i="86" s="1"/>
  <c r="AD22" i="86"/>
  <c r="AD24" i="86" s="1"/>
  <c r="AD26" i="86" s="1"/>
  <c r="AC22" i="86"/>
  <c r="AC24" i="86" s="1"/>
  <c r="AC26" i="86" s="1"/>
  <c r="AB22" i="86"/>
  <c r="AB24" i="86" s="1"/>
  <c r="AB26" i="86" s="1"/>
  <c r="AA22" i="86"/>
  <c r="AA24" i="86" s="1"/>
  <c r="AA26" i="86" s="1"/>
  <c r="Z22" i="86"/>
  <c r="Z24" i="86" s="1"/>
  <c r="Z26" i="86" s="1"/>
  <c r="Y22" i="86"/>
  <c r="Y24" i="86" s="1"/>
  <c r="Y26" i="86" s="1"/>
  <c r="W22" i="86"/>
  <c r="W24" i="86" s="1"/>
  <c r="W26" i="86" s="1"/>
  <c r="T22" i="86"/>
  <c r="T24" i="86" s="1"/>
  <c r="T26" i="86" s="1"/>
  <c r="S22" i="86"/>
  <c r="S24" i="86" s="1"/>
  <c r="S26" i="86" s="1"/>
  <c r="R22" i="86"/>
  <c r="R24" i="86" s="1"/>
  <c r="R26" i="86" s="1"/>
  <c r="Q22" i="86"/>
  <c r="Q24" i="86" s="1"/>
  <c r="Q26" i="86" s="1"/>
  <c r="P22" i="86"/>
  <c r="P24" i="86" s="1"/>
  <c r="P26" i="86" s="1"/>
  <c r="L22" i="86"/>
  <c r="J22" i="86"/>
  <c r="F22" i="86"/>
  <c r="F24" i="86" s="1"/>
  <c r="F26" i="86" s="1"/>
  <c r="D22" i="86"/>
  <c r="D24" i="86" s="1"/>
  <c r="D26" i="86" s="1"/>
  <c r="U21" i="86"/>
  <c r="S21" i="86"/>
  <c r="Q21" i="86"/>
  <c r="O21" i="86"/>
  <c r="N21" i="86"/>
  <c r="M21" i="86"/>
  <c r="K21" i="86"/>
  <c r="G21" i="86"/>
  <c r="E21" i="86"/>
  <c r="X20" i="86"/>
  <c r="X22" i="86" s="1"/>
  <c r="X24" i="86" s="1"/>
  <c r="X26" i="86" s="1"/>
  <c r="V20" i="86"/>
  <c r="V22" i="86" s="1"/>
  <c r="V24" i="86" s="1"/>
  <c r="V26" i="86" s="1"/>
  <c r="U20" i="86"/>
  <c r="S20" i="86"/>
  <c r="Q20" i="86"/>
  <c r="O20" i="86"/>
  <c r="O22" i="86" s="1"/>
  <c r="O24" i="86" s="1"/>
  <c r="O26" i="86" s="1"/>
  <c r="N20" i="86"/>
  <c r="N22" i="86" s="1"/>
  <c r="N24" i="86" s="1"/>
  <c r="N26" i="86" s="1"/>
  <c r="M20" i="86"/>
  <c r="K20" i="86"/>
  <c r="K22" i="86" s="1"/>
  <c r="K24" i="86" s="1"/>
  <c r="K26" i="86" s="1"/>
  <c r="I20" i="86"/>
  <c r="I22" i="86" s="1"/>
  <c r="I24" i="86" s="1"/>
  <c r="I26" i="86" s="1"/>
  <c r="H20" i="86"/>
  <c r="H22" i="86" s="1"/>
  <c r="H24" i="86" s="1"/>
  <c r="H26" i="86" s="1"/>
  <c r="G20" i="86"/>
  <c r="E20" i="86"/>
  <c r="E22" i="86" s="1"/>
  <c r="E24" i="86" s="1"/>
  <c r="E26" i="86" s="1"/>
  <c r="M22" i="86" l="1"/>
  <c r="M24" i="86" s="1"/>
  <c r="M26" i="86" s="1"/>
  <c r="U22" i="86"/>
  <c r="U24" i="86" s="1"/>
  <c r="U26" i="86" s="1"/>
  <c r="G22" i="86"/>
  <c r="G24" i="86" s="1"/>
  <c r="G26" i="86" s="1"/>
  <c r="U25" i="85"/>
  <c r="G25" i="85"/>
  <c r="AE24" i="85"/>
  <c r="AE26" i="85" s="1"/>
  <c r="P24" i="85"/>
  <c r="P26" i="85" s="1"/>
  <c r="L24" i="85"/>
  <c r="L26" i="85" s="1"/>
  <c r="D24" i="85"/>
  <c r="D26" i="85" s="1"/>
  <c r="U23" i="85"/>
  <c r="G23" i="85"/>
  <c r="AH22" i="85"/>
  <c r="AH24" i="85" s="1"/>
  <c r="AH26" i="85" s="1"/>
  <c r="AG22" i="85"/>
  <c r="AG24" i="85" s="1"/>
  <c r="AG26" i="85" s="1"/>
  <c r="AF22" i="85"/>
  <c r="AF24" i="85" s="1"/>
  <c r="AF26" i="85" s="1"/>
  <c r="AE22" i="85"/>
  <c r="AD22" i="85"/>
  <c r="AD24" i="85" s="1"/>
  <c r="AD26" i="85" s="1"/>
  <c r="AC22" i="85"/>
  <c r="AC24" i="85" s="1"/>
  <c r="AC26" i="85" s="1"/>
  <c r="AB22" i="85"/>
  <c r="AB24" i="85" s="1"/>
  <c r="AB26" i="85" s="1"/>
  <c r="AA22" i="85"/>
  <c r="AA24" i="85" s="1"/>
  <c r="AA26" i="85" s="1"/>
  <c r="Z22" i="85"/>
  <c r="Z24" i="85" s="1"/>
  <c r="Z26" i="85" s="1"/>
  <c r="Y22" i="85"/>
  <c r="Y24" i="85" s="1"/>
  <c r="Y26" i="85" s="1"/>
  <c r="W22" i="85"/>
  <c r="W24" i="85" s="1"/>
  <c r="W26" i="85" s="1"/>
  <c r="V22" i="85"/>
  <c r="V24" i="85" s="1"/>
  <c r="V26" i="85" s="1"/>
  <c r="T22" i="85"/>
  <c r="T24" i="85" s="1"/>
  <c r="T26" i="85" s="1"/>
  <c r="R22" i="85"/>
  <c r="R24" i="85" s="1"/>
  <c r="R26" i="85" s="1"/>
  <c r="P22" i="85"/>
  <c r="N22" i="85"/>
  <c r="N24" i="85" s="1"/>
  <c r="N26" i="85" s="1"/>
  <c r="L22" i="85"/>
  <c r="J22" i="85"/>
  <c r="J24" i="85" s="1"/>
  <c r="J26" i="85" s="1"/>
  <c r="F22" i="85"/>
  <c r="F24" i="85" s="1"/>
  <c r="F26" i="85" s="1"/>
  <c r="D22" i="85"/>
  <c r="U21" i="85"/>
  <c r="S21" i="85"/>
  <c r="Q21" i="85"/>
  <c r="O21" i="85"/>
  <c r="N21" i="85"/>
  <c r="M21" i="85"/>
  <c r="K21" i="85"/>
  <c r="G21" i="85"/>
  <c r="E21" i="85"/>
  <c r="X20" i="85"/>
  <c r="X22" i="85" s="1"/>
  <c r="X24" i="85" s="1"/>
  <c r="X26" i="85" s="1"/>
  <c r="V20" i="85"/>
  <c r="U20" i="85"/>
  <c r="S20" i="85"/>
  <c r="S22" i="85" s="1"/>
  <c r="S24" i="85" s="1"/>
  <c r="S26" i="85" s="1"/>
  <c r="Q20" i="85"/>
  <c r="O20" i="85"/>
  <c r="O22" i="85" s="1"/>
  <c r="O24" i="85" s="1"/>
  <c r="O26" i="85" s="1"/>
  <c r="N20" i="85"/>
  <c r="M20" i="85"/>
  <c r="M22" i="85" s="1"/>
  <c r="M24" i="85" s="1"/>
  <c r="M26" i="85" s="1"/>
  <c r="K20" i="85"/>
  <c r="I20" i="85"/>
  <c r="I22" i="85" s="1"/>
  <c r="I24" i="85" s="1"/>
  <c r="I26" i="85" s="1"/>
  <c r="H20" i="85"/>
  <c r="H22" i="85" s="1"/>
  <c r="H24" i="85" s="1"/>
  <c r="H26" i="85" s="1"/>
  <c r="G20" i="85"/>
  <c r="E20" i="85"/>
  <c r="E22" i="85" s="1"/>
  <c r="E24" i="85" s="1"/>
  <c r="E26" i="85" s="1"/>
  <c r="Q22" i="85" l="1"/>
  <c r="Q24" i="85" s="1"/>
  <c r="Q26" i="85" s="1"/>
  <c r="K22" i="85"/>
  <c r="K24" i="85" s="1"/>
  <c r="K26" i="85" s="1"/>
  <c r="U22" i="85"/>
  <c r="U24" i="85" s="1"/>
  <c r="U26" i="85" s="1"/>
  <c r="G22" i="85"/>
  <c r="G24" i="85" s="1"/>
  <c r="G26" i="85" s="1"/>
  <c r="AC25" i="84"/>
  <c r="AF25" i="84" l="1"/>
  <c r="T23" i="84" l="1"/>
  <c r="U23" i="84" s="1"/>
  <c r="F23" i="84"/>
  <c r="G23" i="84" s="1"/>
  <c r="Y25" i="84"/>
  <c r="U25" i="84"/>
  <c r="G25" i="84"/>
  <c r="AG24" i="84"/>
  <c r="AG26" i="84" s="1"/>
  <c r="AE24" i="84"/>
  <c r="AE26" i="84" s="1"/>
  <c r="R24" i="84"/>
  <c r="R26" i="84" s="1"/>
  <c r="P24" i="84"/>
  <c r="P26" i="84" s="1"/>
  <c r="L24" i="84"/>
  <c r="L26" i="84" s="1"/>
  <c r="J24" i="84"/>
  <c r="J26" i="84" s="1"/>
  <c r="AH22" i="84"/>
  <c r="AH24" i="84" s="1"/>
  <c r="AH26" i="84" s="1"/>
  <c r="AG22" i="84"/>
  <c r="AF22" i="84"/>
  <c r="AF24" i="84" s="1"/>
  <c r="AF26" i="84" s="1"/>
  <c r="AE22" i="84"/>
  <c r="AD22" i="84"/>
  <c r="AD24" i="84" s="1"/>
  <c r="AD26" i="84" s="1"/>
  <c r="AC22" i="84"/>
  <c r="AC24" i="84" s="1"/>
  <c r="AC26" i="84" s="1"/>
  <c r="AB22" i="84"/>
  <c r="AB24" i="84" s="1"/>
  <c r="AB26" i="84" s="1"/>
  <c r="AA22" i="84"/>
  <c r="AA24" i="84" s="1"/>
  <c r="AA26" i="84" s="1"/>
  <c r="Z22" i="84"/>
  <c r="Z24" i="84" s="1"/>
  <c r="Z26" i="84" s="1"/>
  <c r="Y22" i="84"/>
  <c r="Y24" i="84" s="1"/>
  <c r="Y26" i="84" s="1"/>
  <c r="W22" i="84"/>
  <c r="W24" i="84" s="1"/>
  <c r="W26" i="84" s="1"/>
  <c r="T22" i="84"/>
  <c r="T24" i="84" s="1"/>
  <c r="T26" i="84" s="1"/>
  <c r="R22" i="84"/>
  <c r="P22" i="84"/>
  <c r="L22" i="84"/>
  <c r="K22" i="84"/>
  <c r="K24" i="84" s="1"/>
  <c r="K26" i="84" s="1"/>
  <c r="J22" i="84"/>
  <c r="F22" i="84"/>
  <c r="D22" i="84"/>
  <c r="D24" i="84" s="1"/>
  <c r="D26" i="84" s="1"/>
  <c r="U21" i="84"/>
  <c r="S21" i="84"/>
  <c r="Q21" i="84"/>
  <c r="O21" i="84"/>
  <c r="N21" i="84"/>
  <c r="M21" i="84"/>
  <c r="K21" i="84"/>
  <c r="G21" i="84"/>
  <c r="E21" i="84"/>
  <c r="E22" i="84" s="1"/>
  <c r="E24" i="84" s="1"/>
  <c r="E26" i="84" s="1"/>
  <c r="X20" i="84"/>
  <c r="X22" i="84" s="1"/>
  <c r="X24" i="84" s="1"/>
  <c r="X26" i="84" s="1"/>
  <c r="V20" i="84"/>
  <c r="V22" i="84" s="1"/>
  <c r="V24" i="84" s="1"/>
  <c r="V26" i="84" s="1"/>
  <c r="U20" i="84"/>
  <c r="S20" i="84"/>
  <c r="Q20" i="84"/>
  <c r="Q22" i="84" s="1"/>
  <c r="Q24" i="84" s="1"/>
  <c r="Q26" i="84" s="1"/>
  <c r="O20" i="84"/>
  <c r="O22" i="84" s="1"/>
  <c r="O24" i="84" s="1"/>
  <c r="O26" i="84" s="1"/>
  <c r="N20" i="84"/>
  <c r="N22" i="84" s="1"/>
  <c r="N24" i="84" s="1"/>
  <c r="N26" i="84" s="1"/>
  <c r="M20" i="84"/>
  <c r="K20" i="84"/>
  <c r="I20" i="84"/>
  <c r="I22" i="84" s="1"/>
  <c r="I24" i="84" s="1"/>
  <c r="I26" i="84" s="1"/>
  <c r="H20" i="84"/>
  <c r="H22" i="84" s="1"/>
  <c r="H24" i="84" s="1"/>
  <c r="H26" i="84" s="1"/>
  <c r="G20" i="84"/>
  <c r="E20" i="84"/>
  <c r="S22" i="84" l="1"/>
  <c r="S24" i="84" s="1"/>
  <c r="S26" i="84" s="1"/>
  <c r="M22" i="84"/>
  <c r="M24" i="84" s="1"/>
  <c r="M26" i="84" s="1"/>
  <c r="G22" i="84"/>
  <c r="U22" i="84"/>
  <c r="U24" i="84" s="1"/>
  <c r="U26" i="84" s="1"/>
  <c r="G24" i="84"/>
  <c r="G26" i="84" s="1"/>
  <c r="F24" i="84"/>
  <c r="F26" i="84" s="1"/>
  <c r="AF25" i="83"/>
  <c r="AC25" i="83"/>
  <c r="T23" i="83"/>
  <c r="F23" i="83"/>
  <c r="G23" i="83" s="1"/>
  <c r="U23" i="83"/>
  <c r="Y25" i="83"/>
  <c r="U25" i="83"/>
  <c r="G25" i="83"/>
  <c r="AH22" i="83"/>
  <c r="AH24" i="83" s="1"/>
  <c r="AH26" i="83" s="1"/>
  <c r="AG22" i="83"/>
  <c r="AG24" i="83" s="1"/>
  <c r="AG26" i="83" s="1"/>
  <c r="AF22" i="83"/>
  <c r="AF24" i="83" s="1"/>
  <c r="AE22" i="83"/>
  <c r="AE24" i="83" s="1"/>
  <c r="AE26" i="83" s="1"/>
  <c r="AD22" i="83"/>
  <c r="AD24" i="83" s="1"/>
  <c r="AD26" i="83" s="1"/>
  <c r="AC22" i="83"/>
  <c r="AC24" i="83" s="1"/>
  <c r="AC26" i="83" s="1"/>
  <c r="AB22" i="83"/>
  <c r="AB24" i="83" s="1"/>
  <c r="AB26" i="83" s="1"/>
  <c r="AA22" i="83"/>
  <c r="AA24" i="83" s="1"/>
  <c r="AA26" i="83" s="1"/>
  <c r="Z22" i="83"/>
  <c r="Z24" i="83" s="1"/>
  <c r="Z26" i="83" s="1"/>
  <c r="Y22" i="83"/>
  <c r="Y24" i="83" s="1"/>
  <c r="Y26" i="83" s="1"/>
  <c r="W22" i="83"/>
  <c r="W24" i="83" s="1"/>
  <c r="W26" i="83" s="1"/>
  <c r="T22" i="83"/>
  <c r="R22" i="83"/>
  <c r="R24" i="83" s="1"/>
  <c r="R26" i="83" s="1"/>
  <c r="P22" i="83"/>
  <c r="P24" i="83" s="1"/>
  <c r="P26" i="83" s="1"/>
  <c r="L22" i="83"/>
  <c r="L24" i="83" s="1"/>
  <c r="L26" i="83" s="1"/>
  <c r="J22" i="83"/>
  <c r="J24" i="83" s="1"/>
  <c r="J26" i="83" s="1"/>
  <c r="F22" i="83"/>
  <c r="D22" i="83"/>
  <c r="D24" i="83" s="1"/>
  <c r="D26" i="83" s="1"/>
  <c r="U21" i="83"/>
  <c r="S21" i="83"/>
  <c r="Q21" i="83"/>
  <c r="O21" i="83"/>
  <c r="N21" i="83"/>
  <c r="M21" i="83"/>
  <c r="K21" i="83"/>
  <c r="G21" i="83"/>
  <c r="E21" i="83"/>
  <c r="X20" i="83"/>
  <c r="X22" i="83" s="1"/>
  <c r="X24" i="83" s="1"/>
  <c r="X26" i="83" s="1"/>
  <c r="V20" i="83"/>
  <c r="V22" i="83" s="1"/>
  <c r="V24" i="83" s="1"/>
  <c r="V26" i="83" s="1"/>
  <c r="U20" i="83"/>
  <c r="S20" i="83"/>
  <c r="Q20" i="83"/>
  <c r="O20" i="83"/>
  <c r="O22" i="83" s="1"/>
  <c r="O24" i="83" s="1"/>
  <c r="O26" i="83" s="1"/>
  <c r="N20" i="83"/>
  <c r="N22" i="83" s="1"/>
  <c r="N24" i="83" s="1"/>
  <c r="N26" i="83" s="1"/>
  <c r="M20" i="83"/>
  <c r="K20" i="83"/>
  <c r="K22" i="83" s="1"/>
  <c r="K24" i="83" s="1"/>
  <c r="K26" i="83" s="1"/>
  <c r="I20" i="83"/>
  <c r="I22" i="83" s="1"/>
  <c r="I24" i="83" s="1"/>
  <c r="I26" i="83" s="1"/>
  <c r="H20" i="83"/>
  <c r="H22" i="83" s="1"/>
  <c r="H24" i="83" s="1"/>
  <c r="H26" i="83" s="1"/>
  <c r="G20" i="83"/>
  <c r="E20" i="83"/>
  <c r="E22" i="83" s="1"/>
  <c r="E24" i="83" s="1"/>
  <c r="E26" i="83" s="1"/>
  <c r="AF26" i="83" l="1"/>
  <c r="M22" i="83"/>
  <c r="M24" i="83" s="1"/>
  <c r="M26" i="83" s="1"/>
  <c r="T24" i="83"/>
  <c r="T26" i="83" s="1"/>
  <c r="U22" i="83"/>
  <c r="Q22" i="83"/>
  <c r="Q24" i="83" s="1"/>
  <c r="Q26" i="83" s="1"/>
  <c r="G22" i="83"/>
  <c r="G24" i="83" s="1"/>
  <c r="G26" i="83" s="1"/>
  <c r="S22" i="83"/>
  <c r="S24" i="83" s="1"/>
  <c r="S26" i="83" s="1"/>
  <c r="U24" i="83"/>
  <c r="U26" i="83" s="1"/>
  <c r="F24" i="83"/>
  <c r="F26" i="83" s="1"/>
  <c r="AC25" i="82"/>
  <c r="AF25" i="82" l="1"/>
  <c r="Y25" i="82"/>
  <c r="U25" i="82"/>
  <c r="G25" i="82"/>
  <c r="J24" i="82"/>
  <c r="J26" i="82" s="1"/>
  <c r="D24" i="82"/>
  <c r="D26" i="82" s="1"/>
  <c r="AH22" i="82"/>
  <c r="AH24" i="82" s="1"/>
  <c r="AH26" i="82" s="1"/>
  <c r="AG22" i="82"/>
  <c r="AG24" i="82" s="1"/>
  <c r="AG26" i="82" s="1"/>
  <c r="AF22" i="82"/>
  <c r="AF24" i="82" s="1"/>
  <c r="AF26" i="82" s="1"/>
  <c r="AE22" i="82"/>
  <c r="AE24" i="82" s="1"/>
  <c r="AE26" i="82" s="1"/>
  <c r="AD22" i="82"/>
  <c r="AD24" i="82" s="1"/>
  <c r="AD26" i="82" s="1"/>
  <c r="AC22" i="82"/>
  <c r="AC24" i="82" s="1"/>
  <c r="AB22" i="82"/>
  <c r="AB24" i="82" s="1"/>
  <c r="AB26" i="82" s="1"/>
  <c r="AA22" i="82"/>
  <c r="AA24" i="82" s="1"/>
  <c r="AA26" i="82" s="1"/>
  <c r="Z22" i="82"/>
  <c r="Z24" i="82" s="1"/>
  <c r="Z26" i="82" s="1"/>
  <c r="Y22" i="82"/>
  <c r="Y24" i="82" s="1"/>
  <c r="W22" i="82"/>
  <c r="W24" i="82" s="1"/>
  <c r="W26" i="82" s="1"/>
  <c r="T22" i="82"/>
  <c r="T24" i="82" s="1"/>
  <c r="T26" i="82" s="1"/>
  <c r="S22" i="82"/>
  <c r="S24" i="82" s="1"/>
  <c r="S26" i="82" s="1"/>
  <c r="R22" i="82"/>
  <c r="R24" i="82" s="1"/>
  <c r="R26" i="82" s="1"/>
  <c r="Q22" i="82"/>
  <c r="Q24" i="82" s="1"/>
  <c r="Q26" i="82" s="1"/>
  <c r="P22" i="82"/>
  <c r="P24" i="82" s="1"/>
  <c r="P26" i="82" s="1"/>
  <c r="L22" i="82"/>
  <c r="L24" i="82" s="1"/>
  <c r="L26" i="82" s="1"/>
  <c r="J22" i="82"/>
  <c r="F22" i="82"/>
  <c r="F24" i="82" s="1"/>
  <c r="F26" i="82" s="1"/>
  <c r="E22" i="82"/>
  <c r="E24" i="82" s="1"/>
  <c r="E26" i="82" s="1"/>
  <c r="D22" i="82"/>
  <c r="U21" i="82"/>
  <c r="S21" i="82"/>
  <c r="Q21" i="82"/>
  <c r="O21" i="82"/>
  <c r="N21" i="82"/>
  <c r="M21" i="82"/>
  <c r="K21" i="82"/>
  <c r="G21" i="82"/>
  <c r="E21" i="82"/>
  <c r="X20" i="82"/>
  <c r="X22" i="82" s="1"/>
  <c r="X24" i="82" s="1"/>
  <c r="X26" i="82" s="1"/>
  <c r="V20" i="82"/>
  <c r="V22" i="82" s="1"/>
  <c r="V24" i="82" s="1"/>
  <c r="V26" i="82" s="1"/>
  <c r="U20" i="82"/>
  <c r="S20" i="82"/>
  <c r="Q20" i="82"/>
  <c r="O20" i="82"/>
  <c r="O22" i="82" s="1"/>
  <c r="O24" i="82" s="1"/>
  <c r="O26" i="82" s="1"/>
  <c r="N20" i="82"/>
  <c r="N22" i="82" s="1"/>
  <c r="N24" i="82" s="1"/>
  <c r="N26" i="82" s="1"/>
  <c r="M20" i="82"/>
  <c r="K20" i="82"/>
  <c r="K22" i="82" s="1"/>
  <c r="K24" i="82" s="1"/>
  <c r="K26" i="82" s="1"/>
  <c r="I20" i="82"/>
  <c r="I22" i="82" s="1"/>
  <c r="I24" i="82" s="1"/>
  <c r="I26" i="82" s="1"/>
  <c r="H20" i="82"/>
  <c r="H22" i="82" s="1"/>
  <c r="H24" i="82" s="1"/>
  <c r="H26" i="82" s="1"/>
  <c r="G20" i="82"/>
  <c r="E20" i="82"/>
  <c r="M22" i="82" l="1"/>
  <c r="M24" i="82" s="1"/>
  <c r="M26" i="82" s="1"/>
  <c r="G22" i="82"/>
  <c r="G24" i="82" s="1"/>
  <c r="G26" i="82" s="1"/>
  <c r="U22" i="82"/>
  <c r="U24" i="82" s="1"/>
  <c r="U26" i="82" s="1"/>
  <c r="Y26" i="82"/>
  <c r="AC26" i="82"/>
  <c r="AC25" i="81"/>
  <c r="AF25" i="81"/>
  <c r="Y25" i="81"/>
  <c r="U25" i="81"/>
  <c r="G25" i="81"/>
  <c r="AH22" i="81" l="1"/>
  <c r="AH24" i="81" s="1"/>
  <c r="AH26" i="81" s="1"/>
  <c r="AG22" i="81"/>
  <c r="AG24" i="81" s="1"/>
  <c r="AG26" i="81" s="1"/>
  <c r="AF22" i="81"/>
  <c r="AF24" i="81" s="1"/>
  <c r="AF26" i="81" s="1"/>
  <c r="AE22" i="81"/>
  <c r="AE24" i="81" s="1"/>
  <c r="AE26" i="81" s="1"/>
  <c r="AD22" i="81"/>
  <c r="AD24" i="81" s="1"/>
  <c r="AD26" i="81" s="1"/>
  <c r="AC22" i="81"/>
  <c r="AC24" i="81" s="1"/>
  <c r="AC26" i="81" s="1"/>
  <c r="AB22" i="81"/>
  <c r="AB24" i="81" s="1"/>
  <c r="AB26" i="81" s="1"/>
  <c r="AA22" i="81"/>
  <c r="AA24" i="81" s="1"/>
  <c r="AA26" i="81" s="1"/>
  <c r="Z22" i="81"/>
  <c r="Z24" i="81" s="1"/>
  <c r="Z26" i="81" s="1"/>
  <c r="Y22" i="81"/>
  <c r="Y24" i="81" s="1"/>
  <c r="Y26" i="81" s="1"/>
  <c r="W22" i="81"/>
  <c r="W24" i="81" s="1"/>
  <c r="W26" i="81" s="1"/>
  <c r="T22" i="81"/>
  <c r="T24" i="81" s="1"/>
  <c r="T26" i="81" s="1"/>
  <c r="R22" i="81"/>
  <c r="R24" i="81" s="1"/>
  <c r="R26" i="81" s="1"/>
  <c r="P22" i="81"/>
  <c r="P24" i="81" s="1"/>
  <c r="P26" i="81" s="1"/>
  <c r="L22" i="81"/>
  <c r="L24" i="81" s="1"/>
  <c r="L26" i="81" s="1"/>
  <c r="J22" i="81"/>
  <c r="J24" i="81" s="1"/>
  <c r="J26" i="81" s="1"/>
  <c r="F22" i="81"/>
  <c r="F24" i="81" s="1"/>
  <c r="F26" i="81" s="1"/>
  <c r="E22" i="81"/>
  <c r="E24" i="81" s="1"/>
  <c r="E26" i="81" s="1"/>
  <c r="D22" i="81"/>
  <c r="D24" i="81" s="1"/>
  <c r="D26" i="81" s="1"/>
  <c r="U21" i="81"/>
  <c r="S21" i="81"/>
  <c r="Q21" i="81"/>
  <c r="Q22" i="81" s="1"/>
  <c r="Q24" i="81" s="1"/>
  <c r="Q26" i="81" s="1"/>
  <c r="O21" i="81"/>
  <c r="N21" i="81"/>
  <c r="M21" i="81"/>
  <c r="K21" i="81"/>
  <c r="G21" i="81"/>
  <c r="E21" i="81"/>
  <c r="X20" i="81"/>
  <c r="X22" i="81" s="1"/>
  <c r="X24" i="81" s="1"/>
  <c r="X26" i="81" s="1"/>
  <c r="V20" i="81"/>
  <c r="V22" i="81" s="1"/>
  <c r="V24" i="81" s="1"/>
  <c r="V26" i="81" s="1"/>
  <c r="U20" i="81"/>
  <c r="S20" i="81"/>
  <c r="S22" i="81" s="1"/>
  <c r="S24" i="81" s="1"/>
  <c r="S26" i="81" s="1"/>
  <c r="Q20" i="81"/>
  <c r="O20" i="81"/>
  <c r="O22" i="81" s="1"/>
  <c r="O24" i="81" s="1"/>
  <c r="O26" i="81" s="1"/>
  <c r="N20" i="81"/>
  <c r="N22" i="81" s="1"/>
  <c r="N24" i="81" s="1"/>
  <c r="N26" i="81" s="1"/>
  <c r="M20" i="81"/>
  <c r="M22" i="81" s="1"/>
  <c r="M24" i="81" s="1"/>
  <c r="M26" i="81" s="1"/>
  <c r="K20" i="81"/>
  <c r="I20" i="81"/>
  <c r="I22" i="81" s="1"/>
  <c r="I24" i="81" s="1"/>
  <c r="I26" i="81" s="1"/>
  <c r="H20" i="81"/>
  <c r="H22" i="81" s="1"/>
  <c r="H24" i="81" s="1"/>
  <c r="H26" i="81" s="1"/>
  <c r="G20" i="81"/>
  <c r="E20" i="81"/>
  <c r="K22" i="81" l="1"/>
  <c r="K24" i="81" s="1"/>
  <c r="K26" i="81" s="1"/>
  <c r="U22" i="81"/>
  <c r="U24" i="81" s="1"/>
  <c r="U26" i="81" s="1"/>
  <c r="G22" i="81"/>
  <c r="G24" i="81" s="1"/>
  <c r="G26" i="81" s="1"/>
  <c r="Y25" i="80"/>
  <c r="U25" i="80"/>
  <c r="G25" i="80"/>
  <c r="L24" i="80"/>
  <c r="L26" i="80" s="1"/>
  <c r="G23" i="80"/>
  <c r="AH22" i="80"/>
  <c r="AH24" i="80" s="1"/>
  <c r="AH26" i="80" s="1"/>
  <c r="AG22" i="80"/>
  <c r="AG24" i="80" s="1"/>
  <c r="AG26" i="80" s="1"/>
  <c r="AF22" i="80"/>
  <c r="AF24" i="80" s="1"/>
  <c r="AF26" i="80" s="1"/>
  <c r="AE22" i="80"/>
  <c r="AE24" i="80" s="1"/>
  <c r="AE26" i="80" s="1"/>
  <c r="AD22" i="80"/>
  <c r="AD24" i="80" s="1"/>
  <c r="AD26" i="80" s="1"/>
  <c r="AC22" i="80"/>
  <c r="AC24" i="80" s="1"/>
  <c r="AB22" i="80"/>
  <c r="AB24" i="80" s="1"/>
  <c r="AB26" i="80" s="1"/>
  <c r="AA22" i="80"/>
  <c r="AA24" i="80" s="1"/>
  <c r="AA26" i="80" s="1"/>
  <c r="Z22" i="80"/>
  <c r="Z24" i="80" s="1"/>
  <c r="Z26" i="80" s="1"/>
  <c r="Y22" i="80"/>
  <c r="Y24" i="80" s="1"/>
  <c r="X22" i="80"/>
  <c r="X24" i="80" s="1"/>
  <c r="X26" i="80" s="1"/>
  <c r="W22" i="80"/>
  <c r="W24" i="80" s="1"/>
  <c r="W26" i="80" s="1"/>
  <c r="V22" i="80"/>
  <c r="V24" i="80" s="1"/>
  <c r="V26" i="80" s="1"/>
  <c r="T22" i="80"/>
  <c r="T24" i="80" s="1"/>
  <c r="T26" i="80" s="1"/>
  <c r="R22" i="80"/>
  <c r="R24" i="80" s="1"/>
  <c r="R26" i="80" s="1"/>
  <c r="P22" i="80"/>
  <c r="P24" i="80" s="1"/>
  <c r="P26" i="80" s="1"/>
  <c r="L22" i="80"/>
  <c r="J22" i="80"/>
  <c r="J24" i="80" s="1"/>
  <c r="J26" i="80" s="1"/>
  <c r="F22" i="80"/>
  <c r="F24" i="80" s="1"/>
  <c r="F26" i="80" s="1"/>
  <c r="D22" i="80"/>
  <c r="D24" i="80" s="1"/>
  <c r="D26" i="80" s="1"/>
  <c r="U21" i="80"/>
  <c r="S21" i="80"/>
  <c r="Q21" i="80"/>
  <c r="O21" i="80"/>
  <c r="N21" i="80"/>
  <c r="M21" i="80"/>
  <c r="K21" i="80"/>
  <c r="G21" i="80"/>
  <c r="E21" i="80"/>
  <c r="X20" i="80"/>
  <c r="V20" i="80"/>
  <c r="U20" i="80"/>
  <c r="S20" i="80"/>
  <c r="Q20" i="80"/>
  <c r="O20" i="80"/>
  <c r="O22" i="80" s="1"/>
  <c r="O24" i="80" s="1"/>
  <c r="O26" i="80" s="1"/>
  <c r="N20" i="80"/>
  <c r="N22" i="80" s="1"/>
  <c r="N24" i="80" s="1"/>
  <c r="N26" i="80" s="1"/>
  <c r="M20" i="80"/>
  <c r="K20" i="80"/>
  <c r="K22" i="80" s="1"/>
  <c r="K24" i="80" s="1"/>
  <c r="K26" i="80" s="1"/>
  <c r="I20" i="80"/>
  <c r="I22" i="80" s="1"/>
  <c r="I24" i="80" s="1"/>
  <c r="I26" i="80" s="1"/>
  <c r="H20" i="80"/>
  <c r="H22" i="80" s="1"/>
  <c r="H24" i="80" s="1"/>
  <c r="H26" i="80" s="1"/>
  <c r="G20" i="80"/>
  <c r="G22" i="80" s="1"/>
  <c r="E20" i="80"/>
  <c r="E22" i="80" s="1"/>
  <c r="E24" i="80" s="1"/>
  <c r="E26" i="80" s="1"/>
  <c r="AC25" i="79"/>
  <c r="AF25" i="79"/>
  <c r="M22" i="80" l="1"/>
  <c r="M24" i="80" s="1"/>
  <c r="M26" i="80" s="1"/>
  <c r="S22" i="80"/>
  <c r="S24" i="80" s="1"/>
  <c r="S26" i="80" s="1"/>
  <c r="Q22" i="80"/>
  <c r="Q24" i="80" s="1"/>
  <c r="Q26" i="80" s="1"/>
  <c r="U22" i="80"/>
  <c r="Y26" i="80"/>
  <c r="AC26" i="80"/>
  <c r="U24" i="80"/>
  <c r="U26" i="80" s="1"/>
  <c r="G24" i="80"/>
  <c r="G26" i="80" s="1"/>
  <c r="G25" i="79"/>
  <c r="U23" i="79"/>
  <c r="G21" i="79"/>
  <c r="G23" i="79"/>
  <c r="U23" i="77"/>
  <c r="G23" i="77"/>
  <c r="G25" i="77"/>
  <c r="U25" i="77"/>
  <c r="Y25" i="79"/>
  <c r="U25" i="79"/>
  <c r="AH22" i="79"/>
  <c r="AH24" i="79" s="1"/>
  <c r="AH26" i="79" s="1"/>
  <c r="AG22" i="79"/>
  <c r="AG24" i="79" s="1"/>
  <c r="AG26" i="79" s="1"/>
  <c r="AF22" i="79"/>
  <c r="AF24" i="79" s="1"/>
  <c r="AF26" i="79" s="1"/>
  <c r="AE22" i="79"/>
  <c r="AE24" i="79" s="1"/>
  <c r="AE26" i="79" s="1"/>
  <c r="AD22" i="79"/>
  <c r="AD24" i="79" s="1"/>
  <c r="AD26" i="79" s="1"/>
  <c r="AC22" i="79"/>
  <c r="AC24" i="79" s="1"/>
  <c r="AC26" i="79" s="1"/>
  <c r="AB22" i="79"/>
  <c r="AB24" i="79" s="1"/>
  <c r="AB26" i="79" s="1"/>
  <c r="AA22" i="79"/>
  <c r="AA24" i="79" s="1"/>
  <c r="AA26" i="79" s="1"/>
  <c r="Z22" i="79"/>
  <c r="Z24" i="79" s="1"/>
  <c r="Z26" i="79" s="1"/>
  <c r="Y22" i="79"/>
  <c r="Y24" i="79" s="1"/>
  <c r="W22" i="79"/>
  <c r="W24" i="79" s="1"/>
  <c r="W26" i="79" s="1"/>
  <c r="T22" i="79"/>
  <c r="T24" i="79" s="1"/>
  <c r="T26" i="79" s="1"/>
  <c r="R22" i="79"/>
  <c r="R24" i="79" s="1"/>
  <c r="R26" i="79" s="1"/>
  <c r="P22" i="79"/>
  <c r="P24" i="79" s="1"/>
  <c r="P26" i="79" s="1"/>
  <c r="L22" i="79"/>
  <c r="L24" i="79" s="1"/>
  <c r="L26" i="79" s="1"/>
  <c r="J22" i="79"/>
  <c r="J24" i="79" s="1"/>
  <c r="J26" i="79" s="1"/>
  <c r="F22" i="79"/>
  <c r="F24" i="79" s="1"/>
  <c r="F26" i="79" s="1"/>
  <c r="D22" i="79"/>
  <c r="D24" i="79" s="1"/>
  <c r="D26" i="79" s="1"/>
  <c r="U21" i="79"/>
  <c r="S21" i="79"/>
  <c r="Q21" i="79"/>
  <c r="O21" i="79"/>
  <c r="N21" i="79"/>
  <c r="M21" i="79"/>
  <c r="K21" i="79"/>
  <c r="E21" i="79"/>
  <c r="X20" i="79"/>
  <c r="X22" i="79" s="1"/>
  <c r="X24" i="79" s="1"/>
  <c r="X26" i="79" s="1"/>
  <c r="V20" i="79"/>
  <c r="V22" i="79" s="1"/>
  <c r="V24" i="79" s="1"/>
  <c r="V26" i="79" s="1"/>
  <c r="U20" i="79"/>
  <c r="S20" i="79"/>
  <c r="S22" i="79" s="1"/>
  <c r="S24" i="79" s="1"/>
  <c r="S26" i="79" s="1"/>
  <c r="Q20" i="79"/>
  <c r="O20" i="79"/>
  <c r="O22" i="79" s="1"/>
  <c r="O24" i="79" s="1"/>
  <c r="O26" i="79" s="1"/>
  <c r="N20" i="79"/>
  <c r="N22" i="79" s="1"/>
  <c r="N24" i="79" s="1"/>
  <c r="N26" i="79" s="1"/>
  <c r="M20" i="79"/>
  <c r="K20" i="79"/>
  <c r="I20" i="79"/>
  <c r="I22" i="79" s="1"/>
  <c r="I24" i="79" s="1"/>
  <c r="I26" i="79" s="1"/>
  <c r="H20" i="79"/>
  <c r="H22" i="79" s="1"/>
  <c r="H24" i="79" s="1"/>
  <c r="H26" i="79" s="1"/>
  <c r="G20" i="79"/>
  <c r="E20" i="79"/>
  <c r="E22" i="79" s="1"/>
  <c r="E24" i="79" s="1"/>
  <c r="E26" i="79" s="1"/>
  <c r="K22" i="79" l="1"/>
  <c r="K24" i="79" s="1"/>
  <c r="K26" i="79" s="1"/>
  <c r="M22" i="79"/>
  <c r="M24" i="79" s="1"/>
  <c r="M26" i="79" s="1"/>
  <c r="Q22" i="79"/>
  <c r="Q24" i="79" s="1"/>
  <c r="Q26" i="79" s="1"/>
  <c r="G22" i="79"/>
  <c r="G24" i="79" s="1"/>
  <c r="G26" i="79" s="1"/>
  <c r="U22" i="79"/>
  <c r="U24" i="79" s="1"/>
  <c r="U26" i="79" s="1"/>
  <c r="Y26" i="79"/>
  <c r="AF25" i="78"/>
  <c r="AC25" i="78"/>
  <c r="Y25" i="78" l="1"/>
  <c r="G25" i="78"/>
  <c r="G21" i="78"/>
  <c r="U25" i="78"/>
  <c r="G21" i="77"/>
  <c r="AE24" i="78"/>
  <c r="AE26" i="78" s="1"/>
  <c r="AB24" i="78"/>
  <c r="AB26" i="78" s="1"/>
  <c r="J24" i="78"/>
  <c r="J26" i="78" s="1"/>
  <c r="D24" i="78"/>
  <c r="D26" i="78" s="1"/>
  <c r="AH22" i="78"/>
  <c r="AH24" i="78" s="1"/>
  <c r="AH26" i="78" s="1"/>
  <c r="AG22" i="78"/>
  <c r="AG24" i="78" s="1"/>
  <c r="AG26" i="78" s="1"/>
  <c r="AF22" i="78"/>
  <c r="AF24" i="78" s="1"/>
  <c r="AF26" i="78" s="1"/>
  <c r="AE22" i="78"/>
  <c r="AD22" i="78"/>
  <c r="AD24" i="78" s="1"/>
  <c r="AD26" i="78" s="1"/>
  <c r="AC22" i="78"/>
  <c r="AC24" i="78" s="1"/>
  <c r="AC26" i="78" s="1"/>
  <c r="AB22" i="78"/>
  <c r="AA22" i="78"/>
  <c r="AA24" i="78" s="1"/>
  <c r="AA26" i="78" s="1"/>
  <c r="Z22" i="78"/>
  <c r="Z24" i="78" s="1"/>
  <c r="Z26" i="78" s="1"/>
  <c r="Y22" i="78"/>
  <c r="Y24" i="78" s="1"/>
  <c r="W22" i="78"/>
  <c r="W24" i="78" s="1"/>
  <c r="W26" i="78" s="1"/>
  <c r="V22" i="78"/>
  <c r="V24" i="78" s="1"/>
  <c r="V26" i="78" s="1"/>
  <c r="T22" i="78"/>
  <c r="T24" i="78" s="1"/>
  <c r="T26" i="78" s="1"/>
  <c r="R22" i="78"/>
  <c r="R24" i="78" s="1"/>
  <c r="R26" i="78" s="1"/>
  <c r="P22" i="78"/>
  <c r="P24" i="78" s="1"/>
  <c r="P26" i="78" s="1"/>
  <c r="L22" i="78"/>
  <c r="L24" i="78" s="1"/>
  <c r="L26" i="78" s="1"/>
  <c r="J22" i="78"/>
  <c r="F22" i="78"/>
  <c r="F24" i="78" s="1"/>
  <c r="F26" i="78" s="1"/>
  <c r="D22" i="78"/>
  <c r="U21" i="78"/>
  <c r="S21" i="78"/>
  <c r="Q21" i="78"/>
  <c r="O21" i="78"/>
  <c r="N21" i="78"/>
  <c r="M21" i="78"/>
  <c r="K21" i="78"/>
  <c r="E21" i="78"/>
  <c r="X20" i="78"/>
  <c r="X22" i="78" s="1"/>
  <c r="X24" i="78" s="1"/>
  <c r="X26" i="78" s="1"/>
  <c r="V20" i="78"/>
  <c r="U20" i="78"/>
  <c r="S20" i="78"/>
  <c r="Q20" i="78"/>
  <c r="O20" i="78"/>
  <c r="O22" i="78" s="1"/>
  <c r="O24" i="78" s="1"/>
  <c r="O26" i="78" s="1"/>
  <c r="N20" i="78"/>
  <c r="N22" i="78" s="1"/>
  <c r="N24" i="78" s="1"/>
  <c r="N26" i="78" s="1"/>
  <c r="M20" i="78"/>
  <c r="K20" i="78"/>
  <c r="I20" i="78"/>
  <c r="I22" i="78" s="1"/>
  <c r="I24" i="78" s="1"/>
  <c r="I26" i="78" s="1"/>
  <c r="H20" i="78"/>
  <c r="H22" i="78" s="1"/>
  <c r="H24" i="78" s="1"/>
  <c r="H26" i="78" s="1"/>
  <c r="G20" i="78"/>
  <c r="G22" i="78" s="1"/>
  <c r="G24" i="78" s="1"/>
  <c r="E20" i="78"/>
  <c r="S22" i="78" l="1"/>
  <c r="S24" i="78" s="1"/>
  <c r="S26" i="78" s="1"/>
  <c r="K22" i="78"/>
  <c r="K24" i="78" s="1"/>
  <c r="K26" i="78" s="1"/>
  <c r="E22" i="78"/>
  <c r="E24" i="78" s="1"/>
  <c r="E26" i="78" s="1"/>
  <c r="Q22" i="78"/>
  <c r="Q24" i="78" s="1"/>
  <c r="Q26" i="78" s="1"/>
  <c r="M22" i="78"/>
  <c r="M24" i="78" s="1"/>
  <c r="M26" i="78" s="1"/>
  <c r="U22" i="78"/>
  <c r="U24" i="78" s="1"/>
  <c r="U26" i="78" s="1"/>
  <c r="Y26" i="78"/>
  <c r="G26" i="78"/>
  <c r="AF23" i="77" l="1"/>
  <c r="AG22" i="77" l="1"/>
  <c r="AG24" i="77" s="1"/>
  <c r="AG26" i="77" s="1"/>
  <c r="AF22" i="77"/>
  <c r="AF24" i="77" s="1"/>
  <c r="AF26" i="77" s="1"/>
  <c r="AE22" i="77"/>
  <c r="AE24" i="77" s="1"/>
  <c r="AE26" i="77" s="1"/>
  <c r="AD22" i="77"/>
  <c r="AD24" i="77" s="1"/>
  <c r="AD26" i="77" s="1"/>
  <c r="AC22" i="77"/>
  <c r="AC24" i="77" s="1"/>
  <c r="AC26" i="77" s="1"/>
  <c r="AB22" i="77"/>
  <c r="AB24" i="77" s="1"/>
  <c r="AB26" i="77" s="1"/>
  <c r="AA22" i="77"/>
  <c r="AA24" i="77" s="1"/>
  <c r="AA26" i="77" s="1"/>
  <c r="Z22" i="77"/>
  <c r="Z24" i="77" s="1"/>
  <c r="Z26" i="77" s="1"/>
  <c r="Y22" i="77"/>
  <c r="Y24" i="77" s="1"/>
  <c r="Y26" i="77" s="1"/>
  <c r="W22" i="77"/>
  <c r="W24" i="77" s="1"/>
  <c r="W26" i="77" s="1"/>
  <c r="T22" i="77"/>
  <c r="T24" i="77" s="1"/>
  <c r="T26" i="77" s="1"/>
  <c r="R22" i="77"/>
  <c r="R24" i="77" s="1"/>
  <c r="R26" i="77" s="1"/>
  <c r="P22" i="77"/>
  <c r="P24" i="77" s="1"/>
  <c r="P26" i="77" s="1"/>
  <c r="L22" i="77"/>
  <c r="L24" i="77" s="1"/>
  <c r="L26" i="77" s="1"/>
  <c r="J22" i="77"/>
  <c r="J24" i="77" s="1"/>
  <c r="J26" i="77" s="1"/>
  <c r="F22" i="77"/>
  <c r="F24" i="77" s="1"/>
  <c r="F26" i="77" s="1"/>
  <c r="D22" i="77"/>
  <c r="D24" i="77" s="1"/>
  <c r="D26" i="77" s="1"/>
  <c r="AH22" i="77"/>
  <c r="AH24" i="77" s="1"/>
  <c r="AH26" i="77" s="1"/>
  <c r="U21" i="77"/>
  <c r="S21" i="77"/>
  <c r="Q21" i="77"/>
  <c r="O21" i="77"/>
  <c r="N21" i="77"/>
  <c r="M21" i="77"/>
  <c r="K21" i="77"/>
  <c r="E21" i="77"/>
  <c r="X20" i="77"/>
  <c r="X22" i="77" s="1"/>
  <c r="X24" i="77" s="1"/>
  <c r="X26" i="77" s="1"/>
  <c r="V20" i="77"/>
  <c r="V22" i="77" s="1"/>
  <c r="V24" i="77" s="1"/>
  <c r="V26" i="77" s="1"/>
  <c r="U20" i="77"/>
  <c r="S20" i="77"/>
  <c r="Q20" i="77"/>
  <c r="O20" i="77"/>
  <c r="O22" i="77" s="1"/>
  <c r="O24" i="77" s="1"/>
  <c r="O26" i="77" s="1"/>
  <c r="N20" i="77"/>
  <c r="N22" i="77" s="1"/>
  <c r="N24" i="77" s="1"/>
  <c r="N26" i="77" s="1"/>
  <c r="M20" i="77"/>
  <c r="M22" i="77" s="1"/>
  <c r="M24" i="77" s="1"/>
  <c r="M26" i="77" s="1"/>
  <c r="K20" i="77"/>
  <c r="K22" i="77" s="1"/>
  <c r="K24" i="77" s="1"/>
  <c r="K26" i="77" s="1"/>
  <c r="I20" i="77"/>
  <c r="I22" i="77" s="1"/>
  <c r="I24" i="77" s="1"/>
  <c r="I26" i="77" s="1"/>
  <c r="H20" i="77"/>
  <c r="H22" i="77" s="1"/>
  <c r="H24" i="77" s="1"/>
  <c r="H26" i="77" s="1"/>
  <c r="G20" i="77"/>
  <c r="E20" i="77"/>
  <c r="E22" i="77" s="1"/>
  <c r="E24" i="77" s="1"/>
  <c r="E26" i="77" s="1"/>
  <c r="Q22" i="77" l="1"/>
  <c r="Q24" i="77" s="1"/>
  <c r="Q26" i="77" s="1"/>
  <c r="S22" i="77"/>
  <c r="S24" i="77" s="1"/>
  <c r="S26" i="77" s="1"/>
  <c r="U22" i="77"/>
  <c r="U24" i="77" s="1"/>
  <c r="U26" i="77" s="1"/>
  <c r="G22" i="77"/>
  <c r="G24" i="77" s="1"/>
  <c r="G26" i="77" s="1"/>
  <c r="AH21" i="76"/>
  <c r="AF25" i="76" l="1"/>
  <c r="AC25" i="76"/>
  <c r="T25" i="76"/>
  <c r="AH22" i="76" l="1"/>
  <c r="AH24" i="76" s="1"/>
  <c r="AH26" i="76" s="1"/>
  <c r="AG22" i="76"/>
  <c r="AG24" i="76" s="1"/>
  <c r="AG26" i="76" s="1"/>
  <c r="AF22" i="76"/>
  <c r="AF24" i="76" s="1"/>
  <c r="AF26" i="76" s="1"/>
  <c r="AE22" i="76"/>
  <c r="AE24" i="76" s="1"/>
  <c r="AE26" i="76" s="1"/>
  <c r="AD22" i="76"/>
  <c r="AD24" i="76" s="1"/>
  <c r="AD26" i="76" s="1"/>
  <c r="AC22" i="76"/>
  <c r="AC24" i="76" s="1"/>
  <c r="AC26" i="76" s="1"/>
  <c r="AB22" i="76"/>
  <c r="AB24" i="76" s="1"/>
  <c r="AB26" i="76" s="1"/>
  <c r="AA22" i="76"/>
  <c r="AA24" i="76" s="1"/>
  <c r="AA26" i="76" s="1"/>
  <c r="Z22" i="76"/>
  <c r="Z24" i="76" s="1"/>
  <c r="Z26" i="76" s="1"/>
  <c r="Y22" i="76"/>
  <c r="Y24" i="76" s="1"/>
  <c r="Y26" i="76" s="1"/>
  <c r="W22" i="76"/>
  <c r="W24" i="76" s="1"/>
  <c r="W26" i="76" s="1"/>
  <c r="T22" i="76"/>
  <c r="T24" i="76" s="1"/>
  <c r="T26" i="76" s="1"/>
  <c r="R22" i="76"/>
  <c r="R24" i="76" s="1"/>
  <c r="R26" i="76" s="1"/>
  <c r="P22" i="76"/>
  <c r="P24" i="76" s="1"/>
  <c r="P26" i="76" s="1"/>
  <c r="L22" i="76"/>
  <c r="L24" i="76" s="1"/>
  <c r="L26" i="76" s="1"/>
  <c r="J22" i="76"/>
  <c r="J24" i="76" s="1"/>
  <c r="J26" i="76" s="1"/>
  <c r="F22" i="76"/>
  <c r="F24" i="76" s="1"/>
  <c r="F26" i="76" s="1"/>
  <c r="D22" i="76"/>
  <c r="D24" i="76" s="1"/>
  <c r="D26" i="76" s="1"/>
  <c r="U21" i="76"/>
  <c r="S21" i="76"/>
  <c r="Q21" i="76"/>
  <c r="Q22" i="76" s="1"/>
  <c r="Q24" i="76" s="1"/>
  <c r="Q26" i="76" s="1"/>
  <c r="O21" i="76"/>
  <c r="N21" i="76"/>
  <c r="M21" i="76"/>
  <c r="K21" i="76"/>
  <c r="G21" i="76"/>
  <c r="E21" i="76"/>
  <c r="X20" i="76"/>
  <c r="X22" i="76" s="1"/>
  <c r="X24" i="76" s="1"/>
  <c r="X26" i="76" s="1"/>
  <c r="V20" i="76"/>
  <c r="V22" i="76" s="1"/>
  <c r="V24" i="76" s="1"/>
  <c r="V26" i="76" s="1"/>
  <c r="U20" i="76"/>
  <c r="S20" i="76"/>
  <c r="Q20" i="76"/>
  <c r="O20" i="76"/>
  <c r="O22" i="76" s="1"/>
  <c r="O24" i="76" s="1"/>
  <c r="O26" i="76" s="1"/>
  <c r="N20" i="76"/>
  <c r="N22" i="76" s="1"/>
  <c r="N24" i="76" s="1"/>
  <c r="N26" i="76" s="1"/>
  <c r="M20" i="76"/>
  <c r="K20" i="76"/>
  <c r="K22" i="76" s="1"/>
  <c r="K24" i="76" s="1"/>
  <c r="K26" i="76" s="1"/>
  <c r="I20" i="76"/>
  <c r="I22" i="76" s="1"/>
  <c r="I24" i="76" s="1"/>
  <c r="I26" i="76" s="1"/>
  <c r="H20" i="76"/>
  <c r="H22" i="76" s="1"/>
  <c r="H24" i="76" s="1"/>
  <c r="H26" i="76" s="1"/>
  <c r="G20" i="76"/>
  <c r="G22" i="76" s="1"/>
  <c r="G24" i="76" s="1"/>
  <c r="G26" i="76" s="1"/>
  <c r="E20" i="76"/>
  <c r="E22" i="76" s="1"/>
  <c r="E24" i="76" s="1"/>
  <c r="E26" i="76" s="1"/>
  <c r="M22" i="76" l="1"/>
  <c r="M24" i="76" s="1"/>
  <c r="M26" i="76" s="1"/>
  <c r="S22" i="76"/>
  <c r="S24" i="76" s="1"/>
  <c r="S26" i="76" s="1"/>
  <c r="U22" i="76"/>
  <c r="U24" i="76"/>
  <c r="U26" i="76" s="1"/>
  <c r="Y25" i="72"/>
  <c r="Y25" i="75"/>
  <c r="F23" i="75" l="1"/>
  <c r="AF23" i="75"/>
  <c r="T23" i="75"/>
  <c r="U23" i="75"/>
  <c r="G23" i="75"/>
  <c r="U25" i="75" l="1"/>
  <c r="S25" i="75"/>
  <c r="Q25" i="75"/>
  <c r="O25" i="75"/>
  <c r="M25" i="75"/>
  <c r="K25" i="75"/>
  <c r="I25" i="75"/>
  <c r="H25" i="75"/>
  <c r="G25" i="75"/>
  <c r="E25" i="75"/>
  <c r="AB24" i="75"/>
  <c r="AB26" i="75" s="1"/>
  <c r="P24" i="75"/>
  <c r="P26" i="75" s="1"/>
  <c r="AH22" i="75"/>
  <c r="AH24" i="75" s="1"/>
  <c r="AH26" i="75" s="1"/>
  <c r="AG22" i="75"/>
  <c r="AG24" i="75" s="1"/>
  <c r="AG26" i="75" s="1"/>
  <c r="AF22" i="75"/>
  <c r="AF24" i="75" s="1"/>
  <c r="AF26" i="75" s="1"/>
  <c r="AE22" i="75"/>
  <c r="AE24" i="75" s="1"/>
  <c r="AE26" i="75" s="1"/>
  <c r="AD22" i="75"/>
  <c r="AD24" i="75" s="1"/>
  <c r="AD26" i="75" s="1"/>
  <c r="AC22" i="75"/>
  <c r="AC24" i="75" s="1"/>
  <c r="AC26" i="75" s="1"/>
  <c r="AB22" i="75"/>
  <c r="AA22" i="75"/>
  <c r="AA24" i="75" s="1"/>
  <c r="AA26" i="75" s="1"/>
  <c r="Z22" i="75"/>
  <c r="Z24" i="75" s="1"/>
  <c r="Z26" i="75" s="1"/>
  <c r="Y22" i="75"/>
  <c r="Y24" i="75" s="1"/>
  <c r="Y26" i="75" s="1"/>
  <c r="W22" i="75"/>
  <c r="W24" i="75" s="1"/>
  <c r="W26" i="75" s="1"/>
  <c r="T22" i="75"/>
  <c r="T24" i="75" s="1"/>
  <c r="T26" i="75" s="1"/>
  <c r="R22" i="75"/>
  <c r="R24" i="75" s="1"/>
  <c r="R26" i="75" s="1"/>
  <c r="P22" i="75"/>
  <c r="L22" i="75"/>
  <c r="L24" i="75" s="1"/>
  <c r="L26" i="75" s="1"/>
  <c r="J22" i="75"/>
  <c r="J24" i="75" s="1"/>
  <c r="J26" i="75" s="1"/>
  <c r="F22" i="75"/>
  <c r="F24" i="75" s="1"/>
  <c r="F26" i="75" s="1"/>
  <c r="D22" i="75"/>
  <c r="D24" i="75" s="1"/>
  <c r="D26" i="75" s="1"/>
  <c r="U21" i="75"/>
  <c r="S21" i="75"/>
  <c r="Q21" i="75"/>
  <c r="O21" i="75"/>
  <c r="N21" i="75"/>
  <c r="M21" i="75"/>
  <c r="K21" i="75"/>
  <c r="G21" i="75"/>
  <c r="E21" i="75"/>
  <c r="X20" i="75"/>
  <c r="X22" i="75" s="1"/>
  <c r="X24" i="75" s="1"/>
  <c r="X26" i="75" s="1"/>
  <c r="V20" i="75"/>
  <c r="V22" i="75" s="1"/>
  <c r="V24" i="75" s="1"/>
  <c r="V26" i="75" s="1"/>
  <c r="U20" i="75"/>
  <c r="S20" i="75"/>
  <c r="Q20" i="75"/>
  <c r="O20" i="75"/>
  <c r="O22" i="75" s="1"/>
  <c r="O24" i="75" s="1"/>
  <c r="O26" i="75" s="1"/>
  <c r="N20" i="75"/>
  <c r="N22" i="75" s="1"/>
  <c r="N24" i="75" s="1"/>
  <c r="N26" i="75" s="1"/>
  <c r="M20" i="75"/>
  <c r="M22" i="75" s="1"/>
  <c r="M24" i="75" s="1"/>
  <c r="K20" i="75"/>
  <c r="K22" i="75" s="1"/>
  <c r="K24" i="75" s="1"/>
  <c r="I20" i="75"/>
  <c r="I22" i="75" s="1"/>
  <c r="I24" i="75" s="1"/>
  <c r="H20" i="75"/>
  <c r="H22" i="75" s="1"/>
  <c r="H24" i="75" s="1"/>
  <c r="G20" i="75"/>
  <c r="G22" i="75" s="1"/>
  <c r="G24" i="75" s="1"/>
  <c r="E20" i="75"/>
  <c r="E22" i="75" s="1"/>
  <c r="E24" i="75" s="1"/>
  <c r="H26" i="75" l="1"/>
  <c r="I26" i="75"/>
  <c r="Q22" i="75"/>
  <c r="Q24" i="75" s="1"/>
  <c r="Q26" i="75" s="1"/>
  <c r="K26" i="75"/>
  <c r="E26" i="75"/>
  <c r="G26" i="75"/>
  <c r="S22" i="75"/>
  <c r="S24" i="75" s="1"/>
  <c r="S26" i="75" s="1"/>
  <c r="M26" i="75"/>
  <c r="U22" i="75"/>
  <c r="U24" i="75" s="1"/>
  <c r="U26" i="75" s="1"/>
  <c r="U25" i="74"/>
  <c r="S25" i="74"/>
  <c r="Q25" i="74"/>
  <c r="O25" i="74"/>
  <c r="M25" i="74"/>
  <c r="K25" i="74"/>
  <c r="I25" i="74"/>
  <c r="H25" i="74"/>
  <c r="G25" i="74"/>
  <c r="E25" i="74"/>
  <c r="D24" i="74"/>
  <c r="D26" i="74" s="1"/>
  <c r="AH22" i="74"/>
  <c r="AH24" i="74" s="1"/>
  <c r="AH26" i="74" s="1"/>
  <c r="AG22" i="74"/>
  <c r="AG24" i="74" s="1"/>
  <c r="AG26" i="74" s="1"/>
  <c r="AF22" i="74"/>
  <c r="AF24" i="74" s="1"/>
  <c r="AF26" i="74" s="1"/>
  <c r="AE22" i="74"/>
  <c r="AE24" i="74" s="1"/>
  <c r="AE26" i="74" s="1"/>
  <c r="AD22" i="74"/>
  <c r="AD24" i="74" s="1"/>
  <c r="AD26" i="74" s="1"/>
  <c r="AC22" i="74"/>
  <c r="AC24" i="74" s="1"/>
  <c r="AC26" i="74" s="1"/>
  <c r="AB22" i="74"/>
  <c r="AB24" i="74" s="1"/>
  <c r="AB26" i="74" s="1"/>
  <c r="AA22" i="74"/>
  <c r="AA24" i="74" s="1"/>
  <c r="AA26" i="74" s="1"/>
  <c r="Z22" i="74"/>
  <c r="Z24" i="74" s="1"/>
  <c r="Z26" i="74" s="1"/>
  <c r="Y22" i="74"/>
  <c r="Y24" i="74" s="1"/>
  <c r="Y26" i="74" s="1"/>
  <c r="W22" i="74"/>
  <c r="W24" i="74" s="1"/>
  <c r="W26" i="74" s="1"/>
  <c r="T22" i="74"/>
  <c r="T24" i="74" s="1"/>
  <c r="T26" i="74" s="1"/>
  <c r="R22" i="74"/>
  <c r="R24" i="74" s="1"/>
  <c r="R26" i="74" s="1"/>
  <c r="P22" i="74"/>
  <c r="P24" i="74" s="1"/>
  <c r="P26" i="74" s="1"/>
  <c r="L22" i="74"/>
  <c r="L24" i="74" s="1"/>
  <c r="L26" i="74" s="1"/>
  <c r="J22" i="74"/>
  <c r="J24" i="74" s="1"/>
  <c r="J26" i="74" s="1"/>
  <c r="F22" i="74"/>
  <c r="F24" i="74" s="1"/>
  <c r="F26" i="74" s="1"/>
  <c r="D22" i="74"/>
  <c r="U21" i="74"/>
  <c r="S21" i="74"/>
  <c r="Q21" i="74"/>
  <c r="O21" i="74"/>
  <c r="N21" i="74"/>
  <c r="M21" i="74"/>
  <c r="K21" i="74"/>
  <c r="G21" i="74"/>
  <c r="E21" i="74"/>
  <c r="X20" i="74"/>
  <c r="X22" i="74" s="1"/>
  <c r="X24" i="74" s="1"/>
  <c r="X26" i="74" s="1"/>
  <c r="V20" i="74"/>
  <c r="V22" i="74" s="1"/>
  <c r="V24" i="74" s="1"/>
  <c r="V26" i="74" s="1"/>
  <c r="U20" i="74"/>
  <c r="S20" i="74"/>
  <c r="S22" i="74" s="1"/>
  <c r="S24" i="74" s="1"/>
  <c r="Q20" i="74"/>
  <c r="O20" i="74"/>
  <c r="O22" i="74" s="1"/>
  <c r="O24" i="74" s="1"/>
  <c r="O26" i="74" s="1"/>
  <c r="N20" i="74"/>
  <c r="N22" i="74" s="1"/>
  <c r="N24" i="74" s="1"/>
  <c r="N26" i="74" s="1"/>
  <c r="M20" i="74"/>
  <c r="K20" i="74"/>
  <c r="I20" i="74"/>
  <c r="I22" i="74" s="1"/>
  <c r="I24" i="74" s="1"/>
  <c r="H20" i="74"/>
  <c r="H22" i="74" s="1"/>
  <c r="H24" i="74" s="1"/>
  <c r="H26" i="74" s="1"/>
  <c r="G20" i="74"/>
  <c r="G22" i="74" s="1"/>
  <c r="G24" i="74" s="1"/>
  <c r="G26" i="74" s="1"/>
  <c r="E20" i="74"/>
  <c r="E22" i="74" s="1"/>
  <c r="E24" i="74" s="1"/>
  <c r="E26" i="74" s="1"/>
  <c r="K22" i="74" l="1"/>
  <c r="K24" i="74" s="1"/>
  <c r="K26" i="74" s="1"/>
  <c r="S26" i="74"/>
  <c r="Q22" i="74"/>
  <c r="Q24" i="74" s="1"/>
  <c r="Q26" i="74" s="1"/>
  <c r="M22" i="74"/>
  <c r="M24" i="74" s="1"/>
  <c r="M26" i="74" s="1"/>
  <c r="U22" i="74"/>
  <c r="U24" i="74" s="1"/>
  <c r="U26" i="74" s="1"/>
  <c r="I26" i="74"/>
  <c r="AF22" i="73"/>
  <c r="E25" i="73" l="1"/>
  <c r="G25" i="73"/>
  <c r="H25" i="73"/>
  <c r="I25" i="73"/>
  <c r="K25" i="73"/>
  <c r="M25" i="73"/>
  <c r="O25" i="73"/>
  <c r="Q25" i="73"/>
  <c r="S25" i="73"/>
  <c r="U25" i="73"/>
  <c r="AH22" i="73" l="1"/>
  <c r="AH24" i="73" s="1"/>
  <c r="AH26" i="73" s="1"/>
  <c r="AG22" i="73"/>
  <c r="AG24" i="73" s="1"/>
  <c r="AG26" i="73" s="1"/>
  <c r="AF24" i="73"/>
  <c r="AF26" i="73" s="1"/>
  <c r="AE22" i="73"/>
  <c r="AE24" i="73" s="1"/>
  <c r="AE26" i="73" s="1"/>
  <c r="AC22" i="73"/>
  <c r="AC24" i="73" s="1"/>
  <c r="AC26" i="73" s="1"/>
  <c r="AB22" i="73"/>
  <c r="AB24" i="73" s="1"/>
  <c r="AB26" i="73" s="1"/>
  <c r="AA22" i="73"/>
  <c r="AA24" i="73" s="1"/>
  <c r="AA26" i="73" s="1"/>
  <c r="Z22" i="73"/>
  <c r="Z24" i="73" s="1"/>
  <c r="Z26" i="73" s="1"/>
  <c r="Y22" i="73"/>
  <c r="Y24" i="73" s="1"/>
  <c r="W22" i="73"/>
  <c r="W24" i="73" s="1"/>
  <c r="W26" i="73" s="1"/>
  <c r="T22" i="73"/>
  <c r="R22" i="73"/>
  <c r="R24" i="73" s="1"/>
  <c r="R26" i="73" s="1"/>
  <c r="P22" i="73"/>
  <c r="P24" i="73" s="1"/>
  <c r="P26" i="73" s="1"/>
  <c r="L22" i="73"/>
  <c r="L24" i="73" s="1"/>
  <c r="L26" i="73" s="1"/>
  <c r="J22" i="73"/>
  <c r="J24" i="73" s="1"/>
  <c r="J26" i="73" s="1"/>
  <c r="F22" i="73"/>
  <c r="D22" i="73"/>
  <c r="D24" i="73" s="1"/>
  <c r="D26" i="73" s="1"/>
  <c r="AD22" i="73"/>
  <c r="AD24" i="73" s="1"/>
  <c r="AD26" i="73" s="1"/>
  <c r="U21" i="73"/>
  <c r="S21" i="73"/>
  <c r="Q21" i="73"/>
  <c r="O21" i="73"/>
  <c r="N21" i="73"/>
  <c r="M21" i="73"/>
  <c r="K21" i="73"/>
  <c r="G21" i="73"/>
  <c r="E21" i="73"/>
  <c r="X20" i="73"/>
  <c r="X22" i="73" s="1"/>
  <c r="X24" i="73" s="1"/>
  <c r="X26" i="73" s="1"/>
  <c r="V20" i="73"/>
  <c r="V22" i="73" s="1"/>
  <c r="V24" i="73" s="1"/>
  <c r="V26" i="73" s="1"/>
  <c r="U20" i="73"/>
  <c r="S20" i="73"/>
  <c r="Q20" i="73"/>
  <c r="Q22" i="73" s="1"/>
  <c r="Q24" i="73" s="1"/>
  <c r="Q26" i="73" s="1"/>
  <c r="O20" i="73"/>
  <c r="O22" i="73" s="1"/>
  <c r="O24" i="73" s="1"/>
  <c r="O26" i="73" s="1"/>
  <c r="N20" i="73"/>
  <c r="N22" i="73" s="1"/>
  <c r="N24" i="73" s="1"/>
  <c r="N26" i="73" s="1"/>
  <c r="M20" i="73"/>
  <c r="K20" i="73"/>
  <c r="I20" i="73"/>
  <c r="I22" i="73" s="1"/>
  <c r="I24" i="73" s="1"/>
  <c r="I26" i="73" s="1"/>
  <c r="H20" i="73"/>
  <c r="H22" i="73" s="1"/>
  <c r="H24" i="73" s="1"/>
  <c r="H26" i="73" s="1"/>
  <c r="G20" i="73"/>
  <c r="E20" i="73"/>
  <c r="K22" i="73" l="1"/>
  <c r="K24" i="73" s="1"/>
  <c r="K26" i="73" s="1"/>
  <c r="S22" i="73"/>
  <c r="S24" i="73" s="1"/>
  <c r="S26" i="73" s="1"/>
  <c r="M22" i="73"/>
  <c r="M24" i="73" s="1"/>
  <c r="M26" i="73" s="1"/>
  <c r="E22" i="73"/>
  <c r="E24" i="73" s="1"/>
  <c r="E26" i="73" s="1"/>
  <c r="U22" i="73"/>
  <c r="U24" i="73" s="1"/>
  <c r="U26" i="73" s="1"/>
  <c r="G22" i="73"/>
  <c r="G24" i="73" s="1"/>
  <c r="G26" i="73" s="1"/>
  <c r="Y26" i="73"/>
  <c r="F24" i="73"/>
  <c r="F26" i="73" s="1"/>
  <c r="T24" i="73"/>
  <c r="T26" i="73" s="1"/>
  <c r="AD21" i="72"/>
  <c r="AC25" i="72"/>
  <c r="AF25" i="72"/>
  <c r="F23" i="72" l="1"/>
  <c r="T23" i="72"/>
  <c r="U23" i="72" s="1"/>
  <c r="G23" i="72"/>
  <c r="U25" i="72" l="1"/>
  <c r="S25" i="72"/>
  <c r="Q25" i="72"/>
  <c r="O25" i="72"/>
  <c r="M25" i="72"/>
  <c r="K25" i="72"/>
  <c r="I25" i="72"/>
  <c r="H25" i="72"/>
  <c r="G25" i="72"/>
  <c r="E25" i="72"/>
  <c r="AB24" i="72"/>
  <c r="AB26" i="72" s="1"/>
  <c r="P24" i="72"/>
  <c r="P26" i="72" s="1"/>
  <c r="AH22" i="72"/>
  <c r="AH24" i="72" s="1"/>
  <c r="AH26" i="72" s="1"/>
  <c r="AG22" i="72"/>
  <c r="AG24" i="72" s="1"/>
  <c r="AG26" i="72" s="1"/>
  <c r="AF22" i="72"/>
  <c r="AF24" i="72" s="1"/>
  <c r="AF26" i="72" s="1"/>
  <c r="AE22" i="72"/>
  <c r="AE24" i="72" s="1"/>
  <c r="AE26" i="72" s="1"/>
  <c r="AD22" i="72"/>
  <c r="AD24" i="72" s="1"/>
  <c r="AD26" i="72" s="1"/>
  <c r="AC22" i="72"/>
  <c r="AC24" i="72" s="1"/>
  <c r="AC26" i="72" s="1"/>
  <c r="AB22" i="72"/>
  <c r="AA22" i="72"/>
  <c r="AA24" i="72" s="1"/>
  <c r="AA26" i="72" s="1"/>
  <c r="Z22" i="72"/>
  <c r="Z24" i="72" s="1"/>
  <c r="Z26" i="72" s="1"/>
  <c r="Y22" i="72"/>
  <c r="Y24" i="72" s="1"/>
  <c r="Y26" i="72" s="1"/>
  <c r="W22" i="72"/>
  <c r="W24" i="72" s="1"/>
  <c r="W26" i="72" s="1"/>
  <c r="T22" i="72"/>
  <c r="T24" i="72" s="1"/>
  <c r="T26" i="72" s="1"/>
  <c r="R22" i="72"/>
  <c r="R24" i="72" s="1"/>
  <c r="R26" i="72" s="1"/>
  <c r="P22" i="72"/>
  <c r="L22" i="72"/>
  <c r="L24" i="72" s="1"/>
  <c r="L26" i="72" s="1"/>
  <c r="K22" i="72"/>
  <c r="K24" i="72" s="1"/>
  <c r="J22" i="72"/>
  <c r="J24" i="72" s="1"/>
  <c r="J26" i="72" s="1"/>
  <c r="F22" i="72"/>
  <c r="F24" i="72" s="1"/>
  <c r="F26" i="72" s="1"/>
  <c r="E22" i="72"/>
  <c r="E24" i="72" s="1"/>
  <c r="D22" i="72"/>
  <c r="D24" i="72" s="1"/>
  <c r="D26" i="72" s="1"/>
  <c r="U21" i="72"/>
  <c r="S21" i="72"/>
  <c r="Q21" i="72"/>
  <c r="O21" i="72"/>
  <c r="N21" i="72"/>
  <c r="M21" i="72"/>
  <c r="K21" i="72"/>
  <c r="G21" i="72"/>
  <c r="E21" i="72"/>
  <c r="X20" i="72"/>
  <c r="X22" i="72" s="1"/>
  <c r="X24" i="72" s="1"/>
  <c r="X26" i="72" s="1"/>
  <c r="V20" i="72"/>
  <c r="V22" i="72" s="1"/>
  <c r="V24" i="72" s="1"/>
  <c r="V26" i="72" s="1"/>
  <c r="U20" i="72"/>
  <c r="S20" i="72"/>
  <c r="Q20" i="72"/>
  <c r="Q22" i="72" s="1"/>
  <c r="Q24" i="72" s="1"/>
  <c r="Q26" i="72" s="1"/>
  <c r="O20" i="72"/>
  <c r="O22" i="72" s="1"/>
  <c r="O24" i="72" s="1"/>
  <c r="O26" i="72" s="1"/>
  <c r="N20" i="72"/>
  <c r="N22" i="72" s="1"/>
  <c r="N24" i="72" s="1"/>
  <c r="N26" i="72" s="1"/>
  <c r="M20" i="72"/>
  <c r="K20" i="72"/>
  <c r="I20" i="72"/>
  <c r="I22" i="72" s="1"/>
  <c r="I24" i="72" s="1"/>
  <c r="H20" i="72"/>
  <c r="H22" i="72" s="1"/>
  <c r="H24" i="72" s="1"/>
  <c r="G20" i="72"/>
  <c r="E20" i="72"/>
  <c r="I26" i="72" l="1"/>
  <c r="E26" i="72"/>
  <c r="H26" i="72"/>
  <c r="M22" i="72"/>
  <c r="M24" i="72" s="1"/>
  <c r="M26" i="72" s="1"/>
  <c r="S22" i="72"/>
  <c r="S24" i="72" s="1"/>
  <c r="S26" i="72" s="1"/>
  <c r="K26" i="72"/>
  <c r="G22" i="72"/>
  <c r="G24" i="72" s="1"/>
  <c r="G26" i="72" s="1"/>
  <c r="U22" i="72"/>
  <c r="U24" i="72" s="1"/>
  <c r="U26" i="72" s="1"/>
  <c r="AF25" i="71"/>
  <c r="AC25" i="71" l="1"/>
  <c r="Y25" i="71" l="1"/>
  <c r="U25" i="71"/>
  <c r="S25" i="71"/>
  <c r="Q25" i="71"/>
  <c r="O25" i="71"/>
  <c r="M25" i="71"/>
  <c r="K25" i="71"/>
  <c r="I25" i="71"/>
  <c r="H25" i="71"/>
  <c r="G25" i="71"/>
  <c r="E25" i="71"/>
  <c r="AH22" i="71"/>
  <c r="AH24" i="71" s="1"/>
  <c r="AH26" i="71" s="1"/>
  <c r="AG22" i="71"/>
  <c r="AG24" i="71" s="1"/>
  <c r="AG26" i="71" s="1"/>
  <c r="AF22" i="71"/>
  <c r="AF24" i="71" s="1"/>
  <c r="AF26" i="71" s="1"/>
  <c r="AE22" i="71"/>
  <c r="AE24" i="71" s="1"/>
  <c r="AE26" i="71" s="1"/>
  <c r="AD22" i="71"/>
  <c r="AD24" i="71" s="1"/>
  <c r="AD26" i="71" s="1"/>
  <c r="AC22" i="71"/>
  <c r="AC24" i="71" s="1"/>
  <c r="AC26" i="71" s="1"/>
  <c r="AB22" i="71"/>
  <c r="AB24" i="71" s="1"/>
  <c r="AB26" i="71" s="1"/>
  <c r="AA22" i="71"/>
  <c r="AA24" i="71" s="1"/>
  <c r="AA26" i="71" s="1"/>
  <c r="Z22" i="71"/>
  <c r="Z24" i="71" s="1"/>
  <c r="Z26" i="71" s="1"/>
  <c r="Y22" i="71"/>
  <c r="Y24" i="71" s="1"/>
  <c r="W22" i="71"/>
  <c r="W24" i="71" s="1"/>
  <c r="W26" i="71" s="1"/>
  <c r="T22" i="71"/>
  <c r="T24" i="71" s="1"/>
  <c r="T26" i="71" s="1"/>
  <c r="R22" i="71"/>
  <c r="R24" i="71" s="1"/>
  <c r="R26" i="71" s="1"/>
  <c r="P22" i="71"/>
  <c r="P24" i="71" s="1"/>
  <c r="P26" i="71" s="1"/>
  <c r="L22" i="71"/>
  <c r="L24" i="71" s="1"/>
  <c r="L26" i="71" s="1"/>
  <c r="J22" i="71"/>
  <c r="J24" i="71" s="1"/>
  <c r="J26" i="71" s="1"/>
  <c r="F22" i="71"/>
  <c r="F24" i="71" s="1"/>
  <c r="F26" i="71" s="1"/>
  <c r="E22" i="71"/>
  <c r="E24" i="71" s="1"/>
  <c r="D22" i="71"/>
  <c r="D24" i="71" s="1"/>
  <c r="D26" i="71" s="1"/>
  <c r="U21" i="71"/>
  <c r="S21" i="71"/>
  <c r="Q21" i="71"/>
  <c r="O21" i="71"/>
  <c r="N21" i="71"/>
  <c r="M21" i="71"/>
  <c r="K21" i="71"/>
  <c r="G21" i="71"/>
  <c r="E21" i="71"/>
  <c r="X20" i="71"/>
  <c r="X22" i="71" s="1"/>
  <c r="X24" i="71" s="1"/>
  <c r="X26" i="71" s="1"/>
  <c r="V20" i="71"/>
  <c r="V22" i="71" s="1"/>
  <c r="V24" i="71" s="1"/>
  <c r="V26" i="71" s="1"/>
  <c r="U20" i="71"/>
  <c r="S20" i="71"/>
  <c r="Q20" i="71"/>
  <c r="O20" i="71"/>
  <c r="O22" i="71" s="1"/>
  <c r="O24" i="71" s="1"/>
  <c r="O26" i="71" s="1"/>
  <c r="N20" i="71"/>
  <c r="N22" i="71" s="1"/>
  <c r="N24" i="71" s="1"/>
  <c r="N26" i="71" s="1"/>
  <c r="M20" i="71"/>
  <c r="K20" i="71"/>
  <c r="I20" i="71"/>
  <c r="I22" i="71" s="1"/>
  <c r="I24" i="71" s="1"/>
  <c r="H20" i="71"/>
  <c r="H22" i="71" s="1"/>
  <c r="H24" i="71" s="1"/>
  <c r="G20" i="71"/>
  <c r="E20" i="71"/>
  <c r="S22" i="71" l="1"/>
  <c r="S24" i="71" s="1"/>
  <c r="S26" i="71" s="1"/>
  <c r="E26" i="71"/>
  <c r="H26" i="71"/>
  <c r="K22" i="71"/>
  <c r="K24" i="71" s="1"/>
  <c r="K26" i="71" s="1"/>
  <c r="I26" i="71"/>
  <c r="M22" i="71"/>
  <c r="M24" i="71" s="1"/>
  <c r="M26" i="71" s="1"/>
  <c r="Q22" i="71"/>
  <c r="Q24" i="71" s="1"/>
  <c r="Q26" i="71" s="1"/>
  <c r="Y26" i="71"/>
  <c r="G22" i="71"/>
  <c r="G24" i="71" s="1"/>
  <c r="G26" i="71" s="1"/>
  <c r="U22" i="71"/>
  <c r="U24" i="71" s="1"/>
  <c r="U26" i="71" s="1"/>
  <c r="AF25" i="70"/>
  <c r="AC25" i="70"/>
  <c r="Y25" i="70" l="1"/>
  <c r="U25" i="70"/>
  <c r="S25" i="70"/>
  <c r="Q25" i="70"/>
  <c r="O25" i="70"/>
  <c r="M25" i="70"/>
  <c r="K25" i="70"/>
  <c r="I25" i="70"/>
  <c r="H25" i="70"/>
  <c r="G25" i="70"/>
  <c r="E25" i="70"/>
  <c r="AE24" i="70"/>
  <c r="AE26" i="70" s="1"/>
  <c r="AH22" i="70"/>
  <c r="AH24" i="70" s="1"/>
  <c r="AH26" i="70" s="1"/>
  <c r="AG22" i="70"/>
  <c r="AG24" i="70" s="1"/>
  <c r="AG26" i="70" s="1"/>
  <c r="AF22" i="70"/>
  <c r="AF24" i="70" s="1"/>
  <c r="AF26" i="70" s="1"/>
  <c r="AE22" i="70"/>
  <c r="AD22" i="70"/>
  <c r="AD24" i="70" s="1"/>
  <c r="AD26" i="70" s="1"/>
  <c r="AC22" i="70"/>
  <c r="AC24" i="70" s="1"/>
  <c r="AC26" i="70" s="1"/>
  <c r="AB22" i="70"/>
  <c r="AB24" i="70" s="1"/>
  <c r="AB26" i="70" s="1"/>
  <c r="AA22" i="70"/>
  <c r="AA24" i="70" s="1"/>
  <c r="AA26" i="70" s="1"/>
  <c r="Z22" i="70"/>
  <c r="Z24" i="70" s="1"/>
  <c r="Z26" i="70" s="1"/>
  <c r="Y22" i="70"/>
  <c r="Y24" i="70" s="1"/>
  <c r="Y26" i="70" s="1"/>
  <c r="W22" i="70"/>
  <c r="W24" i="70" s="1"/>
  <c r="W26" i="70" s="1"/>
  <c r="V22" i="70"/>
  <c r="V24" i="70" s="1"/>
  <c r="V26" i="70" s="1"/>
  <c r="T22" i="70"/>
  <c r="T24" i="70" s="1"/>
  <c r="T26" i="70" s="1"/>
  <c r="R22" i="70"/>
  <c r="R24" i="70" s="1"/>
  <c r="R26" i="70" s="1"/>
  <c r="P22" i="70"/>
  <c r="P24" i="70" s="1"/>
  <c r="P26" i="70" s="1"/>
  <c r="L22" i="70"/>
  <c r="L24" i="70" s="1"/>
  <c r="L26" i="70" s="1"/>
  <c r="J22" i="70"/>
  <c r="J24" i="70" s="1"/>
  <c r="J26" i="70" s="1"/>
  <c r="F22" i="70"/>
  <c r="F24" i="70" s="1"/>
  <c r="F26" i="70" s="1"/>
  <c r="D22" i="70"/>
  <c r="D24" i="70" s="1"/>
  <c r="D26" i="70" s="1"/>
  <c r="U21" i="70"/>
  <c r="S21" i="70"/>
  <c r="Q21" i="70"/>
  <c r="O21" i="70"/>
  <c r="N21" i="70"/>
  <c r="M21" i="70"/>
  <c r="K21" i="70"/>
  <c r="G21" i="70"/>
  <c r="E21" i="70"/>
  <c r="X20" i="70"/>
  <c r="X22" i="70" s="1"/>
  <c r="X24" i="70" s="1"/>
  <c r="X26" i="70" s="1"/>
  <c r="V20" i="70"/>
  <c r="U20" i="70"/>
  <c r="S20" i="70"/>
  <c r="Q20" i="70"/>
  <c r="O20" i="70"/>
  <c r="O22" i="70" s="1"/>
  <c r="O24" i="70" s="1"/>
  <c r="O26" i="70" s="1"/>
  <c r="N20" i="70"/>
  <c r="N22" i="70" s="1"/>
  <c r="N24" i="70" s="1"/>
  <c r="N26" i="70" s="1"/>
  <c r="M20" i="70"/>
  <c r="M22" i="70" s="1"/>
  <c r="M24" i="70" s="1"/>
  <c r="M26" i="70" s="1"/>
  <c r="K20" i="70"/>
  <c r="K22" i="70" s="1"/>
  <c r="K24" i="70" s="1"/>
  <c r="I20" i="70"/>
  <c r="I22" i="70" s="1"/>
  <c r="I24" i="70" s="1"/>
  <c r="H20" i="70"/>
  <c r="H22" i="70" s="1"/>
  <c r="H24" i="70" s="1"/>
  <c r="G20" i="70"/>
  <c r="G22" i="70" s="1"/>
  <c r="G24" i="70" s="1"/>
  <c r="E20" i="70"/>
  <c r="E22" i="70" s="1"/>
  <c r="E24" i="70" s="1"/>
  <c r="E26" i="70" l="1"/>
  <c r="H26" i="70"/>
  <c r="S22" i="70"/>
  <c r="S24" i="70" s="1"/>
  <c r="S26" i="70" s="1"/>
  <c r="I26" i="70"/>
  <c r="Q22" i="70"/>
  <c r="Q24" i="70" s="1"/>
  <c r="Q26" i="70" s="1"/>
  <c r="K26" i="70"/>
  <c r="G26" i="70"/>
  <c r="U22" i="70"/>
  <c r="U24" i="70" s="1"/>
  <c r="U26" i="70" s="1"/>
  <c r="AC25" i="69"/>
  <c r="AF25" i="69" l="1"/>
  <c r="Y25" i="69" l="1"/>
  <c r="U25" i="69"/>
  <c r="S25" i="69"/>
  <c r="Q25" i="69"/>
  <c r="O25" i="69"/>
  <c r="M25" i="69"/>
  <c r="K25" i="69"/>
  <c r="I25" i="69"/>
  <c r="H25" i="69"/>
  <c r="G25" i="69"/>
  <c r="E25" i="69"/>
  <c r="AH22" i="69"/>
  <c r="AH24" i="69" s="1"/>
  <c r="AH26" i="69" s="1"/>
  <c r="AG22" i="69"/>
  <c r="AG24" i="69" s="1"/>
  <c r="AG26" i="69" s="1"/>
  <c r="AF22" i="69"/>
  <c r="AF24" i="69" s="1"/>
  <c r="AF26" i="69" s="1"/>
  <c r="AE22" i="69"/>
  <c r="AE24" i="69" s="1"/>
  <c r="AE26" i="69" s="1"/>
  <c r="AD22" i="69"/>
  <c r="AD24" i="69" s="1"/>
  <c r="AD26" i="69" s="1"/>
  <c r="AC22" i="69"/>
  <c r="AC24" i="69" s="1"/>
  <c r="AC26" i="69" s="1"/>
  <c r="AB22" i="69"/>
  <c r="AB24" i="69" s="1"/>
  <c r="AB26" i="69" s="1"/>
  <c r="AA22" i="69"/>
  <c r="AA24" i="69" s="1"/>
  <c r="AA26" i="69" s="1"/>
  <c r="Z22" i="69"/>
  <c r="Z24" i="69" s="1"/>
  <c r="Z26" i="69" s="1"/>
  <c r="Y22" i="69"/>
  <c r="Y24" i="69" s="1"/>
  <c r="W22" i="69"/>
  <c r="W24" i="69" s="1"/>
  <c r="W26" i="69" s="1"/>
  <c r="T22" i="69"/>
  <c r="T24" i="69" s="1"/>
  <c r="T26" i="69" s="1"/>
  <c r="S22" i="69"/>
  <c r="S24" i="69" s="1"/>
  <c r="S26" i="69" s="1"/>
  <c r="R22" i="69"/>
  <c r="R24" i="69" s="1"/>
  <c r="R26" i="69" s="1"/>
  <c r="P22" i="69"/>
  <c r="P24" i="69" s="1"/>
  <c r="P26" i="69" s="1"/>
  <c r="L22" i="69"/>
  <c r="L24" i="69" s="1"/>
  <c r="L26" i="69" s="1"/>
  <c r="J22" i="69"/>
  <c r="J24" i="69" s="1"/>
  <c r="J26" i="69" s="1"/>
  <c r="I22" i="69"/>
  <c r="I24" i="69" s="1"/>
  <c r="F22" i="69"/>
  <c r="F24" i="69" s="1"/>
  <c r="F26" i="69" s="1"/>
  <c r="D22" i="69"/>
  <c r="D24" i="69" s="1"/>
  <c r="D26" i="69" s="1"/>
  <c r="U21" i="69"/>
  <c r="S21" i="69"/>
  <c r="Q21" i="69"/>
  <c r="O21" i="69"/>
  <c r="N21" i="69"/>
  <c r="M21" i="69"/>
  <c r="K21" i="69"/>
  <c r="G21" i="69"/>
  <c r="E21" i="69"/>
  <c r="X20" i="69"/>
  <c r="X22" i="69" s="1"/>
  <c r="X24" i="69" s="1"/>
  <c r="X26" i="69" s="1"/>
  <c r="V20" i="69"/>
  <c r="V22" i="69" s="1"/>
  <c r="V24" i="69" s="1"/>
  <c r="V26" i="69" s="1"/>
  <c r="U20" i="69"/>
  <c r="S20" i="69"/>
  <c r="Q20" i="69"/>
  <c r="O20" i="69"/>
  <c r="O22" i="69" s="1"/>
  <c r="O24" i="69" s="1"/>
  <c r="O26" i="69" s="1"/>
  <c r="N20" i="69"/>
  <c r="N22" i="69" s="1"/>
  <c r="N24" i="69" s="1"/>
  <c r="N26" i="69" s="1"/>
  <c r="M20" i="69"/>
  <c r="M22" i="69" s="1"/>
  <c r="M24" i="69" s="1"/>
  <c r="M26" i="69" s="1"/>
  <c r="K20" i="69"/>
  <c r="I20" i="69"/>
  <c r="H20" i="69"/>
  <c r="H22" i="69" s="1"/>
  <c r="H24" i="69" s="1"/>
  <c r="G20" i="69"/>
  <c r="E20" i="69"/>
  <c r="E22" i="69" s="1"/>
  <c r="E24" i="69" s="1"/>
  <c r="Q22" i="69" l="1"/>
  <c r="Q24" i="69" s="1"/>
  <c r="Q26" i="69" s="1"/>
  <c r="E26" i="69"/>
  <c r="K22" i="69"/>
  <c r="K24" i="69" s="1"/>
  <c r="K26" i="69" s="1"/>
  <c r="I26" i="69"/>
  <c r="H26" i="69"/>
  <c r="G22" i="69"/>
  <c r="G24" i="69" s="1"/>
  <c r="G26" i="69" s="1"/>
  <c r="U22" i="69"/>
  <c r="U24" i="69" s="1"/>
  <c r="U26" i="69" s="1"/>
  <c r="Y26" i="69"/>
  <c r="F21" i="68"/>
  <c r="F23" i="68"/>
  <c r="AF25" i="68" l="1"/>
  <c r="AC25" i="68"/>
  <c r="AF23" i="68" l="1"/>
  <c r="AC23" i="68"/>
  <c r="T23" i="68"/>
  <c r="Y25" i="68" l="1"/>
  <c r="U25" i="68"/>
  <c r="S25" i="68"/>
  <c r="Q25" i="68"/>
  <c r="O25" i="68"/>
  <c r="M25" i="68"/>
  <c r="K25" i="68"/>
  <c r="I25" i="68"/>
  <c r="H25" i="68"/>
  <c r="G25" i="68"/>
  <c r="E25" i="68"/>
  <c r="L24" i="68"/>
  <c r="L26" i="68" s="1"/>
  <c r="J24" i="68"/>
  <c r="J26" i="68" s="1"/>
  <c r="U23" i="68"/>
  <c r="G23" i="68"/>
  <c r="AH22" i="68"/>
  <c r="AH24" i="68" s="1"/>
  <c r="AH26" i="68" s="1"/>
  <c r="AG22" i="68"/>
  <c r="AG24" i="68" s="1"/>
  <c r="AG26" i="68" s="1"/>
  <c r="AF22" i="68"/>
  <c r="AF24" i="68" s="1"/>
  <c r="AF26" i="68" s="1"/>
  <c r="AE22" i="68"/>
  <c r="AE24" i="68" s="1"/>
  <c r="AE26" i="68" s="1"/>
  <c r="AD22" i="68"/>
  <c r="AD24" i="68" s="1"/>
  <c r="AD26" i="68" s="1"/>
  <c r="AC22" i="68"/>
  <c r="AC24" i="68" s="1"/>
  <c r="AC26" i="68" s="1"/>
  <c r="AB22" i="68"/>
  <c r="AB24" i="68" s="1"/>
  <c r="AB26" i="68" s="1"/>
  <c r="AA22" i="68"/>
  <c r="AA24" i="68" s="1"/>
  <c r="AA26" i="68" s="1"/>
  <c r="Z22" i="68"/>
  <c r="Z24" i="68" s="1"/>
  <c r="Z26" i="68" s="1"/>
  <c r="Y22" i="68"/>
  <c r="Y24" i="68" s="1"/>
  <c r="W22" i="68"/>
  <c r="W24" i="68" s="1"/>
  <c r="W26" i="68" s="1"/>
  <c r="V22" i="68"/>
  <c r="V24" i="68" s="1"/>
  <c r="V26" i="68" s="1"/>
  <c r="T22" i="68"/>
  <c r="R22" i="68"/>
  <c r="R24" i="68" s="1"/>
  <c r="R26" i="68" s="1"/>
  <c r="P22" i="68"/>
  <c r="P24" i="68" s="1"/>
  <c r="P26" i="68" s="1"/>
  <c r="N22" i="68"/>
  <c r="N24" i="68" s="1"/>
  <c r="N26" i="68" s="1"/>
  <c r="M22" i="68"/>
  <c r="M24" i="68" s="1"/>
  <c r="L22" i="68"/>
  <c r="J22" i="68"/>
  <c r="F22" i="68"/>
  <c r="D22" i="68"/>
  <c r="D24" i="68" s="1"/>
  <c r="D26" i="68" s="1"/>
  <c r="U21" i="68"/>
  <c r="S21" i="68"/>
  <c r="Q21" i="68"/>
  <c r="O21" i="68"/>
  <c r="N21" i="68"/>
  <c r="M21" i="68"/>
  <c r="K21" i="68"/>
  <c r="G21" i="68"/>
  <c r="E21" i="68"/>
  <c r="X20" i="68"/>
  <c r="X22" i="68" s="1"/>
  <c r="X24" i="68" s="1"/>
  <c r="X26" i="68" s="1"/>
  <c r="V20" i="68"/>
  <c r="U20" i="68"/>
  <c r="S20" i="68"/>
  <c r="Q20" i="68"/>
  <c r="O20" i="68"/>
  <c r="O22" i="68" s="1"/>
  <c r="O24" i="68" s="1"/>
  <c r="O26" i="68" s="1"/>
  <c r="N20" i="68"/>
  <c r="M20" i="68"/>
  <c r="K20" i="68"/>
  <c r="I20" i="68"/>
  <c r="I22" i="68" s="1"/>
  <c r="I24" i="68" s="1"/>
  <c r="H20" i="68"/>
  <c r="H22" i="68" s="1"/>
  <c r="H24" i="68" s="1"/>
  <c r="G20" i="68"/>
  <c r="E20" i="68"/>
  <c r="S22" i="68" l="1"/>
  <c r="S24" i="68" s="1"/>
  <c r="S26" i="68" s="1"/>
  <c r="H26" i="68"/>
  <c r="Q22" i="68"/>
  <c r="Q24" i="68" s="1"/>
  <c r="Q26" i="68" s="1"/>
  <c r="M26" i="68"/>
  <c r="K22" i="68"/>
  <c r="K24" i="68" s="1"/>
  <c r="K26" i="68" s="1"/>
  <c r="E22" i="68"/>
  <c r="E24" i="68" s="1"/>
  <c r="E26" i="68" s="1"/>
  <c r="I26" i="68"/>
  <c r="G22" i="68"/>
  <c r="G24" i="68" s="1"/>
  <c r="G26" i="68" s="1"/>
  <c r="U22" i="68"/>
  <c r="U24" i="68" s="1"/>
  <c r="U26" i="68" s="1"/>
  <c r="Y26" i="68"/>
  <c r="F24" i="68"/>
  <c r="F26" i="68" s="1"/>
  <c r="T24" i="68"/>
  <c r="T26" i="68" s="1"/>
  <c r="AC25" i="67"/>
  <c r="AF25" i="67"/>
  <c r="T23" i="67" l="1"/>
  <c r="F23" i="67"/>
  <c r="G23" i="67" s="1"/>
  <c r="U23" i="67"/>
  <c r="Y25" i="67"/>
  <c r="U25" i="67"/>
  <c r="S25" i="67"/>
  <c r="Q25" i="67"/>
  <c r="O25" i="67"/>
  <c r="M25" i="67"/>
  <c r="K25" i="67"/>
  <c r="I25" i="67"/>
  <c r="H25" i="67"/>
  <c r="G25" i="67"/>
  <c r="E25" i="67"/>
  <c r="AH22" i="67"/>
  <c r="AH24" i="67" s="1"/>
  <c r="AH26" i="67" s="1"/>
  <c r="AG22" i="67"/>
  <c r="AG24" i="67" s="1"/>
  <c r="AG26" i="67" s="1"/>
  <c r="AF22" i="67"/>
  <c r="AF24" i="67" s="1"/>
  <c r="AF26" i="67" s="1"/>
  <c r="AE22" i="67"/>
  <c r="AE24" i="67" s="1"/>
  <c r="AE26" i="67" s="1"/>
  <c r="AD22" i="67"/>
  <c r="AD24" i="67" s="1"/>
  <c r="AD26" i="67" s="1"/>
  <c r="AC22" i="67"/>
  <c r="AC24" i="67" s="1"/>
  <c r="AC26" i="67" s="1"/>
  <c r="AB22" i="67"/>
  <c r="AB24" i="67" s="1"/>
  <c r="AB26" i="67" s="1"/>
  <c r="AA22" i="67"/>
  <c r="AA24" i="67" s="1"/>
  <c r="AA26" i="67" s="1"/>
  <c r="Z22" i="67"/>
  <c r="Z24" i="67" s="1"/>
  <c r="Z26" i="67" s="1"/>
  <c r="W22" i="67"/>
  <c r="W24" i="67" s="1"/>
  <c r="W26" i="67" s="1"/>
  <c r="T22" i="67"/>
  <c r="R22" i="67"/>
  <c r="R24" i="67" s="1"/>
  <c r="R26" i="67" s="1"/>
  <c r="P22" i="67"/>
  <c r="P24" i="67" s="1"/>
  <c r="P26" i="67" s="1"/>
  <c r="O22" i="67"/>
  <c r="O24" i="67" s="1"/>
  <c r="N22" i="67"/>
  <c r="N24" i="67" s="1"/>
  <c r="N26" i="67" s="1"/>
  <c r="L22" i="67"/>
  <c r="L24" i="67" s="1"/>
  <c r="L26" i="67" s="1"/>
  <c r="J22" i="67"/>
  <c r="J24" i="67" s="1"/>
  <c r="J26" i="67" s="1"/>
  <c r="H22" i="67"/>
  <c r="H24" i="67" s="1"/>
  <c r="F22" i="67"/>
  <c r="D22" i="67"/>
  <c r="D24" i="67" s="1"/>
  <c r="D26" i="67" s="1"/>
  <c r="Y22" i="67"/>
  <c r="Y24" i="67" s="1"/>
  <c r="Y26" i="67" s="1"/>
  <c r="U21" i="67"/>
  <c r="S21" i="67"/>
  <c r="Q21" i="67"/>
  <c r="O21" i="67"/>
  <c r="N21" i="67"/>
  <c r="M21" i="67"/>
  <c r="K21" i="67"/>
  <c r="G21" i="67"/>
  <c r="E21" i="67"/>
  <c r="X20" i="67"/>
  <c r="X22" i="67" s="1"/>
  <c r="X24" i="67" s="1"/>
  <c r="X26" i="67" s="1"/>
  <c r="V20" i="67"/>
  <c r="V22" i="67" s="1"/>
  <c r="V24" i="67" s="1"/>
  <c r="V26" i="67" s="1"/>
  <c r="U20" i="67"/>
  <c r="S20" i="67"/>
  <c r="S22" i="67" s="1"/>
  <c r="S24" i="67" s="1"/>
  <c r="S26" i="67" s="1"/>
  <c r="Q20" i="67"/>
  <c r="O20" i="67"/>
  <c r="N20" i="67"/>
  <c r="M20" i="67"/>
  <c r="K20" i="67"/>
  <c r="I20" i="67"/>
  <c r="I22" i="67" s="1"/>
  <c r="I24" i="67" s="1"/>
  <c r="H20" i="67"/>
  <c r="G20" i="67"/>
  <c r="E20" i="67"/>
  <c r="I26" i="67" l="1"/>
  <c r="H26" i="67"/>
  <c r="O26" i="67"/>
  <c r="K22" i="67"/>
  <c r="K24" i="67" s="1"/>
  <c r="K26" i="67" s="1"/>
  <c r="Q22" i="67"/>
  <c r="Q24" i="67" s="1"/>
  <c r="Q26" i="67" s="1"/>
  <c r="M22" i="67"/>
  <c r="M24" i="67" s="1"/>
  <c r="M26" i="67" s="1"/>
  <c r="E22" i="67"/>
  <c r="E24" i="67" s="1"/>
  <c r="E26" i="67" s="1"/>
  <c r="U22" i="67"/>
  <c r="U24" i="67" s="1"/>
  <c r="U26" i="67" s="1"/>
  <c r="G22" i="67"/>
  <c r="G24" i="67" s="1"/>
  <c r="G26" i="67" s="1"/>
  <c r="F24" i="67"/>
  <c r="F26" i="67" s="1"/>
  <c r="T24" i="67"/>
  <c r="T26" i="67" s="1"/>
  <c r="Y21" i="66"/>
  <c r="AF25" i="66" l="1"/>
  <c r="AC25" i="66"/>
  <c r="Y25" i="66" l="1"/>
  <c r="U25" i="66"/>
  <c r="S25" i="66"/>
  <c r="Q25" i="66"/>
  <c r="O25" i="66"/>
  <c r="M25" i="66"/>
  <c r="K25" i="66"/>
  <c r="I25" i="66"/>
  <c r="H25" i="66"/>
  <c r="G25" i="66"/>
  <c r="E25" i="66"/>
  <c r="P24" i="66"/>
  <c r="P26" i="66" s="1"/>
  <c r="AH22" i="66"/>
  <c r="AH24" i="66" s="1"/>
  <c r="AH26" i="66" s="1"/>
  <c r="AG22" i="66"/>
  <c r="AG24" i="66" s="1"/>
  <c r="AG26" i="66" s="1"/>
  <c r="AF22" i="66"/>
  <c r="AF24" i="66" s="1"/>
  <c r="AF26" i="66" s="1"/>
  <c r="AE22" i="66"/>
  <c r="AE24" i="66" s="1"/>
  <c r="AE26" i="66" s="1"/>
  <c r="AD22" i="66"/>
  <c r="AD24" i="66" s="1"/>
  <c r="AD26" i="66" s="1"/>
  <c r="AC22" i="66"/>
  <c r="AC24" i="66" s="1"/>
  <c r="AC26" i="66" s="1"/>
  <c r="AB22" i="66"/>
  <c r="AB24" i="66" s="1"/>
  <c r="AB26" i="66" s="1"/>
  <c r="AA22" i="66"/>
  <c r="AA24" i="66" s="1"/>
  <c r="AA26" i="66" s="1"/>
  <c r="Z22" i="66"/>
  <c r="Z24" i="66" s="1"/>
  <c r="Z26" i="66" s="1"/>
  <c r="Y22" i="66"/>
  <c r="Y24" i="66" s="1"/>
  <c r="W22" i="66"/>
  <c r="W24" i="66" s="1"/>
  <c r="W26" i="66" s="1"/>
  <c r="T22" i="66"/>
  <c r="R22" i="66"/>
  <c r="R24" i="66" s="1"/>
  <c r="R26" i="66" s="1"/>
  <c r="P22" i="66"/>
  <c r="L22" i="66"/>
  <c r="L24" i="66" s="1"/>
  <c r="L26" i="66" s="1"/>
  <c r="J22" i="66"/>
  <c r="J24" i="66" s="1"/>
  <c r="J26" i="66" s="1"/>
  <c r="F22" i="66"/>
  <c r="E22" i="66"/>
  <c r="E24" i="66" s="1"/>
  <c r="D22" i="66"/>
  <c r="D24" i="66" s="1"/>
  <c r="D26" i="66" s="1"/>
  <c r="U21" i="66"/>
  <c r="S21" i="66"/>
  <c r="Q21" i="66"/>
  <c r="O21" i="66"/>
  <c r="N21" i="66"/>
  <c r="M21" i="66"/>
  <c r="K21" i="66"/>
  <c r="K22" i="66" s="1"/>
  <c r="K24" i="66" s="1"/>
  <c r="G21" i="66"/>
  <c r="E21" i="66"/>
  <c r="X20" i="66"/>
  <c r="X22" i="66" s="1"/>
  <c r="X24" i="66" s="1"/>
  <c r="X26" i="66" s="1"/>
  <c r="V20" i="66"/>
  <c r="V22" i="66" s="1"/>
  <c r="V24" i="66" s="1"/>
  <c r="V26" i="66" s="1"/>
  <c r="U20" i="66"/>
  <c r="S20" i="66"/>
  <c r="S22" i="66" s="1"/>
  <c r="S24" i="66" s="1"/>
  <c r="S26" i="66" s="1"/>
  <c r="Q20" i="66"/>
  <c r="Q22" i="66" s="1"/>
  <c r="Q24" i="66" s="1"/>
  <c r="Q26" i="66" s="1"/>
  <c r="O20" i="66"/>
  <c r="O22" i="66" s="1"/>
  <c r="O24" i="66" s="1"/>
  <c r="N20" i="66"/>
  <c r="N22" i="66" s="1"/>
  <c r="N24" i="66" s="1"/>
  <c r="N26" i="66" s="1"/>
  <c r="M20" i="66"/>
  <c r="K20" i="66"/>
  <c r="I20" i="66"/>
  <c r="I22" i="66" s="1"/>
  <c r="I24" i="66" s="1"/>
  <c r="H20" i="66"/>
  <c r="H22" i="66" s="1"/>
  <c r="H24" i="66" s="1"/>
  <c r="G20" i="66"/>
  <c r="E20" i="66"/>
  <c r="H26" i="66" l="1"/>
  <c r="E26" i="66"/>
  <c r="K26" i="66"/>
  <c r="M22" i="66"/>
  <c r="M24" i="66" s="1"/>
  <c r="M26" i="66" s="1"/>
  <c r="O26" i="66"/>
  <c r="I26" i="66"/>
  <c r="G22" i="66"/>
  <c r="G24" i="66" s="1"/>
  <c r="U22" i="66"/>
  <c r="U24" i="66" s="1"/>
  <c r="U26" i="66" s="1"/>
  <c r="Y26" i="66"/>
  <c r="G26" i="66"/>
  <c r="T24" i="66"/>
  <c r="T26" i="66" s="1"/>
  <c r="F24" i="66"/>
  <c r="F26" i="66" s="1"/>
  <c r="AF25" i="65"/>
  <c r="AC25" i="65"/>
  <c r="T23" i="65" l="1"/>
  <c r="U23" i="65" s="1"/>
  <c r="F23" i="65"/>
  <c r="G23" i="65" s="1"/>
  <c r="Y25" i="65"/>
  <c r="U25" i="65"/>
  <c r="S25" i="65"/>
  <c r="Q25" i="65"/>
  <c r="O25" i="65"/>
  <c r="M25" i="65"/>
  <c r="K25" i="65"/>
  <c r="I25" i="65"/>
  <c r="H25" i="65"/>
  <c r="G25" i="65"/>
  <c r="E25" i="65"/>
  <c r="AH22" i="65"/>
  <c r="AH24" i="65" s="1"/>
  <c r="AH26" i="65" s="1"/>
  <c r="AG22" i="65"/>
  <c r="AG24" i="65" s="1"/>
  <c r="AG26" i="65" s="1"/>
  <c r="AF22" i="65"/>
  <c r="AF24" i="65" s="1"/>
  <c r="AF26" i="65" s="1"/>
  <c r="AE22" i="65"/>
  <c r="AE24" i="65" s="1"/>
  <c r="AE26" i="65" s="1"/>
  <c r="AD22" i="65"/>
  <c r="AD24" i="65" s="1"/>
  <c r="AD26" i="65" s="1"/>
  <c r="AC22" i="65"/>
  <c r="AC24" i="65" s="1"/>
  <c r="AC26" i="65" s="1"/>
  <c r="AB22" i="65"/>
  <c r="AB24" i="65" s="1"/>
  <c r="AB26" i="65" s="1"/>
  <c r="AA22" i="65"/>
  <c r="AA24" i="65" s="1"/>
  <c r="AA26" i="65" s="1"/>
  <c r="Z22" i="65"/>
  <c r="Z24" i="65" s="1"/>
  <c r="Z26" i="65" s="1"/>
  <c r="Y22" i="65"/>
  <c r="Y24" i="65" s="1"/>
  <c r="W22" i="65"/>
  <c r="W24" i="65" s="1"/>
  <c r="W26" i="65" s="1"/>
  <c r="T22" i="65"/>
  <c r="R22" i="65"/>
  <c r="R24" i="65" s="1"/>
  <c r="R26" i="65" s="1"/>
  <c r="P22" i="65"/>
  <c r="P24" i="65" s="1"/>
  <c r="P26" i="65" s="1"/>
  <c r="L22" i="65"/>
  <c r="L24" i="65" s="1"/>
  <c r="L26" i="65" s="1"/>
  <c r="J22" i="65"/>
  <c r="J24" i="65" s="1"/>
  <c r="J26" i="65" s="1"/>
  <c r="F22" i="65"/>
  <c r="D22" i="65"/>
  <c r="D24" i="65" s="1"/>
  <c r="D26" i="65" s="1"/>
  <c r="U21" i="65"/>
  <c r="S21" i="65"/>
  <c r="Q21" i="65"/>
  <c r="O21" i="65"/>
  <c r="N21" i="65"/>
  <c r="M21" i="65"/>
  <c r="K21" i="65"/>
  <c r="G21" i="65"/>
  <c r="E21" i="65"/>
  <c r="X20" i="65"/>
  <c r="X22" i="65" s="1"/>
  <c r="X24" i="65" s="1"/>
  <c r="X26" i="65" s="1"/>
  <c r="V20" i="65"/>
  <c r="V22" i="65" s="1"/>
  <c r="V24" i="65" s="1"/>
  <c r="V26" i="65" s="1"/>
  <c r="U20" i="65"/>
  <c r="S20" i="65"/>
  <c r="Q20" i="65"/>
  <c r="O20" i="65"/>
  <c r="O22" i="65" s="1"/>
  <c r="O24" i="65" s="1"/>
  <c r="O26" i="65" s="1"/>
  <c r="N20" i="65"/>
  <c r="N22" i="65" s="1"/>
  <c r="N24" i="65" s="1"/>
  <c r="N26" i="65" s="1"/>
  <c r="M20" i="65"/>
  <c r="K20" i="65"/>
  <c r="I20" i="65"/>
  <c r="I22" i="65" s="1"/>
  <c r="I24" i="65" s="1"/>
  <c r="H20" i="65"/>
  <c r="H22" i="65" s="1"/>
  <c r="H24" i="65" s="1"/>
  <c r="G20" i="65"/>
  <c r="G22" i="65" s="1"/>
  <c r="E20" i="65"/>
  <c r="I26" i="65" l="1"/>
  <c r="E22" i="65"/>
  <c r="E24" i="65" s="1"/>
  <c r="E26" i="65" s="1"/>
  <c r="H26" i="65"/>
  <c r="M22" i="65"/>
  <c r="M24" i="65" s="1"/>
  <c r="M26" i="65" s="1"/>
  <c r="K22" i="65"/>
  <c r="K24" i="65" s="1"/>
  <c r="K26" i="65" s="1"/>
  <c r="Q22" i="65"/>
  <c r="Q24" i="65" s="1"/>
  <c r="Q26" i="65" s="1"/>
  <c r="S22" i="65"/>
  <c r="S24" i="65" s="1"/>
  <c r="S26" i="65" s="1"/>
  <c r="U22" i="65"/>
  <c r="U24" i="65" s="1"/>
  <c r="U26" i="65" s="1"/>
  <c r="Y26" i="65"/>
  <c r="T24" i="65"/>
  <c r="T26" i="65" s="1"/>
  <c r="F24" i="65"/>
  <c r="F26" i="65" s="1"/>
  <c r="G24" i="65"/>
  <c r="G26" i="65" s="1"/>
  <c r="AF25" i="64"/>
  <c r="AC25" i="64"/>
  <c r="Y25" i="64" l="1"/>
  <c r="U25" i="64"/>
  <c r="S25" i="64"/>
  <c r="Q25" i="64"/>
  <c r="O25" i="64"/>
  <c r="M25" i="64"/>
  <c r="K25" i="64"/>
  <c r="I25" i="64"/>
  <c r="H25" i="64"/>
  <c r="G25" i="64"/>
  <c r="E25" i="64"/>
  <c r="AG22" i="64"/>
  <c r="AG24" i="64" s="1"/>
  <c r="AG26" i="64" s="1"/>
  <c r="AE22" i="64"/>
  <c r="AE24" i="64" s="1"/>
  <c r="AE26" i="64" s="1"/>
  <c r="AD22" i="64"/>
  <c r="AD24" i="64" s="1"/>
  <c r="AD26" i="64" s="1"/>
  <c r="AC22" i="64"/>
  <c r="AC24" i="64" s="1"/>
  <c r="AC26" i="64" s="1"/>
  <c r="AB22" i="64"/>
  <c r="AB24" i="64" s="1"/>
  <c r="AB26" i="64" s="1"/>
  <c r="W22" i="64"/>
  <c r="W24" i="64" s="1"/>
  <c r="W26" i="64" s="1"/>
  <c r="R22" i="64"/>
  <c r="R24" i="64" s="1"/>
  <c r="R26" i="64" s="1"/>
  <c r="P22" i="64"/>
  <c r="P24" i="64" s="1"/>
  <c r="P26" i="64" s="1"/>
  <c r="L22" i="64"/>
  <c r="L24" i="64" s="1"/>
  <c r="L26" i="64" s="1"/>
  <c r="J22" i="64"/>
  <c r="J24" i="64" s="1"/>
  <c r="J26" i="64" s="1"/>
  <c r="F22" i="64"/>
  <c r="F24" i="64" s="1"/>
  <c r="F26" i="64" s="1"/>
  <c r="D22" i="64"/>
  <c r="D24" i="64" s="1"/>
  <c r="D26" i="64" s="1"/>
  <c r="AH22" i="64"/>
  <c r="AH24" i="64" s="1"/>
  <c r="AH26" i="64" s="1"/>
  <c r="AF22" i="64"/>
  <c r="AF24" i="64" s="1"/>
  <c r="AF26" i="64" s="1"/>
  <c r="AA22" i="64"/>
  <c r="AA24" i="64" s="1"/>
  <c r="AA26" i="64" s="1"/>
  <c r="Z22" i="64"/>
  <c r="Z24" i="64" s="1"/>
  <c r="Z26" i="64" s="1"/>
  <c r="Y22" i="64"/>
  <c r="Y24" i="64" s="1"/>
  <c r="Y26" i="64" s="1"/>
  <c r="T22" i="64"/>
  <c r="T24" i="64" s="1"/>
  <c r="T26" i="64" s="1"/>
  <c r="S21" i="64"/>
  <c r="Q21" i="64"/>
  <c r="O21" i="64"/>
  <c r="N21" i="64"/>
  <c r="M21" i="64"/>
  <c r="K21" i="64"/>
  <c r="G21" i="64"/>
  <c r="E21" i="64"/>
  <c r="X20" i="64"/>
  <c r="X22" i="64" s="1"/>
  <c r="X24" i="64" s="1"/>
  <c r="X26" i="64" s="1"/>
  <c r="V20" i="64"/>
  <c r="V22" i="64" s="1"/>
  <c r="V24" i="64" s="1"/>
  <c r="V26" i="64" s="1"/>
  <c r="U20" i="64"/>
  <c r="S20" i="64"/>
  <c r="Q20" i="64"/>
  <c r="Q22" i="64" s="1"/>
  <c r="Q24" i="64" s="1"/>
  <c r="Q26" i="64" s="1"/>
  <c r="O20" i="64"/>
  <c r="O22" i="64" s="1"/>
  <c r="O24" i="64" s="1"/>
  <c r="O26" i="64" s="1"/>
  <c r="N20" i="64"/>
  <c r="N22" i="64" s="1"/>
  <c r="N24" i="64" s="1"/>
  <c r="N26" i="64" s="1"/>
  <c r="M20" i="64"/>
  <c r="K20" i="64"/>
  <c r="I20" i="64"/>
  <c r="I22" i="64" s="1"/>
  <c r="I24" i="64" s="1"/>
  <c r="H20" i="64"/>
  <c r="H22" i="64" s="1"/>
  <c r="H24" i="64" s="1"/>
  <c r="G20" i="64"/>
  <c r="G22" i="64" s="1"/>
  <c r="G24" i="64" s="1"/>
  <c r="E20" i="64"/>
  <c r="E22" i="64" s="1"/>
  <c r="E24" i="64" s="1"/>
  <c r="M22" i="64" l="1"/>
  <c r="M24" i="64" s="1"/>
  <c r="M26" i="64" s="1"/>
  <c r="K22" i="64"/>
  <c r="K24" i="64" s="1"/>
  <c r="K26" i="64" s="1"/>
  <c r="E26" i="64"/>
  <c r="S22" i="64"/>
  <c r="S24" i="64" s="1"/>
  <c r="S26" i="64" s="1"/>
  <c r="H26" i="64"/>
  <c r="I26" i="64"/>
  <c r="G26" i="64"/>
  <c r="U21" i="64"/>
  <c r="U22" i="64" s="1"/>
  <c r="U24" i="64" s="1"/>
  <c r="U26" i="64" s="1"/>
  <c r="F21" i="63"/>
  <c r="AH21" i="63" l="1"/>
  <c r="AF21" i="63"/>
  <c r="AD21" i="63"/>
  <c r="AC21" i="63"/>
  <c r="AA21" i="63"/>
  <c r="Z21" i="63" l="1"/>
  <c r="Y21" i="63"/>
  <c r="W21" i="63"/>
  <c r="T21" i="63"/>
  <c r="AF25" i="63" l="1"/>
  <c r="AC25" i="63"/>
  <c r="Y25" i="63" l="1"/>
  <c r="U25" i="63"/>
  <c r="S25" i="63"/>
  <c r="Q25" i="63"/>
  <c r="O25" i="63"/>
  <c r="M25" i="63"/>
  <c r="K25" i="63"/>
  <c r="I25" i="63"/>
  <c r="H25" i="63"/>
  <c r="G25" i="63"/>
  <c r="E25" i="63"/>
  <c r="R24" i="63"/>
  <c r="R26" i="63" s="1"/>
  <c r="AH22" i="63"/>
  <c r="AH24" i="63" s="1"/>
  <c r="AH26" i="63" s="1"/>
  <c r="AG22" i="63"/>
  <c r="AG24" i="63" s="1"/>
  <c r="AG26" i="63" s="1"/>
  <c r="AF22" i="63"/>
  <c r="AF24" i="63" s="1"/>
  <c r="AF26" i="63" s="1"/>
  <c r="AE22" i="63"/>
  <c r="AE24" i="63" s="1"/>
  <c r="AE26" i="63" s="1"/>
  <c r="AD22" i="63"/>
  <c r="AD24" i="63" s="1"/>
  <c r="AD26" i="63" s="1"/>
  <c r="AC22" i="63"/>
  <c r="AC24" i="63" s="1"/>
  <c r="AC26" i="63" s="1"/>
  <c r="AB22" i="63"/>
  <c r="AB24" i="63" s="1"/>
  <c r="AB26" i="63" s="1"/>
  <c r="AA22" i="63"/>
  <c r="AA24" i="63" s="1"/>
  <c r="AA26" i="63" s="1"/>
  <c r="Z22" i="63"/>
  <c r="Z24" i="63" s="1"/>
  <c r="Z26" i="63" s="1"/>
  <c r="Y22" i="63"/>
  <c r="Y24" i="63" s="1"/>
  <c r="Y26" i="63" s="1"/>
  <c r="W22" i="63"/>
  <c r="W24" i="63" s="1"/>
  <c r="W26" i="63" s="1"/>
  <c r="T22" i="63"/>
  <c r="T24" i="63" s="1"/>
  <c r="T26" i="63" s="1"/>
  <c r="R22" i="63"/>
  <c r="P22" i="63"/>
  <c r="P24" i="63" s="1"/>
  <c r="P26" i="63" s="1"/>
  <c r="M22" i="63"/>
  <c r="M24" i="63" s="1"/>
  <c r="L22" i="63"/>
  <c r="L24" i="63" s="1"/>
  <c r="L26" i="63" s="1"/>
  <c r="J22" i="63"/>
  <c r="J24" i="63" s="1"/>
  <c r="J26" i="63" s="1"/>
  <c r="F22" i="63"/>
  <c r="F24" i="63" s="1"/>
  <c r="F26" i="63" s="1"/>
  <c r="D22" i="63"/>
  <c r="D24" i="63" s="1"/>
  <c r="D26" i="63" s="1"/>
  <c r="U21" i="63"/>
  <c r="S21" i="63"/>
  <c r="Q21" i="63"/>
  <c r="O21" i="63"/>
  <c r="N21" i="63"/>
  <c r="M21" i="63"/>
  <c r="K21" i="63"/>
  <c r="G21" i="63"/>
  <c r="E21" i="63"/>
  <c r="X20" i="63"/>
  <c r="X22" i="63" s="1"/>
  <c r="X24" i="63" s="1"/>
  <c r="X26" i="63" s="1"/>
  <c r="V20" i="63"/>
  <c r="V22" i="63" s="1"/>
  <c r="V24" i="63" s="1"/>
  <c r="V26" i="63" s="1"/>
  <c r="U20" i="63"/>
  <c r="S20" i="63"/>
  <c r="Q20" i="63"/>
  <c r="O20" i="63"/>
  <c r="O22" i="63" s="1"/>
  <c r="O24" i="63" s="1"/>
  <c r="O26" i="63" s="1"/>
  <c r="N20" i="63"/>
  <c r="N22" i="63" s="1"/>
  <c r="N24" i="63" s="1"/>
  <c r="N26" i="63" s="1"/>
  <c r="M20" i="63"/>
  <c r="K20" i="63"/>
  <c r="I20" i="63"/>
  <c r="I22" i="63" s="1"/>
  <c r="I24" i="63" s="1"/>
  <c r="H20" i="63"/>
  <c r="H22" i="63" s="1"/>
  <c r="H24" i="63" s="1"/>
  <c r="G20" i="63"/>
  <c r="E20" i="63"/>
  <c r="E22" i="63" s="1"/>
  <c r="E24" i="63" s="1"/>
  <c r="S22" i="63" l="1"/>
  <c r="S24" i="63" s="1"/>
  <c r="S26" i="63" s="1"/>
  <c r="E26" i="63"/>
  <c r="M26" i="63"/>
  <c r="H26" i="63"/>
  <c r="K22" i="63"/>
  <c r="K24" i="63" s="1"/>
  <c r="K26" i="63" s="1"/>
  <c r="I26" i="63"/>
  <c r="Q22" i="63"/>
  <c r="Q24" i="63" s="1"/>
  <c r="Q26" i="63" s="1"/>
  <c r="G22" i="63"/>
  <c r="G24" i="63" s="1"/>
  <c r="G26" i="63" s="1"/>
  <c r="U22" i="63"/>
  <c r="U24" i="63" s="1"/>
  <c r="U26" i="63" s="1"/>
  <c r="AF25" i="62"/>
  <c r="AC25" i="62"/>
  <c r="Y25" i="62" l="1"/>
  <c r="U25" i="62"/>
  <c r="S25" i="62"/>
  <c r="Q25" i="62"/>
  <c r="O25" i="62"/>
  <c r="M25" i="62"/>
  <c r="K25" i="62"/>
  <c r="I25" i="62"/>
  <c r="H25" i="62"/>
  <c r="G25" i="62"/>
  <c r="E25" i="62"/>
  <c r="AH22" i="62"/>
  <c r="AH24" i="62" s="1"/>
  <c r="AH26" i="62" s="1"/>
  <c r="AG22" i="62"/>
  <c r="AG24" i="62" s="1"/>
  <c r="AG26" i="62" s="1"/>
  <c r="AF22" i="62"/>
  <c r="AF24" i="62" s="1"/>
  <c r="AF26" i="62" s="1"/>
  <c r="AE22" i="62"/>
  <c r="AE24" i="62" s="1"/>
  <c r="AE26" i="62" s="1"/>
  <c r="AD22" i="62"/>
  <c r="AD24" i="62" s="1"/>
  <c r="AD26" i="62" s="1"/>
  <c r="AC22" i="62"/>
  <c r="AC24" i="62" s="1"/>
  <c r="AC26" i="62" s="1"/>
  <c r="AB22" i="62"/>
  <c r="AB24" i="62" s="1"/>
  <c r="AB26" i="62" s="1"/>
  <c r="AA22" i="62"/>
  <c r="AA24" i="62" s="1"/>
  <c r="AA26" i="62" s="1"/>
  <c r="Z22" i="62"/>
  <c r="Z24" i="62" s="1"/>
  <c r="Z26" i="62" s="1"/>
  <c r="Y22" i="62"/>
  <c r="Y24" i="62" s="1"/>
  <c r="W22" i="62"/>
  <c r="W24" i="62" s="1"/>
  <c r="W26" i="62" s="1"/>
  <c r="T22" i="62"/>
  <c r="T24" i="62" s="1"/>
  <c r="T26" i="62" s="1"/>
  <c r="R22" i="62"/>
  <c r="R24" i="62" s="1"/>
  <c r="R26" i="62" s="1"/>
  <c r="P22" i="62"/>
  <c r="P24" i="62" s="1"/>
  <c r="P26" i="62" s="1"/>
  <c r="L22" i="62"/>
  <c r="L24" i="62" s="1"/>
  <c r="L26" i="62" s="1"/>
  <c r="J22" i="62"/>
  <c r="J24" i="62" s="1"/>
  <c r="J26" i="62" s="1"/>
  <c r="F22" i="62"/>
  <c r="F24" i="62" s="1"/>
  <c r="F26" i="62" s="1"/>
  <c r="D22" i="62"/>
  <c r="D24" i="62" s="1"/>
  <c r="D26" i="62" s="1"/>
  <c r="U21" i="62"/>
  <c r="S21" i="62"/>
  <c r="S22" i="62" s="1"/>
  <c r="S24" i="62" s="1"/>
  <c r="S26" i="62" s="1"/>
  <c r="Q21" i="62"/>
  <c r="O21" i="62"/>
  <c r="N21" i="62"/>
  <c r="M21" i="62"/>
  <c r="K21" i="62"/>
  <c r="G21" i="62"/>
  <c r="E21" i="62"/>
  <c r="X20" i="62"/>
  <c r="X22" i="62" s="1"/>
  <c r="X24" i="62" s="1"/>
  <c r="X26" i="62" s="1"/>
  <c r="V20" i="62"/>
  <c r="V22" i="62" s="1"/>
  <c r="V24" i="62" s="1"/>
  <c r="V26" i="62" s="1"/>
  <c r="U20" i="62"/>
  <c r="S20" i="62"/>
  <c r="Q20" i="62"/>
  <c r="O20" i="62"/>
  <c r="O22" i="62" s="1"/>
  <c r="O24" i="62" s="1"/>
  <c r="O26" i="62" s="1"/>
  <c r="N20" i="62"/>
  <c r="N22" i="62" s="1"/>
  <c r="N24" i="62" s="1"/>
  <c r="N26" i="62" s="1"/>
  <c r="M20" i="62"/>
  <c r="K20" i="62"/>
  <c r="I20" i="62"/>
  <c r="I22" i="62" s="1"/>
  <c r="I24" i="62" s="1"/>
  <c r="H20" i="62"/>
  <c r="H22" i="62" s="1"/>
  <c r="H24" i="62" s="1"/>
  <c r="G20" i="62"/>
  <c r="G22" i="62" s="1"/>
  <c r="G24" i="62" s="1"/>
  <c r="E20" i="62"/>
  <c r="E22" i="62" s="1"/>
  <c r="E24" i="62" s="1"/>
  <c r="M22" i="62" l="1"/>
  <c r="M24" i="62" s="1"/>
  <c r="M26" i="62" s="1"/>
  <c r="E26" i="62"/>
  <c r="Q22" i="62"/>
  <c r="Q24" i="62" s="1"/>
  <c r="Q26" i="62" s="1"/>
  <c r="K22" i="62"/>
  <c r="K24" i="62" s="1"/>
  <c r="H26" i="62"/>
  <c r="I26" i="62"/>
  <c r="K26" i="62"/>
  <c r="Y26" i="62"/>
  <c r="U22" i="62"/>
  <c r="U24" i="62" s="1"/>
  <c r="U26" i="62" s="1"/>
  <c r="G26" i="62"/>
  <c r="AF25" i="61"/>
  <c r="AC25" i="61"/>
  <c r="Y25" i="61" l="1"/>
  <c r="U25" i="61"/>
  <c r="S25" i="61"/>
  <c r="Q25" i="61"/>
  <c r="O25" i="61"/>
  <c r="M25" i="61"/>
  <c r="K25" i="61"/>
  <c r="I25" i="61"/>
  <c r="H25" i="61"/>
  <c r="G25" i="61"/>
  <c r="E25" i="61"/>
  <c r="AH22" i="61"/>
  <c r="AH24" i="61" s="1"/>
  <c r="AH26" i="61" s="1"/>
  <c r="AG22" i="61"/>
  <c r="AG24" i="61" s="1"/>
  <c r="AG26" i="61" s="1"/>
  <c r="AF22" i="61"/>
  <c r="AF24" i="61" s="1"/>
  <c r="AF26" i="61" s="1"/>
  <c r="AE22" i="61"/>
  <c r="AE24" i="61" s="1"/>
  <c r="AE26" i="61" s="1"/>
  <c r="AD22" i="61"/>
  <c r="AD24" i="61" s="1"/>
  <c r="AD26" i="61" s="1"/>
  <c r="AC22" i="61"/>
  <c r="AC24" i="61" s="1"/>
  <c r="AC26" i="61" s="1"/>
  <c r="AB22" i="61"/>
  <c r="AB24" i="61" s="1"/>
  <c r="AB26" i="61" s="1"/>
  <c r="AA22" i="61"/>
  <c r="AA24" i="61" s="1"/>
  <c r="AA26" i="61" s="1"/>
  <c r="Z22" i="61"/>
  <c r="Z24" i="61" s="1"/>
  <c r="Z26" i="61" s="1"/>
  <c r="Y22" i="61"/>
  <c r="Y24" i="61" s="1"/>
  <c r="Y26" i="61" s="1"/>
  <c r="W22" i="61"/>
  <c r="W24" i="61" s="1"/>
  <c r="W26" i="61" s="1"/>
  <c r="T22" i="61"/>
  <c r="T24" i="61" s="1"/>
  <c r="T26" i="61" s="1"/>
  <c r="S22" i="61"/>
  <c r="S24" i="61" s="1"/>
  <c r="S26" i="61" s="1"/>
  <c r="R22" i="61"/>
  <c r="R24" i="61" s="1"/>
  <c r="R26" i="61" s="1"/>
  <c r="P22" i="61"/>
  <c r="P24" i="61" s="1"/>
  <c r="P26" i="61" s="1"/>
  <c r="L22" i="61"/>
  <c r="L24" i="61" s="1"/>
  <c r="L26" i="61" s="1"/>
  <c r="J22" i="61"/>
  <c r="J24" i="61" s="1"/>
  <c r="J26" i="61" s="1"/>
  <c r="F22" i="61"/>
  <c r="F24" i="61" s="1"/>
  <c r="F26" i="61" s="1"/>
  <c r="D22" i="61"/>
  <c r="D24" i="61" s="1"/>
  <c r="D26" i="61" s="1"/>
  <c r="U21" i="61"/>
  <c r="S21" i="61"/>
  <c r="Q21" i="61"/>
  <c r="O21" i="61"/>
  <c r="N21" i="61"/>
  <c r="M21" i="61"/>
  <c r="K21" i="61"/>
  <c r="G21" i="61"/>
  <c r="E21" i="61"/>
  <c r="X20" i="61"/>
  <c r="X22" i="61" s="1"/>
  <c r="X24" i="61" s="1"/>
  <c r="X26" i="61" s="1"/>
  <c r="V20" i="61"/>
  <c r="V22" i="61" s="1"/>
  <c r="V24" i="61" s="1"/>
  <c r="V26" i="61" s="1"/>
  <c r="U20" i="61"/>
  <c r="S20" i="61"/>
  <c r="Q20" i="61"/>
  <c r="O20" i="61"/>
  <c r="O22" i="61" s="1"/>
  <c r="O24" i="61" s="1"/>
  <c r="O26" i="61" s="1"/>
  <c r="N20" i="61"/>
  <c r="N22" i="61" s="1"/>
  <c r="N24" i="61" s="1"/>
  <c r="N26" i="61" s="1"/>
  <c r="M20" i="61"/>
  <c r="K20" i="61"/>
  <c r="K22" i="61" s="1"/>
  <c r="K24" i="61" s="1"/>
  <c r="K26" i="61" s="1"/>
  <c r="I20" i="61"/>
  <c r="I22" i="61" s="1"/>
  <c r="I24" i="61" s="1"/>
  <c r="H20" i="61"/>
  <c r="H22" i="61" s="1"/>
  <c r="H24" i="61" s="1"/>
  <c r="G20" i="61"/>
  <c r="G22" i="61" s="1"/>
  <c r="G24" i="61" s="1"/>
  <c r="E20" i="61"/>
  <c r="E22" i="61" s="1"/>
  <c r="E24" i="61" s="1"/>
  <c r="M22" i="61" l="1"/>
  <c r="M24" i="61" s="1"/>
  <c r="M26" i="61" s="1"/>
  <c r="H26" i="61"/>
  <c r="E26" i="61"/>
  <c r="I26" i="61"/>
  <c r="Q22" i="61"/>
  <c r="Q24" i="61" s="1"/>
  <c r="Q26" i="61" s="1"/>
  <c r="G26" i="61"/>
  <c r="U22" i="61"/>
  <c r="U24" i="61" s="1"/>
  <c r="U26" i="61" s="1"/>
  <c r="Y25" i="60"/>
  <c r="U25" i="60"/>
  <c r="S25" i="60"/>
  <c r="Q25" i="60"/>
  <c r="O25" i="60"/>
  <c r="M25" i="60"/>
  <c r="K25" i="60"/>
  <c r="I25" i="60"/>
  <c r="H25" i="60"/>
  <c r="G25" i="60"/>
  <c r="E25" i="60"/>
  <c r="AE24" i="60"/>
  <c r="AE26" i="60" s="1"/>
  <c r="W23" i="60"/>
  <c r="T23" i="60"/>
  <c r="U23" i="60" s="1"/>
  <c r="F23" i="60"/>
  <c r="G23" i="60" s="1"/>
  <c r="E23" i="60"/>
  <c r="AH22" i="60"/>
  <c r="AH24" i="60" s="1"/>
  <c r="AH26" i="60" s="1"/>
  <c r="AG22" i="60"/>
  <c r="AG24" i="60" s="1"/>
  <c r="AG26" i="60" s="1"/>
  <c r="AF22" i="60"/>
  <c r="AF24" i="60" s="1"/>
  <c r="AF26" i="60" s="1"/>
  <c r="AE22" i="60"/>
  <c r="AD22" i="60"/>
  <c r="AD24" i="60" s="1"/>
  <c r="AD26" i="60" s="1"/>
  <c r="AC22" i="60"/>
  <c r="AC24" i="60" s="1"/>
  <c r="AC26" i="60" s="1"/>
  <c r="AB22" i="60"/>
  <c r="AB24" i="60" s="1"/>
  <c r="AB26" i="60" s="1"/>
  <c r="AA22" i="60"/>
  <c r="AA24" i="60" s="1"/>
  <c r="AA26" i="60" s="1"/>
  <c r="Z22" i="60"/>
  <c r="Z24" i="60" s="1"/>
  <c r="Z26" i="60" s="1"/>
  <c r="Y22" i="60"/>
  <c r="Y24" i="60" s="1"/>
  <c r="Y26" i="60" s="1"/>
  <c r="W22" i="60"/>
  <c r="W24" i="60" s="1"/>
  <c r="W26" i="60" s="1"/>
  <c r="T22" i="60"/>
  <c r="T24" i="60" s="1"/>
  <c r="T26" i="60" s="1"/>
  <c r="R22" i="60"/>
  <c r="R24" i="60" s="1"/>
  <c r="R26" i="60" s="1"/>
  <c r="P22" i="60"/>
  <c r="P24" i="60" s="1"/>
  <c r="P26" i="60" s="1"/>
  <c r="L22" i="60"/>
  <c r="L24" i="60" s="1"/>
  <c r="L26" i="60" s="1"/>
  <c r="J22" i="60"/>
  <c r="J24" i="60" s="1"/>
  <c r="J26" i="60" s="1"/>
  <c r="F22" i="60"/>
  <c r="D22" i="60"/>
  <c r="D24" i="60" s="1"/>
  <c r="D26" i="60" s="1"/>
  <c r="U21" i="60"/>
  <c r="S21" i="60"/>
  <c r="Q21" i="60"/>
  <c r="O21" i="60"/>
  <c r="N21" i="60"/>
  <c r="M21" i="60"/>
  <c r="K21" i="60"/>
  <c r="G21" i="60"/>
  <c r="E21" i="60"/>
  <c r="X20" i="60"/>
  <c r="X22" i="60" s="1"/>
  <c r="X24" i="60" s="1"/>
  <c r="X26" i="60" s="1"/>
  <c r="V20" i="60"/>
  <c r="V22" i="60" s="1"/>
  <c r="V24" i="60" s="1"/>
  <c r="V26" i="60" s="1"/>
  <c r="U20" i="60"/>
  <c r="S20" i="60"/>
  <c r="Q20" i="60"/>
  <c r="O20" i="60"/>
  <c r="O22" i="60" s="1"/>
  <c r="O24" i="60" s="1"/>
  <c r="N20" i="60"/>
  <c r="N22" i="60" s="1"/>
  <c r="N24" i="60" s="1"/>
  <c r="N26" i="60" s="1"/>
  <c r="M20" i="60"/>
  <c r="K20" i="60"/>
  <c r="I20" i="60"/>
  <c r="I22" i="60" s="1"/>
  <c r="I24" i="60" s="1"/>
  <c r="I26" i="60" s="1"/>
  <c r="H20" i="60"/>
  <c r="H22" i="60" s="1"/>
  <c r="H24" i="60" s="1"/>
  <c r="H26" i="60" s="1"/>
  <c r="G20" i="60"/>
  <c r="E20" i="60"/>
  <c r="E22" i="60" s="1"/>
  <c r="Q22" i="60" l="1"/>
  <c r="Q24" i="60" s="1"/>
  <c r="Q26" i="60" s="1"/>
  <c r="F24" i="60"/>
  <c r="F26" i="60" s="1"/>
  <c r="O26" i="60"/>
  <c r="S22" i="60"/>
  <c r="S24" i="60" s="1"/>
  <c r="S26" i="60" s="1"/>
  <c r="E24" i="60"/>
  <c r="M22" i="60"/>
  <c r="M24" i="60" s="1"/>
  <c r="M26" i="60" s="1"/>
  <c r="U22" i="60"/>
  <c r="U24" i="60" s="1"/>
  <c r="K22" i="60"/>
  <c r="K24" i="60" s="1"/>
  <c r="K26" i="60" s="1"/>
  <c r="E26" i="60"/>
  <c r="G22" i="60"/>
  <c r="G24" i="60" s="1"/>
  <c r="G26" i="60" s="1"/>
  <c r="U26" i="60"/>
  <c r="AF25" i="59"/>
  <c r="AC25" i="59"/>
  <c r="W23" i="59" l="1"/>
  <c r="T23" i="59"/>
  <c r="F23" i="59"/>
  <c r="U23" i="59"/>
  <c r="G23" i="59"/>
  <c r="E23" i="59"/>
  <c r="Y25" i="59" l="1"/>
  <c r="U25" i="59"/>
  <c r="S25" i="59"/>
  <c r="Q25" i="59"/>
  <c r="O25" i="59"/>
  <c r="M25" i="59"/>
  <c r="K25" i="59"/>
  <c r="I25" i="59"/>
  <c r="H25" i="59"/>
  <c r="G25" i="59"/>
  <c r="E25" i="59"/>
  <c r="AE24" i="59"/>
  <c r="AE26" i="59" s="1"/>
  <c r="AH22" i="59"/>
  <c r="AH24" i="59" s="1"/>
  <c r="AH26" i="59" s="1"/>
  <c r="AG22" i="59"/>
  <c r="AG24" i="59" s="1"/>
  <c r="AG26" i="59" s="1"/>
  <c r="AF22" i="59"/>
  <c r="AF24" i="59" s="1"/>
  <c r="AF26" i="59" s="1"/>
  <c r="AE22" i="59"/>
  <c r="AD22" i="59"/>
  <c r="AD24" i="59" s="1"/>
  <c r="AD26" i="59" s="1"/>
  <c r="AC22" i="59"/>
  <c r="AC24" i="59" s="1"/>
  <c r="AC26" i="59" s="1"/>
  <c r="AB22" i="59"/>
  <c r="AB24" i="59" s="1"/>
  <c r="AB26" i="59" s="1"/>
  <c r="AA22" i="59"/>
  <c r="AA24" i="59" s="1"/>
  <c r="AA26" i="59" s="1"/>
  <c r="Z22" i="59"/>
  <c r="Z24" i="59" s="1"/>
  <c r="Z26" i="59" s="1"/>
  <c r="Y22" i="59"/>
  <c r="Y24" i="59" s="1"/>
  <c r="W22" i="59"/>
  <c r="W24" i="59" s="1"/>
  <c r="W26" i="59" s="1"/>
  <c r="T22" i="59"/>
  <c r="T24" i="59" s="1"/>
  <c r="T26" i="59" s="1"/>
  <c r="R22" i="59"/>
  <c r="R24" i="59" s="1"/>
  <c r="R26" i="59" s="1"/>
  <c r="P22" i="59"/>
  <c r="P24" i="59" s="1"/>
  <c r="P26" i="59" s="1"/>
  <c r="L22" i="59"/>
  <c r="L24" i="59" s="1"/>
  <c r="L26" i="59" s="1"/>
  <c r="J22" i="59"/>
  <c r="J24" i="59" s="1"/>
  <c r="J26" i="59" s="1"/>
  <c r="F22" i="59"/>
  <c r="F24" i="59" s="1"/>
  <c r="F26" i="59" s="1"/>
  <c r="D22" i="59"/>
  <c r="D24" i="59" s="1"/>
  <c r="D26" i="59" s="1"/>
  <c r="U21" i="59"/>
  <c r="S21" i="59"/>
  <c r="Q21" i="59"/>
  <c r="O21" i="59"/>
  <c r="N21" i="59"/>
  <c r="M21" i="59"/>
  <c r="K21" i="59"/>
  <c r="G21" i="59"/>
  <c r="E21" i="59"/>
  <c r="X20" i="59"/>
  <c r="X22" i="59" s="1"/>
  <c r="X24" i="59" s="1"/>
  <c r="X26" i="59" s="1"/>
  <c r="V20" i="59"/>
  <c r="V22" i="59" s="1"/>
  <c r="V24" i="59" s="1"/>
  <c r="V26" i="59" s="1"/>
  <c r="U20" i="59"/>
  <c r="S20" i="59"/>
  <c r="Q20" i="59"/>
  <c r="O20" i="59"/>
  <c r="O22" i="59" s="1"/>
  <c r="O24" i="59" s="1"/>
  <c r="O26" i="59" s="1"/>
  <c r="N20" i="59"/>
  <c r="N22" i="59" s="1"/>
  <c r="N24" i="59" s="1"/>
  <c r="N26" i="59" s="1"/>
  <c r="M20" i="59"/>
  <c r="K20" i="59"/>
  <c r="K22" i="59" s="1"/>
  <c r="K24" i="59" s="1"/>
  <c r="K26" i="59" s="1"/>
  <c r="I20" i="59"/>
  <c r="I22" i="59" s="1"/>
  <c r="I24" i="59" s="1"/>
  <c r="H20" i="59"/>
  <c r="H22" i="59" s="1"/>
  <c r="H24" i="59" s="1"/>
  <c r="G20" i="59"/>
  <c r="E20" i="59"/>
  <c r="E22" i="59" s="1"/>
  <c r="E24" i="59" s="1"/>
  <c r="M22" i="59" l="1"/>
  <c r="M24" i="59" s="1"/>
  <c r="M26" i="59" s="1"/>
  <c r="S22" i="59"/>
  <c r="S24" i="59" s="1"/>
  <c r="S26" i="59" s="1"/>
  <c r="E26" i="59"/>
  <c r="H26" i="59"/>
  <c r="I26" i="59"/>
  <c r="Q22" i="59"/>
  <c r="Q24" i="59" s="1"/>
  <c r="Q26" i="59" s="1"/>
  <c r="Y26" i="59"/>
  <c r="G22" i="59"/>
  <c r="G24" i="59" s="1"/>
  <c r="G26" i="59" s="1"/>
  <c r="U22" i="59"/>
  <c r="U24" i="59" s="1"/>
  <c r="U26" i="59" s="1"/>
  <c r="AC25" i="58"/>
  <c r="AF25" i="58"/>
  <c r="Y25" i="58" l="1"/>
  <c r="U25" i="58"/>
  <c r="S25" i="58"/>
  <c r="Q25" i="58"/>
  <c r="O25" i="58"/>
  <c r="M25" i="58"/>
  <c r="K25" i="58"/>
  <c r="I25" i="58"/>
  <c r="H25" i="58"/>
  <c r="G25" i="58"/>
  <c r="E25" i="58"/>
  <c r="AG24" i="58"/>
  <c r="AG26" i="58" s="1"/>
  <c r="AH22" i="58"/>
  <c r="AH24" i="58" s="1"/>
  <c r="AH26" i="58" s="1"/>
  <c r="AG22" i="58"/>
  <c r="AF22" i="58"/>
  <c r="AF24" i="58" s="1"/>
  <c r="AF26" i="58" s="1"/>
  <c r="AE22" i="58"/>
  <c r="AE24" i="58" s="1"/>
  <c r="AE26" i="58" s="1"/>
  <c r="AD22" i="58"/>
  <c r="AD24" i="58" s="1"/>
  <c r="AD26" i="58" s="1"/>
  <c r="AC22" i="58"/>
  <c r="AC24" i="58" s="1"/>
  <c r="AC26" i="58" s="1"/>
  <c r="AB22" i="58"/>
  <c r="AB24" i="58" s="1"/>
  <c r="AB26" i="58" s="1"/>
  <c r="AA22" i="58"/>
  <c r="AA24" i="58" s="1"/>
  <c r="AA26" i="58" s="1"/>
  <c r="Z22" i="58"/>
  <c r="Z24" i="58" s="1"/>
  <c r="Z26" i="58" s="1"/>
  <c r="Y22" i="58"/>
  <c r="Y24" i="58" s="1"/>
  <c r="W22" i="58"/>
  <c r="W24" i="58" s="1"/>
  <c r="W26" i="58" s="1"/>
  <c r="T22" i="58"/>
  <c r="T24" i="58" s="1"/>
  <c r="T26" i="58" s="1"/>
  <c r="R22" i="58"/>
  <c r="R24" i="58" s="1"/>
  <c r="R26" i="58" s="1"/>
  <c r="P22" i="58"/>
  <c r="P24" i="58" s="1"/>
  <c r="P26" i="58" s="1"/>
  <c r="L22" i="58"/>
  <c r="L24" i="58" s="1"/>
  <c r="L26" i="58" s="1"/>
  <c r="J22" i="58"/>
  <c r="J24" i="58" s="1"/>
  <c r="J26" i="58" s="1"/>
  <c r="F22" i="58"/>
  <c r="F24" i="58" s="1"/>
  <c r="F26" i="58" s="1"/>
  <c r="D22" i="58"/>
  <c r="D24" i="58" s="1"/>
  <c r="D26" i="58" s="1"/>
  <c r="U21" i="58"/>
  <c r="S21" i="58"/>
  <c r="Q21" i="58"/>
  <c r="O21" i="58"/>
  <c r="N21" i="58"/>
  <c r="M21" i="58"/>
  <c r="K21" i="58"/>
  <c r="G21" i="58"/>
  <c r="E21" i="58"/>
  <c r="X20" i="58"/>
  <c r="X22" i="58" s="1"/>
  <c r="X24" i="58" s="1"/>
  <c r="X26" i="58" s="1"/>
  <c r="V20" i="58"/>
  <c r="V22" i="58" s="1"/>
  <c r="V24" i="58" s="1"/>
  <c r="V26" i="58" s="1"/>
  <c r="U20" i="58"/>
  <c r="S20" i="58"/>
  <c r="Q20" i="58"/>
  <c r="O20" i="58"/>
  <c r="O22" i="58" s="1"/>
  <c r="O24" i="58" s="1"/>
  <c r="O26" i="58" s="1"/>
  <c r="N20" i="58"/>
  <c r="N22" i="58" s="1"/>
  <c r="N24" i="58" s="1"/>
  <c r="N26" i="58" s="1"/>
  <c r="M20" i="58"/>
  <c r="K20" i="58"/>
  <c r="I20" i="58"/>
  <c r="I22" i="58" s="1"/>
  <c r="I24" i="58" s="1"/>
  <c r="H20" i="58"/>
  <c r="H22" i="58" s="1"/>
  <c r="H24" i="58" s="1"/>
  <c r="G20" i="58"/>
  <c r="G22" i="58" s="1"/>
  <c r="G24" i="58" s="1"/>
  <c r="E20" i="58"/>
  <c r="S22" i="58" l="1"/>
  <c r="S24" i="58" s="1"/>
  <c r="S26" i="58" s="1"/>
  <c r="H26" i="58"/>
  <c r="E22" i="58"/>
  <c r="E24" i="58" s="1"/>
  <c r="E26" i="58" s="1"/>
  <c r="K22" i="58"/>
  <c r="K24" i="58" s="1"/>
  <c r="K26" i="58" s="1"/>
  <c r="I26" i="58"/>
  <c r="M22" i="58"/>
  <c r="M24" i="58" s="1"/>
  <c r="M26" i="58" s="1"/>
  <c r="Q22" i="58"/>
  <c r="Q24" i="58" s="1"/>
  <c r="Q26" i="58" s="1"/>
  <c r="Y26" i="58"/>
  <c r="G26" i="58"/>
  <c r="U22" i="58"/>
  <c r="U24" i="58" s="1"/>
  <c r="U26" i="58" s="1"/>
  <c r="AC25" i="57"/>
  <c r="AF25" i="57" l="1"/>
  <c r="Y25" i="57"/>
  <c r="U25" i="57"/>
  <c r="S25" i="57"/>
  <c r="Q25" i="57"/>
  <c r="O25" i="57"/>
  <c r="M25" i="57"/>
  <c r="K25" i="57"/>
  <c r="I25" i="57"/>
  <c r="H25" i="57"/>
  <c r="G25" i="57"/>
  <c r="E25" i="57"/>
  <c r="AH22" i="57"/>
  <c r="AH24" i="57" s="1"/>
  <c r="AH26" i="57" s="1"/>
  <c r="AG22" i="57"/>
  <c r="AG24" i="57" s="1"/>
  <c r="AG26" i="57" s="1"/>
  <c r="AF22" i="57"/>
  <c r="AF24" i="57" s="1"/>
  <c r="AE22" i="57"/>
  <c r="AE24" i="57" s="1"/>
  <c r="AE26" i="57" s="1"/>
  <c r="AD22" i="57"/>
  <c r="AD24" i="57" s="1"/>
  <c r="AD26" i="57" s="1"/>
  <c r="AC22" i="57"/>
  <c r="AC24" i="57" s="1"/>
  <c r="AB22" i="57"/>
  <c r="AB24" i="57" s="1"/>
  <c r="AB26" i="57" s="1"/>
  <c r="AA22" i="57"/>
  <c r="AA24" i="57" s="1"/>
  <c r="AA26" i="57" s="1"/>
  <c r="Z22" i="57"/>
  <c r="Z24" i="57" s="1"/>
  <c r="Z26" i="57" s="1"/>
  <c r="Y22" i="57"/>
  <c r="Y24" i="57" s="1"/>
  <c r="W22" i="57"/>
  <c r="W24" i="57" s="1"/>
  <c r="W26" i="57" s="1"/>
  <c r="T22" i="57"/>
  <c r="T24" i="57" s="1"/>
  <c r="T26" i="57" s="1"/>
  <c r="R22" i="57"/>
  <c r="R24" i="57" s="1"/>
  <c r="R26" i="57" s="1"/>
  <c r="P22" i="57"/>
  <c r="P24" i="57" s="1"/>
  <c r="P26" i="57" s="1"/>
  <c r="L22" i="57"/>
  <c r="L24" i="57" s="1"/>
  <c r="L26" i="57" s="1"/>
  <c r="K22" i="57"/>
  <c r="K24" i="57" s="1"/>
  <c r="J22" i="57"/>
  <c r="J24" i="57" s="1"/>
  <c r="J26" i="57" s="1"/>
  <c r="D22" i="57"/>
  <c r="D24" i="57" s="1"/>
  <c r="D26" i="57" s="1"/>
  <c r="U21" i="57"/>
  <c r="S21" i="57"/>
  <c r="S22" i="57" s="1"/>
  <c r="S24" i="57" s="1"/>
  <c r="S26" i="57" s="1"/>
  <c r="Q21" i="57"/>
  <c r="O21" i="57"/>
  <c r="N21" i="57"/>
  <c r="M21" i="57"/>
  <c r="K21" i="57"/>
  <c r="G21" i="57"/>
  <c r="E21" i="57"/>
  <c r="X20" i="57"/>
  <c r="X22" i="57" s="1"/>
  <c r="X24" i="57" s="1"/>
  <c r="X26" i="57" s="1"/>
  <c r="V20" i="57"/>
  <c r="V22" i="57" s="1"/>
  <c r="V24" i="57" s="1"/>
  <c r="V26" i="57" s="1"/>
  <c r="U20" i="57"/>
  <c r="S20" i="57"/>
  <c r="Q20" i="57"/>
  <c r="Q22" i="57" s="1"/>
  <c r="Q24" i="57" s="1"/>
  <c r="Q26" i="57" s="1"/>
  <c r="O20" i="57"/>
  <c r="O22" i="57" s="1"/>
  <c r="O24" i="57" s="1"/>
  <c r="O26" i="57" s="1"/>
  <c r="N20" i="57"/>
  <c r="N22" i="57" s="1"/>
  <c r="N24" i="57" s="1"/>
  <c r="N26" i="57" s="1"/>
  <c r="M20" i="57"/>
  <c r="M22" i="57" s="1"/>
  <c r="M24" i="57" s="1"/>
  <c r="M26" i="57" s="1"/>
  <c r="K20" i="57"/>
  <c r="I20" i="57"/>
  <c r="I22" i="57" s="1"/>
  <c r="I24" i="57" s="1"/>
  <c r="H20" i="57"/>
  <c r="H22" i="57" s="1"/>
  <c r="H24" i="57" s="1"/>
  <c r="F22" i="57"/>
  <c r="F24" i="57" s="1"/>
  <c r="F26" i="57" s="1"/>
  <c r="E20" i="57"/>
  <c r="E22" i="57" s="1"/>
  <c r="E24" i="57" s="1"/>
  <c r="K26" i="57" l="1"/>
  <c r="I26" i="57"/>
  <c r="E26" i="57"/>
  <c r="H26" i="57"/>
  <c r="U22" i="57"/>
  <c r="U24" i="57" s="1"/>
  <c r="U26" i="57" s="1"/>
  <c r="AF26" i="57"/>
  <c r="AC26" i="57"/>
  <c r="Y26" i="57"/>
  <c r="G20" i="57"/>
  <c r="G22" i="57" s="1"/>
  <c r="G24" i="57" s="1"/>
  <c r="G26" i="57" s="1"/>
  <c r="T20" i="56"/>
  <c r="F20" i="56" l="1"/>
  <c r="AF25" i="56" l="1"/>
  <c r="AC25" i="56" l="1"/>
  <c r="W23" i="56"/>
  <c r="T23" i="56"/>
  <c r="U23" i="56" s="1"/>
  <c r="F23" i="56"/>
  <c r="G23" i="56" s="1"/>
  <c r="E23" i="56"/>
  <c r="Y25" i="56"/>
  <c r="U25" i="56"/>
  <c r="S25" i="56"/>
  <c r="Q25" i="56"/>
  <c r="O25" i="56"/>
  <c r="M25" i="56"/>
  <c r="K25" i="56"/>
  <c r="I25" i="56"/>
  <c r="H25" i="56"/>
  <c r="G25" i="56"/>
  <c r="E25" i="56"/>
  <c r="AH22" i="56"/>
  <c r="AH24" i="56" s="1"/>
  <c r="AH26" i="56" s="1"/>
  <c r="AG22" i="56"/>
  <c r="AG24" i="56" s="1"/>
  <c r="AG26" i="56" s="1"/>
  <c r="AF22" i="56"/>
  <c r="AF24" i="56" s="1"/>
  <c r="AF26" i="56" s="1"/>
  <c r="AE22" i="56"/>
  <c r="AE24" i="56" s="1"/>
  <c r="AE26" i="56" s="1"/>
  <c r="AD22" i="56"/>
  <c r="AD24" i="56" s="1"/>
  <c r="AD26" i="56" s="1"/>
  <c r="AC22" i="56"/>
  <c r="AC24" i="56" s="1"/>
  <c r="AB22" i="56"/>
  <c r="AB24" i="56" s="1"/>
  <c r="AB26" i="56" s="1"/>
  <c r="AA22" i="56"/>
  <c r="AA24" i="56" s="1"/>
  <c r="AA26" i="56" s="1"/>
  <c r="Z22" i="56"/>
  <c r="Z24" i="56" s="1"/>
  <c r="Z26" i="56" s="1"/>
  <c r="Y22" i="56"/>
  <c r="Y24" i="56" s="1"/>
  <c r="W22" i="56"/>
  <c r="W24" i="56" s="1"/>
  <c r="W26" i="56" s="1"/>
  <c r="T22" i="56"/>
  <c r="T24" i="56" s="1"/>
  <c r="T26" i="56" s="1"/>
  <c r="R22" i="56"/>
  <c r="R24" i="56" s="1"/>
  <c r="R26" i="56" s="1"/>
  <c r="Q22" i="56"/>
  <c r="Q24" i="56" s="1"/>
  <c r="P22" i="56"/>
  <c r="P24" i="56" s="1"/>
  <c r="P26" i="56" s="1"/>
  <c r="O22" i="56"/>
  <c r="O24" i="56" s="1"/>
  <c r="L22" i="56"/>
  <c r="L24" i="56" s="1"/>
  <c r="L26" i="56" s="1"/>
  <c r="J22" i="56"/>
  <c r="J24" i="56" s="1"/>
  <c r="J26" i="56" s="1"/>
  <c r="F22" i="56"/>
  <c r="D22" i="56"/>
  <c r="D24" i="56" s="1"/>
  <c r="D26" i="56" s="1"/>
  <c r="U21" i="56"/>
  <c r="S21" i="56"/>
  <c r="Q21" i="56"/>
  <c r="O21" i="56"/>
  <c r="N21" i="56"/>
  <c r="M21" i="56"/>
  <c r="K21" i="56"/>
  <c r="G21" i="56"/>
  <c r="E21" i="56"/>
  <c r="X20" i="56"/>
  <c r="X22" i="56" s="1"/>
  <c r="X24" i="56" s="1"/>
  <c r="X26" i="56" s="1"/>
  <c r="V20" i="56"/>
  <c r="V22" i="56" s="1"/>
  <c r="V24" i="56" s="1"/>
  <c r="V26" i="56" s="1"/>
  <c r="U20" i="56"/>
  <c r="S20" i="56"/>
  <c r="Q20" i="56"/>
  <c r="O20" i="56"/>
  <c r="N20" i="56"/>
  <c r="N22" i="56" s="1"/>
  <c r="N24" i="56" s="1"/>
  <c r="N26" i="56" s="1"/>
  <c r="M20" i="56"/>
  <c r="K20" i="56"/>
  <c r="I20" i="56"/>
  <c r="I22" i="56" s="1"/>
  <c r="I24" i="56" s="1"/>
  <c r="I26" i="56" s="1"/>
  <c r="H20" i="56"/>
  <c r="H22" i="56" s="1"/>
  <c r="H24" i="56" s="1"/>
  <c r="H26" i="56" s="1"/>
  <c r="G20" i="56"/>
  <c r="E20" i="56"/>
  <c r="E22" i="56" s="1"/>
  <c r="K22" i="56" l="1"/>
  <c r="K24" i="56" s="1"/>
  <c r="K26" i="56" s="1"/>
  <c r="M22" i="56"/>
  <c r="M24" i="56" s="1"/>
  <c r="M26" i="56" s="1"/>
  <c r="Q26" i="56"/>
  <c r="S22" i="56"/>
  <c r="S24" i="56" s="1"/>
  <c r="S26" i="56" s="1"/>
  <c r="O26" i="56"/>
  <c r="F24" i="56"/>
  <c r="F26" i="56" s="1"/>
  <c r="G22" i="56"/>
  <c r="G24" i="56" s="1"/>
  <c r="G26" i="56" s="1"/>
  <c r="U22" i="56"/>
  <c r="U24" i="56" s="1"/>
  <c r="AC26" i="56"/>
  <c r="Y26" i="56"/>
  <c r="U26" i="56"/>
  <c r="E24" i="56"/>
  <c r="E26" i="56" s="1"/>
  <c r="AF25" i="55"/>
  <c r="AC25" i="55"/>
  <c r="Y25" i="55" l="1"/>
  <c r="U25" i="55"/>
  <c r="S25" i="55"/>
  <c r="Q25" i="55"/>
  <c r="O25" i="55"/>
  <c r="M25" i="55"/>
  <c r="K25" i="55"/>
  <c r="I25" i="55"/>
  <c r="H25" i="55"/>
  <c r="G25" i="55"/>
  <c r="E25" i="55"/>
  <c r="AH22" i="55"/>
  <c r="AH24" i="55" s="1"/>
  <c r="AH26" i="55" s="1"/>
  <c r="AG22" i="55"/>
  <c r="AG24" i="55" s="1"/>
  <c r="AG26" i="55" s="1"/>
  <c r="AF22" i="55"/>
  <c r="AF24" i="55" s="1"/>
  <c r="AF26" i="55" s="1"/>
  <c r="AE22" i="55"/>
  <c r="AE24" i="55" s="1"/>
  <c r="AE26" i="55" s="1"/>
  <c r="AD22" i="55"/>
  <c r="AD24" i="55" s="1"/>
  <c r="AD26" i="55" s="1"/>
  <c r="AC22" i="55"/>
  <c r="AC24" i="55" s="1"/>
  <c r="AC26" i="55" s="1"/>
  <c r="AB22" i="55"/>
  <c r="AB24" i="55" s="1"/>
  <c r="AB26" i="55" s="1"/>
  <c r="AA22" i="55"/>
  <c r="AA24" i="55" s="1"/>
  <c r="AA26" i="55" s="1"/>
  <c r="Z22" i="55"/>
  <c r="Z24" i="55" s="1"/>
  <c r="Z26" i="55" s="1"/>
  <c r="Y22" i="55"/>
  <c r="Y24" i="55" s="1"/>
  <c r="Y26" i="55" s="1"/>
  <c r="W22" i="55"/>
  <c r="W24" i="55" s="1"/>
  <c r="W26" i="55" s="1"/>
  <c r="T22" i="55"/>
  <c r="T24" i="55" s="1"/>
  <c r="T26" i="55" s="1"/>
  <c r="R22" i="55"/>
  <c r="R24" i="55" s="1"/>
  <c r="R26" i="55" s="1"/>
  <c r="P22" i="55"/>
  <c r="P24" i="55" s="1"/>
  <c r="P26" i="55" s="1"/>
  <c r="L22" i="55"/>
  <c r="L24" i="55" s="1"/>
  <c r="L26" i="55" s="1"/>
  <c r="J22" i="55"/>
  <c r="J24" i="55" s="1"/>
  <c r="J26" i="55" s="1"/>
  <c r="F22" i="55"/>
  <c r="F24" i="55" s="1"/>
  <c r="F26" i="55" s="1"/>
  <c r="D22" i="55"/>
  <c r="D24" i="55" s="1"/>
  <c r="D26" i="55" s="1"/>
  <c r="U21" i="55"/>
  <c r="S21" i="55"/>
  <c r="Q21" i="55"/>
  <c r="O21" i="55"/>
  <c r="N21" i="55"/>
  <c r="M21" i="55"/>
  <c r="K21" i="55"/>
  <c r="G21" i="55"/>
  <c r="E21" i="55"/>
  <c r="X20" i="55"/>
  <c r="X22" i="55" s="1"/>
  <c r="X24" i="55" s="1"/>
  <c r="X26" i="55" s="1"/>
  <c r="V20" i="55"/>
  <c r="V22" i="55" s="1"/>
  <c r="V24" i="55" s="1"/>
  <c r="V26" i="55" s="1"/>
  <c r="U20" i="55"/>
  <c r="S20" i="55"/>
  <c r="Q20" i="55"/>
  <c r="O20" i="55"/>
  <c r="O22" i="55" s="1"/>
  <c r="O24" i="55" s="1"/>
  <c r="O26" i="55" s="1"/>
  <c r="N20" i="55"/>
  <c r="N22" i="55" s="1"/>
  <c r="N24" i="55" s="1"/>
  <c r="N26" i="55" s="1"/>
  <c r="M20" i="55"/>
  <c r="M22" i="55" s="1"/>
  <c r="M24" i="55" s="1"/>
  <c r="M26" i="55" s="1"/>
  <c r="K20" i="55"/>
  <c r="I20" i="55"/>
  <c r="I22" i="55" s="1"/>
  <c r="I24" i="55" s="1"/>
  <c r="H20" i="55"/>
  <c r="H22" i="55" s="1"/>
  <c r="H24" i="55" s="1"/>
  <c r="G20" i="55"/>
  <c r="E20" i="55"/>
  <c r="E22" i="55" s="1"/>
  <c r="E24" i="55" s="1"/>
  <c r="Q22" i="55" l="1"/>
  <c r="Q24" i="55" s="1"/>
  <c r="Q26" i="55" s="1"/>
  <c r="H26" i="55"/>
  <c r="S22" i="55"/>
  <c r="S24" i="55" s="1"/>
  <c r="S26" i="55" s="1"/>
  <c r="I26" i="55"/>
  <c r="K22" i="55"/>
  <c r="K24" i="55" s="1"/>
  <c r="K26" i="55" s="1"/>
  <c r="E26" i="55"/>
  <c r="G22" i="55"/>
  <c r="G24" i="55" s="1"/>
  <c r="G26" i="55" s="1"/>
  <c r="U22" i="55"/>
  <c r="U24" i="55" s="1"/>
  <c r="U26" i="55" s="1"/>
  <c r="AF25" i="54"/>
  <c r="AC25" i="54"/>
  <c r="W23" i="54" l="1"/>
  <c r="T23" i="54"/>
  <c r="U23" i="54" s="1"/>
  <c r="F23" i="54"/>
  <c r="G23" i="54" s="1"/>
  <c r="E23" i="54"/>
  <c r="Y25" i="54"/>
  <c r="U25" i="54"/>
  <c r="S25" i="54"/>
  <c r="Q25" i="54"/>
  <c r="O25" i="54"/>
  <c r="M25" i="54"/>
  <c r="K25" i="54"/>
  <c r="I25" i="54"/>
  <c r="H25" i="54"/>
  <c r="G25" i="54"/>
  <c r="E25" i="54"/>
  <c r="AB24" i="54"/>
  <c r="AB26" i="54" s="1"/>
  <c r="AH22" i="54"/>
  <c r="AH24" i="54" s="1"/>
  <c r="AH26" i="54" s="1"/>
  <c r="AG22" i="54"/>
  <c r="AG24" i="54" s="1"/>
  <c r="AG26" i="54" s="1"/>
  <c r="AF22" i="54"/>
  <c r="AF24" i="54" s="1"/>
  <c r="AF26" i="54" s="1"/>
  <c r="AE22" i="54"/>
  <c r="AE24" i="54" s="1"/>
  <c r="AE26" i="54" s="1"/>
  <c r="AD22" i="54"/>
  <c r="AD24" i="54" s="1"/>
  <c r="AD26" i="54" s="1"/>
  <c r="AC22" i="54"/>
  <c r="AC24" i="54" s="1"/>
  <c r="AC26" i="54" s="1"/>
  <c r="AB22" i="54"/>
  <c r="AA22" i="54"/>
  <c r="AA24" i="54" s="1"/>
  <c r="AA26" i="54" s="1"/>
  <c r="Z22" i="54"/>
  <c r="Z24" i="54" s="1"/>
  <c r="Z26" i="54" s="1"/>
  <c r="Y22" i="54"/>
  <c r="Y24" i="54" s="1"/>
  <c r="W22" i="54"/>
  <c r="T22" i="54"/>
  <c r="T24" i="54" s="1"/>
  <c r="T26" i="54" s="1"/>
  <c r="S22" i="54"/>
  <c r="S24" i="54" s="1"/>
  <c r="S26" i="54" s="1"/>
  <c r="R22" i="54"/>
  <c r="R24" i="54" s="1"/>
  <c r="R26" i="54" s="1"/>
  <c r="Q22" i="54"/>
  <c r="Q24" i="54" s="1"/>
  <c r="Q26" i="54" s="1"/>
  <c r="P22" i="54"/>
  <c r="P24" i="54" s="1"/>
  <c r="P26" i="54" s="1"/>
  <c r="L22" i="54"/>
  <c r="L24" i="54" s="1"/>
  <c r="L26" i="54" s="1"/>
  <c r="J22" i="54"/>
  <c r="J24" i="54" s="1"/>
  <c r="J26" i="54" s="1"/>
  <c r="F22" i="54"/>
  <c r="D22" i="54"/>
  <c r="D24" i="54" s="1"/>
  <c r="D26" i="54" s="1"/>
  <c r="U21" i="54"/>
  <c r="S21" i="54"/>
  <c r="Q21" i="54"/>
  <c r="O21" i="54"/>
  <c r="N21" i="54"/>
  <c r="M21" i="54"/>
  <c r="K21" i="54"/>
  <c r="G21" i="54"/>
  <c r="E21" i="54"/>
  <c r="X20" i="54"/>
  <c r="X22" i="54" s="1"/>
  <c r="X24" i="54" s="1"/>
  <c r="X26" i="54" s="1"/>
  <c r="V20" i="54"/>
  <c r="V22" i="54" s="1"/>
  <c r="V24" i="54" s="1"/>
  <c r="V26" i="54" s="1"/>
  <c r="U20" i="54"/>
  <c r="S20" i="54"/>
  <c r="Q20" i="54"/>
  <c r="O20" i="54"/>
  <c r="O22" i="54" s="1"/>
  <c r="O24" i="54" s="1"/>
  <c r="N20" i="54"/>
  <c r="N22" i="54" s="1"/>
  <c r="N24" i="54" s="1"/>
  <c r="N26" i="54" s="1"/>
  <c r="M20" i="54"/>
  <c r="K20" i="54"/>
  <c r="I20" i="54"/>
  <c r="I22" i="54" s="1"/>
  <c r="I24" i="54" s="1"/>
  <c r="H20" i="54"/>
  <c r="H22" i="54" s="1"/>
  <c r="H24" i="54" s="1"/>
  <c r="H26" i="54" s="1"/>
  <c r="G20" i="54"/>
  <c r="E20" i="54"/>
  <c r="E22" i="54" s="1"/>
  <c r="K22" i="54" l="1"/>
  <c r="K24" i="54" s="1"/>
  <c r="K26" i="54" s="1"/>
  <c r="I26" i="54"/>
  <c r="O26" i="54"/>
  <c r="F24" i="54"/>
  <c r="F26" i="54" s="1"/>
  <c r="M22" i="54"/>
  <c r="M24" i="54" s="1"/>
  <c r="M26" i="54" s="1"/>
  <c r="U22" i="54"/>
  <c r="U24" i="54" s="1"/>
  <c r="U26" i="54" s="1"/>
  <c r="G22" i="54"/>
  <c r="W24" i="54"/>
  <c r="W26" i="54" s="1"/>
  <c r="E24" i="54"/>
  <c r="E26" i="54" s="1"/>
  <c r="G24" i="54"/>
  <c r="G26" i="54" s="1"/>
  <c r="Y26" i="54"/>
  <c r="AF25" i="53"/>
  <c r="AC25" i="53"/>
  <c r="Y25" i="53" l="1"/>
  <c r="U25" i="53"/>
  <c r="S25" i="53"/>
  <c r="Q25" i="53"/>
  <c r="O25" i="53"/>
  <c r="M25" i="53"/>
  <c r="K25" i="53"/>
  <c r="I25" i="53"/>
  <c r="H25" i="53"/>
  <c r="G25" i="53"/>
  <c r="E25" i="53"/>
  <c r="R24" i="53"/>
  <c r="R26" i="53" s="1"/>
  <c r="E23" i="53"/>
  <c r="AH22" i="53"/>
  <c r="AH24" i="53" s="1"/>
  <c r="AH26" i="53" s="1"/>
  <c r="AG22" i="53"/>
  <c r="AG24" i="53" s="1"/>
  <c r="AG26" i="53" s="1"/>
  <c r="AF22" i="53"/>
  <c r="AF24" i="53" s="1"/>
  <c r="AF26" i="53" s="1"/>
  <c r="AE22" i="53"/>
  <c r="AE24" i="53" s="1"/>
  <c r="AE26" i="53" s="1"/>
  <c r="AD22" i="53"/>
  <c r="AD24" i="53" s="1"/>
  <c r="AD26" i="53" s="1"/>
  <c r="AC22" i="53"/>
  <c r="AC24" i="53" s="1"/>
  <c r="AC26" i="53" s="1"/>
  <c r="AB22" i="53"/>
  <c r="AB24" i="53" s="1"/>
  <c r="AB26" i="53" s="1"/>
  <c r="AA22" i="53"/>
  <c r="AA24" i="53" s="1"/>
  <c r="AA26" i="53" s="1"/>
  <c r="Z22" i="53"/>
  <c r="Z24" i="53" s="1"/>
  <c r="Z26" i="53" s="1"/>
  <c r="Y22" i="53"/>
  <c r="Y24" i="53" s="1"/>
  <c r="W22" i="53"/>
  <c r="W24" i="53" s="1"/>
  <c r="W26" i="53" s="1"/>
  <c r="R22" i="53"/>
  <c r="P22" i="53"/>
  <c r="P24" i="53" s="1"/>
  <c r="P26" i="53" s="1"/>
  <c r="L22" i="53"/>
  <c r="L24" i="53" s="1"/>
  <c r="L26" i="53" s="1"/>
  <c r="J22" i="53"/>
  <c r="J24" i="53" s="1"/>
  <c r="J26" i="53" s="1"/>
  <c r="F22" i="53"/>
  <c r="F24" i="53" s="1"/>
  <c r="F26" i="53" s="1"/>
  <c r="D22" i="53"/>
  <c r="D24" i="53" s="1"/>
  <c r="D26" i="53" s="1"/>
  <c r="U21" i="53"/>
  <c r="S21" i="53"/>
  <c r="S22" i="53" s="1"/>
  <c r="S24" i="53" s="1"/>
  <c r="S26" i="53" s="1"/>
  <c r="Q21" i="53"/>
  <c r="O21" i="53"/>
  <c r="N21" i="53"/>
  <c r="M21" i="53"/>
  <c r="K21" i="53"/>
  <c r="G21" i="53"/>
  <c r="E21" i="53"/>
  <c r="X20" i="53"/>
  <c r="X22" i="53" s="1"/>
  <c r="X24" i="53" s="1"/>
  <c r="X26" i="53" s="1"/>
  <c r="V20" i="53"/>
  <c r="V22" i="53" s="1"/>
  <c r="V24" i="53" s="1"/>
  <c r="V26" i="53" s="1"/>
  <c r="U20" i="53"/>
  <c r="S20" i="53"/>
  <c r="Q20" i="53"/>
  <c r="O20" i="53"/>
  <c r="O22" i="53" s="1"/>
  <c r="O24" i="53" s="1"/>
  <c r="O26" i="53" s="1"/>
  <c r="N20" i="53"/>
  <c r="N22" i="53" s="1"/>
  <c r="N24" i="53" s="1"/>
  <c r="N26" i="53" s="1"/>
  <c r="M20" i="53"/>
  <c r="M22" i="53" s="1"/>
  <c r="M24" i="53" s="1"/>
  <c r="M26" i="53" s="1"/>
  <c r="K20" i="53"/>
  <c r="I20" i="53"/>
  <c r="I22" i="53" s="1"/>
  <c r="I24" i="53" s="1"/>
  <c r="H20" i="53"/>
  <c r="H22" i="53" s="1"/>
  <c r="H24" i="53" s="1"/>
  <c r="G20" i="53"/>
  <c r="E20" i="53"/>
  <c r="E22" i="53" s="1"/>
  <c r="E24" i="53" s="1"/>
  <c r="Q22" i="53" l="1"/>
  <c r="Q24" i="53" s="1"/>
  <c r="Q26" i="53" s="1"/>
  <c r="I26" i="53"/>
  <c r="E26" i="53"/>
  <c r="G22" i="53"/>
  <c r="G24" i="53" s="1"/>
  <c r="K22" i="53"/>
  <c r="K24" i="53" s="1"/>
  <c r="K26" i="53" s="1"/>
  <c r="H26" i="53"/>
  <c r="Y26" i="53"/>
  <c r="G26" i="53"/>
  <c r="U22" i="53"/>
  <c r="U24" i="53" s="1"/>
  <c r="U26" i="53" s="1"/>
  <c r="T22" i="53"/>
  <c r="T24" i="53" s="1"/>
  <c r="T26" i="53" s="1"/>
  <c r="T21" i="52"/>
  <c r="Y25" i="52" l="1"/>
  <c r="U25" i="52"/>
  <c r="S25" i="52"/>
  <c r="Q25" i="52"/>
  <c r="O25" i="52"/>
  <c r="M25" i="52"/>
  <c r="K25" i="52"/>
  <c r="I25" i="52"/>
  <c r="H25" i="52"/>
  <c r="G25" i="52"/>
  <c r="E25" i="52"/>
  <c r="AG24" i="52"/>
  <c r="AG26" i="52" s="1"/>
  <c r="E23" i="52"/>
  <c r="AH22" i="52"/>
  <c r="AH24" i="52" s="1"/>
  <c r="AH26" i="52" s="1"/>
  <c r="AG22" i="52"/>
  <c r="AF22" i="52"/>
  <c r="AF24" i="52" s="1"/>
  <c r="AF26" i="52" s="1"/>
  <c r="AE22" i="52"/>
  <c r="AE24" i="52" s="1"/>
  <c r="AE26" i="52" s="1"/>
  <c r="AD22" i="52"/>
  <c r="AD24" i="52" s="1"/>
  <c r="AD26" i="52" s="1"/>
  <c r="AC22" i="52"/>
  <c r="AC24" i="52" s="1"/>
  <c r="AC26" i="52" s="1"/>
  <c r="AB22" i="52"/>
  <c r="AB24" i="52" s="1"/>
  <c r="AB26" i="52" s="1"/>
  <c r="AA22" i="52"/>
  <c r="AA24" i="52" s="1"/>
  <c r="AA26" i="52" s="1"/>
  <c r="Z22" i="52"/>
  <c r="Z24" i="52" s="1"/>
  <c r="Z26" i="52" s="1"/>
  <c r="Y22" i="52"/>
  <c r="Y24" i="52" s="1"/>
  <c r="Y26" i="52" s="1"/>
  <c r="W22" i="52"/>
  <c r="W24" i="52" s="1"/>
  <c r="W26" i="52" s="1"/>
  <c r="T22" i="52"/>
  <c r="T24" i="52" s="1"/>
  <c r="T26" i="52" s="1"/>
  <c r="R22" i="52"/>
  <c r="R24" i="52" s="1"/>
  <c r="R26" i="52" s="1"/>
  <c r="P22" i="52"/>
  <c r="P24" i="52" s="1"/>
  <c r="P26" i="52" s="1"/>
  <c r="L22" i="52"/>
  <c r="L24" i="52" s="1"/>
  <c r="L26" i="52" s="1"/>
  <c r="K22" i="52"/>
  <c r="K24" i="52" s="1"/>
  <c r="J22" i="52"/>
  <c r="J24" i="52" s="1"/>
  <c r="J26" i="52" s="1"/>
  <c r="F22" i="52"/>
  <c r="F24" i="52" s="1"/>
  <c r="F26" i="52" s="1"/>
  <c r="E22" i="52"/>
  <c r="E24" i="52" s="1"/>
  <c r="D22" i="52"/>
  <c r="D24" i="52" s="1"/>
  <c r="D26" i="52" s="1"/>
  <c r="U21" i="52"/>
  <c r="S21" i="52"/>
  <c r="Q21" i="52"/>
  <c r="O21" i="52"/>
  <c r="N21" i="52"/>
  <c r="M21" i="52"/>
  <c r="K21" i="52"/>
  <c r="G21" i="52"/>
  <c r="E21" i="52"/>
  <c r="X20" i="52"/>
  <c r="X22" i="52" s="1"/>
  <c r="X24" i="52" s="1"/>
  <c r="X26" i="52" s="1"/>
  <c r="V20" i="52"/>
  <c r="V22" i="52" s="1"/>
  <c r="V24" i="52" s="1"/>
  <c r="V26" i="52" s="1"/>
  <c r="U20" i="52"/>
  <c r="S20" i="52"/>
  <c r="Q20" i="52"/>
  <c r="O20" i="52"/>
  <c r="O22" i="52" s="1"/>
  <c r="O24" i="52" s="1"/>
  <c r="O26" i="52" s="1"/>
  <c r="N20" i="52"/>
  <c r="N22" i="52" s="1"/>
  <c r="N24" i="52" s="1"/>
  <c r="N26" i="52" s="1"/>
  <c r="M20" i="52"/>
  <c r="K20" i="52"/>
  <c r="I20" i="52"/>
  <c r="I22" i="52" s="1"/>
  <c r="I24" i="52" s="1"/>
  <c r="H20" i="52"/>
  <c r="H22" i="52" s="1"/>
  <c r="H24" i="52" s="1"/>
  <c r="G20" i="52"/>
  <c r="E20" i="52"/>
  <c r="Q22" i="52" l="1"/>
  <c r="Q24" i="52" s="1"/>
  <c r="Q26" i="52" s="1"/>
  <c r="S22" i="52"/>
  <c r="S24" i="52" s="1"/>
  <c r="S26" i="52" s="1"/>
  <c r="E26" i="52"/>
  <c r="K26" i="52"/>
  <c r="M22" i="52"/>
  <c r="M24" i="52" s="1"/>
  <c r="M26" i="52" s="1"/>
  <c r="H26" i="52"/>
  <c r="I26" i="52"/>
  <c r="G22" i="52"/>
  <c r="G24" i="52" s="1"/>
  <c r="U22" i="52"/>
  <c r="U24" i="52" s="1"/>
  <c r="U26" i="52" s="1"/>
  <c r="G26" i="52"/>
  <c r="AF25" i="51"/>
  <c r="AC25" i="51"/>
  <c r="Y25" i="51" l="1"/>
  <c r="U25" i="51"/>
  <c r="S25" i="51"/>
  <c r="Q25" i="51"/>
  <c r="O25" i="51"/>
  <c r="M25" i="51"/>
  <c r="K25" i="51"/>
  <c r="I25" i="51"/>
  <c r="H25" i="51"/>
  <c r="G25" i="51"/>
  <c r="E25" i="51"/>
  <c r="AE24" i="51"/>
  <c r="AE26" i="51" s="1"/>
  <c r="E23" i="51"/>
  <c r="AH22" i="51"/>
  <c r="AH24" i="51" s="1"/>
  <c r="AH26" i="51" s="1"/>
  <c r="AG22" i="51"/>
  <c r="AG24" i="51" s="1"/>
  <c r="AG26" i="51" s="1"/>
  <c r="AF22" i="51"/>
  <c r="AF24" i="51" s="1"/>
  <c r="AF26" i="51" s="1"/>
  <c r="AE22" i="51"/>
  <c r="AD22" i="51"/>
  <c r="AD24" i="51" s="1"/>
  <c r="AD26" i="51" s="1"/>
  <c r="AC22" i="51"/>
  <c r="AC24" i="51" s="1"/>
  <c r="AC26" i="51" s="1"/>
  <c r="AB22" i="51"/>
  <c r="AB24" i="51" s="1"/>
  <c r="AB26" i="51" s="1"/>
  <c r="AA22" i="51"/>
  <c r="AA24" i="51" s="1"/>
  <c r="AA26" i="51" s="1"/>
  <c r="Z22" i="51"/>
  <c r="Z24" i="51" s="1"/>
  <c r="Z26" i="51" s="1"/>
  <c r="Y22" i="51"/>
  <c r="Y24" i="51" s="1"/>
  <c r="W22" i="51"/>
  <c r="W24" i="51" s="1"/>
  <c r="W26" i="51" s="1"/>
  <c r="T22" i="51"/>
  <c r="T24" i="51" s="1"/>
  <c r="T26" i="51" s="1"/>
  <c r="R22" i="51"/>
  <c r="R24" i="51" s="1"/>
  <c r="R26" i="51" s="1"/>
  <c r="P22" i="51"/>
  <c r="P24" i="51" s="1"/>
  <c r="P26" i="51" s="1"/>
  <c r="M22" i="51"/>
  <c r="M24" i="51" s="1"/>
  <c r="L22" i="51"/>
  <c r="L24" i="51" s="1"/>
  <c r="L26" i="51" s="1"/>
  <c r="J22" i="51"/>
  <c r="J24" i="51" s="1"/>
  <c r="J26" i="51" s="1"/>
  <c r="F22" i="51"/>
  <c r="F24" i="51" s="1"/>
  <c r="F26" i="51" s="1"/>
  <c r="D22" i="51"/>
  <c r="D24" i="51" s="1"/>
  <c r="D26" i="51" s="1"/>
  <c r="U21" i="51"/>
  <c r="U22" i="51" s="1"/>
  <c r="U24" i="51" s="1"/>
  <c r="S21" i="51"/>
  <c r="Q21" i="51"/>
  <c r="O21" i="51"/>
  <c r="N21" i="51"/>
  <c r="M21" i="51"/>
  <c r="K21" i="51"/>
  <c r="G21" i="51"/>
  <c r="E21" i="51"/>
  <c r="X20" i="51"/>
  <c r="X22" i="51" s="1"/>
  <c r="X24" i="51" s="1"/>
  <c r="X26" i="51" s="1"/>
  <c r="V20" i="51"/>
  <c r="V22" i="51" s="1"/>
  <c r="V24" i="51" s="1"/>
  <c r="V26" i="51" s="1"/>
  <c r="U20" i="51"/>
  <c r="S20" i="51"/>
  <c r="Q20" i="51"/>
  <c r="O20" i="51"/>
  <c r="O22" i="51" s="1"/>
  <c r="O24" i="51" s="1"/>
  <c r="O26" i="51" s="1"/>
  <c r="N20" i="51"/>
  <c r="N22" i="51" s="1"/>
  <c r="N24" i="51" s="1"/>
  <c r="N26" i="51" s="1"/>
  <c r="M20" i="51"/>
  <c r="K20" i="51"/>
  <c r="I20" i="51"/>
  <c r="I22" i="51" s="1"/>
  <c r="I24" i="51" s="1"/>
  <c r="H20" i="51"/>
  <c r="H22" i="51" s="1"/>
  <c r="H24" i="51" s="1"/>
  <c r="G20" i="51"/>
  <c r="E20" i="51"/>
  <c r="E22" i="51" s="1"/>
  <c r="E24" i="51" s="1"/>
  <c r="Q22" i="51" l="1"/>
  <c r="Q24" i="51" s="1"/>
  <c r="Q26" i="51" s="1"/>
  <c r="H26" i="51"/>
  <c r="I26" i="51"/>
  <c r="S22" i="51"/>
  <c r="S24" i="51" s="1"/>
  <c r="S26" i="51" s="1"/>
  <c r="E26" i="51"/>
  <c r="M26" i="51"/>
  <c r="K22" i="51"/>
  <c r="K24" i="51" s="1"/>
  <c r="K26" i="51" s="1"/>
  <c r="Y26" i="51"/>
  <c r="U26" i="51"/>
  <c r="G22" i="51"/>
  <c r="G24" i="51" s="1"/>
  <c r="G26" i="51" s="1"/>
  <c r="AF25" i="50"/>
  <c r="AC25" i="50"/>
  <c r="Y25" i="50"/>
  <c r="U25" i="50"/>
  <c r="S25" i="50"/>
  <c r="Q25" i="50"/>
  <c r="O25" i="50"/>
  <c r="M25" i="50"/>
  <c r="K25" i="50"/>
  <c r="I25" i="50"/>
  <c r="H25" i="50"/>
  <c r="G25" i="50"/>
  <c r="E25" i="50"/>
  <c r="AE24" i="50"/>
  <c r="AE26" i="50" s="1"/>
  <c r="E23" i="50"/>
  <c r="AH22" i="50"/>
  <c r="AH24" i="50" s="1"/>
  <c r="AH26" i="50" s="1"/>
  <c r="AG22" i="50"/>
  <c r="AG24" i="50" s="1"/>
  <c r="AG26" i="50" s="1"/>
  <c r="AF22" i="50"/>
  <c r="AF24" i="50" s="1"/>
  <c r="AE22" i="50"/>
  <c r="AD22" i="50"/>
  <c r="AD24" i="50" s="1"/>
  <c r="AD26" i="50" s="1"/>
  <c r="AC22" i="50"/>
  <c r="AC24" i="50" s="1"/>
  <c r="AB22" i="50"/>
  <c r="AB24" i="50" s="1"/>
  <c r="AB26" i="50" s="1"/>
  <c r="AA22" i="50"/>
  <c r="AA24" i="50" s="1"/>
  <c r="AA26" i="50" s="1"/>
  <c r="Z22" i="50"/>
  <c r="Z24" i="50" s="1"/>
  <c r="Z26" i="50" s="1"/>
  <c r="Y22" i="50"/>
  <c r="Y24" i="50" s="1"/>
  <c r="W22" i="50"/>
  <c r="W24" i="50" s="1"/>
  <c r="W26" i="50" s="1"/>
  <c r="T22" i="50"/>
  <c r="T24" i="50" s="1"/>
  <c r="T26" i="50" s="1"/>
  <c r="R22" i="50"/>
  <c r="R24" i="50" s="1"/>
  <c r="R26" i="50" s="1"/>
  <c r="P22" i="50"/>
  <c r="P24" i="50" s="1"/>
  <c r="P26" i="50" s="1"/>
  <c r="L22" i="50"/>
  <c r="L24" i="50" s="1"/>
  <c r="L26" i="50" s="1"/>
  <c r="J22" i="50"/>
  <c r="J24" i="50" s="1"/>
  <c r="J26" i="50" s="1"/>
  <c r="F22" i="50"/>
  <c r="F24" i="50" s="1"/>
  <c r="F26" i="50" s="1"/>
  <c r="D22" i="50"/>
  <c r="D24" i="50" s="1"/>
  <c r="D26" i="50" s="1"/>
  <c r="U21" i="50"/>
  <c r="S21" i="50"/>
  <c r="Q21" i="50"/>
  <c r="O21" i="50"/>
  <c r="N21" i="50"/>
  <c r="M21" i="50"/>
  <c r="K21" i="50"/>
  <c r="G21" i="50"/>
  <c r="E21" i="50"/>
  <c r="X20" i="50"/>
  <c r="X22" i="50" s="1"/>
  <c r="X24" i="50" s="1"/>
  <c r="X26" i="50" s="1"/>
  <c r="V20" i="50"/>
  <c r="V22" i="50" s="1"/>
  <c r="V24" i="50" s="1"/>
  <c r="V26" i="50" s="1"/>
  <c r="U20" i="50"/>
  <c r="S20" i="50"/>
  <c r="Q20" i="50"/>
  <c r="Q22" i="50" s="1"/>
  <c r="Q24" i="50" s="1"/>
  <c r="Q26" i="50" s="1"/>
  <c r="O20" i="50"/>
  <c r="O22" i="50" s="1"/>
  <c r="O24" i="50" s="1"/>
  <c r="N20" i="50"/>
  <c r="N22" i="50" s="1"/>
  <c r="N24" i="50" s="1"/>
  <c r="N26" i="50" s="1"/>
  <c r="M20" i="50"/>
  <c r="K20" i="50"/>
  <c r="I20" i="50"/>
  <c r="I22" i="50" s="1"/>
  <c r="I24" i="50" s="1"/>
  <c r="H20" i="50"/>
  <c r="H22" i="50" s="1"/>
  <c r="H24" i="50" s="1"/>
  <c r="G20" i="50"/>
  <c r="E20" i="50"/>
  <c r="E22" i="50" s="1"/>
  <c r="E24" i="50" s="1"/>
  <c r="H26" i="50" l="1"/>
  <c r="K22" i="50"/>
  <c r="K24" i="50" s="1"/>
  <c r="K26" i="50" s="1"/>
  <c r="E26" i="50"/>
  <c r="I26" i="50"/>
  <c r="O26" i="50"/>
  <c r="S22" i="50"/>
  <c r="S24" i="50" s="1"/>
  <c r="S26" i="50" s="1"/>
  <c r="M22" i="50"/>
  <c r="M24" i="50" s="1"/>
  <c r="M26" i="50" s="1"/>
  <c r="G22" i="50"/>
  <c r="G24" i="50" s="1"/>
  <c r="G26" i="50" s="1"/>
  <c r="U22" i="50"/>
  <c r="U24" i="50" s="1"/>
  <c r="U26" i="50" s="1"/>
  <c r="AF26" i="50"/>
  <c r="AC26" i="50"/>
  <c r="Y26" i="50"/>
  <c r="AF25" i="49"/>
  <c r="T23" i="49"/>
  <c r="U23" i="49" s="1"/>
  <c r="F23" i="49"/>
  <c r="G23" i="49" s="1"/>
  <c r="Y25" i="49"/>
  <c r="U25" i="49"/>
  <c r="S25" i="49"/>
  <c r="Q25" i="49"/>
  <c r="O25" i="49"/>
  <c r="M25" i="49"/>
  <c r="K25" i="49"/>
  <c r="I25" i="49"/>
  <c r="H25" i="49"/>
  <c r="G25" i="49"/>
  <c r="E25" i="49"/>
  <c r="AB24" i="49"/>
  <c r="AB26" i="49" s="1"/>
  <c r="W23" i="49"/>
  <c r="E23" i="49"/>
  <c r="AH22" i="49"/>
  <c r="AH24" i="49" s="1"/>
  <c r="AH26" i="49" s="1"/>
  <c r="AG22" i="49"/>
  <c r="AG24" i="49" s="1"/>
  <c r="AG26" i="49" s="1"/>
  <c r="AF22" i="49"/>
  <c r="AF24" i="49" s="1"/>
  <c r="AF26" i="49" s="1"/>
  <c r="AE22" i="49"/>
  <c r="AE24" i="49" s="1"/>
  <c r="AE26" i="49" s="1"/>
  <c r="AD22" i="49"/>
  <c r="AD24" i="49" s="1"/>
  <c r="AD26" i="49" s="1"/>
  <c r="AC22" i="49"/>
  <c r="AC24" i="49" s="1"/>
  <c r="AC26" i="49" s="1"/>
  <c r="AB22" i="49"/>
  <c r="AA22" i="49"/>
  <c r="AA24" i="49" s="1"/>
  <c r="AA26" i="49" s="1"/>
  <c r="Z22" i="49"/>
  <c r="Z24" i="49" s="1"/>
  <c r="Z26" i="49" s="1"/>
  <c r="Y22" i="49"/>
  <c r="Y24" i="49" s="1"/>
  <c r="W22" i="49"/>
  <c r="T22" i="49"/>
  <c r="T24" i="49" s="1"/>
  <c r="T26" i="49" s="1"/>
  <c r="R22" i="49"/>
  <c r="R24" i="49" s="1"/>
  <c r="R26" i="49" s="1"/>
  <c r="P22" i="49"/>
  <c r="P24" i="49" s="1"/>
  <c r="P26" i="49" s="1"/>
  <c r="N22" i="49"/>
  <c r="N24" i="49" s="1"/>
  <c r="N26" i="49" s="1"/>
  <c r="L22" i="49"/>
  <c r="L24" i="49" s="1"/>
  <c r="L26" i="49" s="1"/>
  <c r="J22" i="49"/>
  <c r="J24" i="49" s="1"/>
  <c r="J26" i="49" s="1"/>
  <c r="F22" i="49"/>
  <c r="D22" i="49"/>
  <c r="D24" i="49" s="1"/>
  <c r="D26" i="49" s="1"/>
  <c r="U21" i="49"/>
  <c r="S21" i="49"/>
  <c r="Q21" i="49"/>
  <c r="O21" i="49"/>
  <c r="N21" i="49"/>
  <c r="M21" i="49"/>
  <c r="K21" i="49"/>
  <c r="K22" i="49" s="1"/>
  <c r="K24" i="49" s="1"/>
  <c r="G21" i="49"/>
  <c r="E21" i="49"/>
  <c r="X20" i="49"/>
  <c r="X22" i="49" s="1"/>
  <c r="X24" i="49" s="1"/>
  <c r="X26" i="49" s="1"/>
  <c r="V20" i="49"/>
  <c r="V22" i="49" s="1"/>
  <c r="V24" i="49" s="1"/>
  <c r="V26" i="49" s="1"/>
  <c r="U20" i="49"/>
  <c r="S20" i="49"/>
  <c r="Q20" i="49"/>
  <c r="O20" i="49"/>
  <c r="O22" i="49" s="1"/>
  <c r="O24" i="49" s="1"/>
  <c r="N20" i="49"/>
  <c r="M20" i="49"/>
  <c r="K20" i="49"/>
  <c r="I20" i="49"/>
  <c r="I22" i="49" s="1"/>
  <c r="I24" i="49" s="1"/>
  <c r="H20" i="49"/>
  <c r="H22" i="49" s="1"/>
  <c r="H24" i="49" s="1"/>
  <c r="H26" i="49" s="1"/>
  <c r="G20" i="49"/>
  <c r="E20" i="49"/>
  <c r="E22" i="49" s="1"/>
  <c r="E24" i="49" s="1"/>
  <c r="E26" i="49" s="1"/>
  <c r="I26" i="49" l="1"/>
  <c r="K26" i="49"/>
  <c r="S22" i="49"/>
  <c r="S24" i="49" s="1"/>
  <c r="S26" i="49" s="1"/>
  <c r="O26" i="49"/>
  <c r="M22" i="49"/>
  <c r="M24" i="49" s="1"/>
  <c r="M26" i="49" s="1"/>
  <c r="Q22" i="49"/>
  <c r="Q24" i="49" s="1"/>
  <c r="Q26" i="49" s="1"/>
  <c r="W24" i="49"/>
  <c r="W26" i="49" s="1"/>
  <c r="F24" i="49"/>
  <c r="F26" i="49" s="1"/>
  <c r="G22" i="49"/>
  <c r="G24" i="49" s="1"/>
  <c r="G26" i="49" s="1"/>
  <c r="U22" i="49"/>
  <c r="U24" i="49" s="1"/>
  <c r="U26" i="49" s="1"/>
  <c r="Y26" i="49"/>
  <c r="AF25" i="48"/>
  <c r="AC25" i="48"/>
  <c r="W23" i="48" l="1"/>
  <c r="T23" i="48"/>
  <c r="F23" i="48"/>
  <c r="Y25" i="48" l="1"/>
  <c r="U25" i="48"/>
  <c r="S25" i="48"/>
  <c r="Q25" i="48"/>
  <c r="O25" i="48"/>
  <c r="M25" i="48"/>
  <c r="K25" i="48"/>
  <c r="I25" i="48"/>
  <c r="H25" i="48"/>
  <c r="G25" i="48"/>
  <c r="E25" i="48"/>
  <c r="U23" i="48"/>
  <c r="G23" i="48"/>
  <c r="E23" i="48"/>
  <c r="AH22" i="48"/>
  <c r="AH24" i="48" s="1"/>
  <c r="AH26" i="48" s="1"/>
  <c r="AG22" i="48"/>
  <c r="AG24" i="48" s="1"/>
  <c r="AG26" i="48" s="1"/>
  <c r="AF22" i="48"/>
  <c r="AF24" i="48" s="1"/>
  <c r="AF26" i="48" s="1"/>
  <c r="AE22" i="48"/>
  <c r="AE24" i="48" s="1"/>
  <c r="AE26" i="48" s="1"/>
  <c r="AD22" i="48"/>
  <c r="AD24" i="48" s="1"/>
  <c r="AD26" i="48" s="1"/>
  <c r="AC22" i="48"/>
  <c r="AC24" i="48" s="1"/>
  <c r="AC26" i="48" s="1"/>
  <c r="AB22" i="48"/>
  <c r="AB24" i="48" s="1"/>
  <c r="AB26" i="48" s="1"/>
  <c r="AA22" i="48"/>
  <c r="AA24" i="48" s="1"/>
  <c r="AA26" i="48" s="1"/>
  <c r="Z22" i="48"/>
  <c r="Z24" i="48" s="1"/>
  <c r="Z26" i="48" s="1"/>
  <c r="Y22" i="48"/>
  <c r="Y24" i="48" s="1"/>
  <c r="Y26" i="48" s="1"/>
  <c r="W22" i="48"/>
  <c r="T22" i="48"/>
  <c r="T24" i="48" s="1"/>
  <c r="T26" i="48" s="1"/>
  <c r="R22" i="48"/>
  <c r="R24" i="48" s="1"/>
  <c r="R26" i="48" s="1"/>
  <c r="P22" i="48"/>
  <c r="P24" i="48" s="1"/>
  <c r="P26" i="48" s="1"/>
  <c r="O22" i="48"/>
  <c r="O24" i="48" s="1"/>
  <c r="O26" i="48" s="1"/>
  <c r="L22" i="48"/>
  <c r="L24" i="48" s="1"/>
  <c r="L26" i="48" s="1"/>
  <c r="K22" i="48"/>
  <c r="K24" i="48" s="1"/>
  <c r="K26" i="48" s="1"/>
  <c r="J22" i="48"/>
  <c r="J24" i="48" s="1"/>
  <c r="J26" i="48" s="1"/>
  <c r="F22" i="48"/>
  <c r="F24" i="48" s="1"/>
  <c r="F26" i="48" s="1"/>
  <c r="D22" i="48"/>
  <c r="D24" i="48" s="1"/>
  <c r="D26" i="48" s="1"/>
  <c r="U21" i="48"/>
  <c r="S21" i="48"/>
  <c r="Q21" i="48"/>
  <c r="O21" i="48"/>
  <c r="N21" i="48"/>
  <c r="M21" i="48"/>
  <c r="K21" i="48"/>
  <c r="G21" i="48"/>
  <c r="E21" i="48"/>
  <c r="X20" i="48"/>
  <c r="X22" i="48" s="1"/>
  <c r="X24" i="48" s="1"/>
  <c r="X26" i="48" s="1"/>
  <c r="V20" i="48"/>
  <c r="V22" i="48" s="1"/>
  <c r="V24" i="48" s="1"/>
  <c r="V26" i="48" s="1"/>
  <c r="U20" i="48"/>
  <c r="S20" i="48"/>
  <c r="Q20" i="48"/>
  <c r="Q22" i="48" s="1"/>
  <c r="Q24" i="48" s="1"/>
  <c r="Q26" i="48" s="1"/>
  <c r="O20" i="48"/>
  <c r="N20" i="48"/>
  <c r="N22" i="48" s="1"/>
  <c r="N24" i="48" s="1"/>
  <c r="N26" i="48" s="1"/>
  <c r="M20" i="48"/>
  <c r="K20" i="48"/>
  <c r="I20" i="48"/>
  <c r="I22" i="48" s="1"/>
  <c r="I24" i="48" s="1"/>
  <c r="H20" i="48"/>
  <c r="H22" i="48" s="1"/>
  <c r="H24" i="48" s="1"/>
  <c r="G20" i="48"/>
  <c r="G22" i="48" s="1"/>
  <c r="E20" i="48"/>
  <c r="E22" i="48" s="1"/>
  <c r="E24" i="48" s="1"/>
  <c r="E26" i="48" l="1"/>
  <c r="S22" i="48"/>
  <c r="S24" i="48" s="1"/>
  <c r="S26" i="48" s="1"/>
  <c r="H26" i="48"/>
  <c r="M22" i="48"/>
  <c r="M24" i="48" s="1"/>
  <c r="M26" i="48" s="1"/>
  <c r="I26" i="48"/>
  <c r="U22" i="48"/>
  <c r="W24" i="48"/>
  <c r="W26" i="48" s="1"/>
  <c r="U24" i="48"/>
  <c r="U26" i="48" s="1"/>
  <c r="G24" i="48"/>
  <c r="G26" i="48" s="1"/>
  <c r="T23" i="47"/>
  <c r="U23" i="47" s="1"/>
  <c r="F23" i="47"/>
  <c r="G23" i="47"/>
  <c r="E23" i="47"/>
  <c r="AF25" i="47" l="1"/>
  <c r="AC25" i="47"/>
  <c r="Y25" i="47"/>
  <c r="U25" i="47"/>
  <c r="S25" i="47"/>
  <c r="Q25" i="47"/>
  <c r="O25" i="47"/>
  <c r="M25" i="47"/>
  <c r="K25" i="47"/>
  <c r="I25" i="47"/>
  <c r="H25" i="47"/>
  <c r="G25" i="47"/>
  <c r="E25" i="47"/>
  <c r="AH22" i="47"/>
  <c r="AH24" i="47" s="1"/>
  <c r="AH26" i="47" s="1"/>
  <c r="AG22" i="47"/>
  <c r="AG24" i="47" s="1"/>
  <c r="AG26" i="47" s="1"/>
  <c r="AF22" i="47"/>
  <c r="AF24" i="47" s="1"/>
  <c r="AE22" i="47"/>
  <c r="AE24" i="47" s="1"/>
  <c r="AE26" i="47" s="1"/>
  <c r="AD22" i="47"/>
  <c r="AD24" i="47" s="1"/>
  <c r="AD26" i="47" s="1"/>
  <c r="AC22" i="47"/>
  <c r="AC24" i="47" s="1"/>
  <c r="AC26" i="47" s="1"/>
  <c r="AB22" i="47"/>
  <c r="AB24" i="47" s="1"/>
  <c r="AB26" i="47" s="1"/>
  <c r="AA22" i="47"/>
  <c r="AA24" i="47" s="1"/>
  <c r="AA26" i="47" s="1"/>
  <c r="Z22" i="47"/>
  <c r="Z24" i="47" s="1"/>
  <c r="Z26" i="47" s="1"/>
  <c r="Y22" i="47"/>
  <c r="Y24" i="47" s="1"/>
  <c r="W22" i="47"/>
  <c r="W24" i="47" s="1"/>
  <c r="W26" i="47" s="1"/>
  <c r="T22" i="47"/>
  <c r="T24" i="47" s="1"/>
  <c r="T26" i="47" s="1"/>
  <c r="S22" i="47"/>
  <c r="S24" i="47" s="1"/>
  <c r="R22" i="47"/>
  <c r="R24" i="47" s="1"/>
  <c r="R26" i="47" s="1"/>
  <c r="Q22" i="47"/>
  <c r="Q24" i="47" s="1"/>
  <c r="Q26" i="47" s="1"/>
  <c r="P22" i="47"/>
  <c r="P24" i="47" s="1"/>
  <c r="P26" i="47" s="1"/>
  <c r="L22" i="47"/>
  <c r="L24" i="47" s="1"/>
  <c r="L26" i="47" s="1"/>
  <c r="J22" i="47"/>
  <c r="J24" i="47" s="1"/>
  <c r="J26" i="47" s="1"/>
  <c r="F22" i="47"/>
  <c r="F24" i="47" s="1"/>
  <c r="F26" i="47" s="1"/>
  <c r="E22" i="47"/>
  <c r="E24" i="47" s="1"/>
  <c r="E26" i="47" s="1"/>
  <c r="D22" i="47"/>
  <c r="D24" i="47" s="1"/>
  <c r="D26" i="47" s="1"/>
  <c r="U21" i="47"/>
  <c r="S21" i="47"/>
  <c r="Q21" i="47"/>
  <c r="O21" i="47"/>
  <c r="N21" i="47"/>
  <c r="M21" i="47"/>
  <c r="K21" i="47"/>
  <c r="G21" i="47"/>
  <c r="E21" i="47"/>
  <c r="X20" i="47"/>
  <c r="X22" i="47" s="1"/>
  <c r="X24" i="47" s="1"/>
  <c r="X26" i="47" s="1"/>
  <c r="V20" i="47"/>
  <c r="V22" i="47" s="1"/>
  <c r="V24" i="47" s="1"/>
  <c r="V26" i="47" s="1"/>
  <c r="U20" i="47"/>
  <c r="S20" i="47"/>
  <c r="Q20" i="47"/>
  <c r="O20" i="47"/>
  <c r="O22" i="47" s="1"/>
  <c r="O24" i="47" s="1"/>
  <c r="N20" i="47"/>
  <c r="N22" i="47" s="1"/>
  <c r="N24" i="47" s="1"/>
  <c r="N26" i="47" s="1"/>
  <c r="M20" i="47"/>
  <c r="K20" i="47"/>
  <c r="I20" i="47"/>
  <c r="I22" i="47" s="1"/>
  <c r="I24" i="47" s="1"/>
  <c r="H20" i="47"/>
  <c r="H22" i="47" s="1"/>
  <c r="H24" i="47" s="1"/>
  <c r="G20" i="47"/>
  <c r="E20" i="47"/>
  <c r="K22" i="47" l="1"/>
  <c r="K24" i="47" s="1"/>
  <c r="K26" i="47" s="1"/>
  <c r="S26" i="47"/>
  <c r="I26" i="47"/>
  <c r="O26" i="47"/>
  <c r="M22" i="47"/>
  <c r="M24" i="47" s="1"/>
  <c r="M26" i="47" s="1"/>
  <c r="H26" i="47"/>
  <c r="G22" i="47"/>
  <c r="G24" i="47" s="1"/>
  <c r="G26" i="47" s="1"/>
  <c r="U22" i="47"/>
  <c r="U24" i="47" s="1"/>
  <c r="U26" i="47" s="1"/>
  <c r="AF26" i="47"/>
  <c r="Y26" i="47"/>
  <c r="AF25" i="46"/>
  <c r="AC25" i="46"/>
  <c r="Y25" i="46" l="1"/>
  <c r="U25" i="46"/>
  <c r="S25" i="46"/>
  <c r="Q25" i="46"/>
  <c r="O25" i="46"/>
  <c r="M25" i="46"/>
  <c r="K25" i="46"/>
  <c r="I25" i="46"/>
  <c r="H25" i="46"/>
  <c r="G25" i="46"/>
  <c r="E25" i="46"/>
  <c r="AH22" i="46"/>
  <c r="AH24" i="46" s="1"/>
  <c r="AH26" i="46" s="1"/>
  <c r="AG22" i="46"/>
  <c r="AG24" i="46" s="1"/>
  <c r="AG26" i="46" s="1"/>
  <c r="AF22" i="46"/>
  <c r="AF24" i="46" s="1"/>
  <c r="AF26" i="46" s="1"/>
  <c r="AE22" i="46"/>
  <c r="AE24" i="46" s="1"/>
  <c r="AE26" i="46" s="1"/>
  <c r="AD22" i="46"/>
  <c r="AD24" i="46" s="1"/>
  <c r="AD26" i="46" s="1"/>
  <c r="AC22" i="46"/>
  <c r="AC24" i="46" s="1"/>
  <c r="AC26" i="46" s="1"/>
  <c r="AB22" i="46"/>
  <c r="AB24" i="46" s="1"/>
  <c r="AB26" i="46" s="1"/>
  <c r="AA22" i="46"/>
  <c r="AA24" i="46" s="1"/>
  <c r="AA26" i="46" s="1"/>
  <c r="Z22" i="46"/>
  <c r="Z24" i="46" s="1"/>
  <c r="Z26" i="46" s="1"/>
  <c r="Y22" i="46"/>
  <c r="Y24" i="46" s="1"/>
  <c r="Y26" i="46" s="1"/>
  <c r="W22" i="46"/>
  <c r="W24" i="46" s="1"/>
  <c r="W26" i="46" s="1"/>
  <c r="V22" i="46"/>
  <c r="V24" i="46" s="1"/>
  <c r="V26" i="46" s="1"/>
  <c r="T22" i="46"/>
  <c r="T24" i="46" s="1"/>
  <c r="T26" i="46" s="1"/>
  <c r="R22" i="46"/>
  <c r="R24" i="46" s="1"/>
  <c r="R26" i="46" s="1"/>
  <c r="P22" i="46"/>
  <c r="P24" i="46" s="1"/>
  <c r="P26" i="46" s="1"/>
  <c r="L22" i="46"/>
  <c r="L24" i="46" s="1"/>
  <c r="L26" i="46" s="1"/>
  <c r="J22" i="46"/>
  <c r="J24" i="46" s="1"/>
  <c r="J26" i="46" s="1"/>
  <c r="F22" i="46"/>
  <c r="F24" i="46" s="1"/>
  <c r="F26" i="46" s="1"/>
  <c r="D22" i="46"/>
  <c r="D24" i="46" s="1"/>
  <c r="D26" i="46" s="1"/>
  <c r="U21" i="46"/>
  <c r="S21" i="46"/>
  <c r="Q21" i="46"/>
  <c r="O21" i="46"/>
  <c r="N21" i="46"/>
  <c r="M21" i="46"/>
  <c r="K21" i="46"/>
  <c r="G21" i="46"/>
  <c r="E21" i="46"/>
  <c r="X20" i="46"/>
  <c r="X22" i="46" s="1"/>
  <c r="X24" i="46" s="1"/>
  <c r="X26" i="46" s="1"/>
  <c r="V20" i="46"/>
  <c r="U20" i="46"/>
  <c r="S20" i="46"/>
  <c r="Q20" i="46"/>
  <c r="O20" i="46"/>
  <c r="O22" i="46" s="1"/>
  <c r="O24" i="46" s="1"/>
  <c r="O26" i="46" s="1"/>
  <c r="N20" i="46"/>
  <c r="N22" i="46" s="1"/>
  <c r="N24" i="46" s="1"/>
  <c r="N26" i="46" s="1"/>
  <c r="M20" i="46"/>
  <c r="K20" i="46"/>
  <c r="I20" i="46"/>
  <c r="I22" i="46" s="1"/>
  <c r="I24" i="46" s="1"/>
  <c r="H20" i="46"/>
  <c r="H22" i="46" s="1"/>
  <c r="H24" i="46" s="1"/>
  <c r="G20" i="46"/>
  <c r="G22" i="46" s="1"/>
  <c r="G24" i="46" s="1"/>
  <c r="E20" i="46"/>
  <c r="E22" i="46" s="1"/>
  <c r="E24" i="46" s="1"/>
  <c r="S22" i="46" l="1"/>
  <c r="S24" i="46" s="1"/>
  <c r="S26" i="46" s="1"/>
  <c r="Q22" i="46"/>
  <c r="Q24" i="46" s="1"/>
  <c r="Q26" i="46" s="1"/>
  <c r="M22" i="46"/>
  <c r="M24" i="46" s="1"/>
  <c r="E26" i="46"/>
  <c r="H26" i="46"/>
  <c r="I26" i="46"/>
  <c r="K22" i="46"/>
  <c r="K24" i="46" s="1"/>
  <c r="K26" i="46" s="1"/>
  <c r="M26" i="46"/>
  <c r="U22" i="46"/>
  <c r="U24" i="46" s="1"/>
  <c r="U26" i="46" s="1"/>
  <c r="G26" i="46"/>
  <c r="T23" i="45"/>
  <c r="U23" i="45" s="1"/>
  <c r="F23" i="45"/>
  <c r="G23" i="45" s="1"/>
  <c r="E23" i="45"/>
  <c r="AF25" i="45"/>
  <c r="AC25" i="45"/>
  <c r="Y25" i="45"/>
  <c r="U25" i="45"/>
  <c r="S25" i="45"/>
  <c r="Q25" i="45"/>
  <c r="O25" i="45"/>
  <c r="M25" i="45"/>
  <c r="K25" i="45"/>
  <c r="I25" i="45"/>
  <c r="H25" i="45"/>
  <c r="G25" i="45"/>
  <c r="E25" i="45"/>
  <c r="AH22" i="45"/>
  <c r="AH24" i="45" s="1"/>
  <c r="AH26" i="45" s="1"/>
  <c r="AG22" i="45"/>
  <c r="AG24" i="45" s="1"/>
  <c r="AG26" i="45" s="1"/>
  <c r="AF22" i="45"/>
  <c r="AF24" i="45" s="1"/>
  <c r="AE22" i="45"/>
  <c r="AE24" i="45" s="1"/>
  <c r="AE26" i="45" s="1"/>
  <c r="AD22" i="45"/>
  <c r="AD24" i="45" s="1"/>
  <c r="AD26" i="45" s="1"/>
  <c r="AC22" i="45"/>
  <c r="AC24" i="45" s="1"/>
  <c r="AB22" i="45"/>
  <c r="AB24" i="45" s="1"/>
  <c r="AB26" i="45" s="1"/>
  <c r="AA22" i="45"/>
  <c r="AA24" i="45" s="1"/>
  <c r="AA26" i="45" s="1"/>
  <c r="Z22" i="45"/>
  <c r="Z24" i="45" s="1"/>
  <c r="Z26" i="45" s="1"/>
  <c r="Y22" i="45"/>
  <c r="Y24" i="45" s="1"/>
  <c r="W22" i="45"/>
  <c r="W24" i="45" s="1"/>
  <c r="W26" i="45" s="1"/>
  <c r="T22" i="45"/>
  <c r="R22" i="45"/>
  <c r="R24" i="45" s="1"/>
  <c r="R26" i="45" s="1"/>
  <c r="P22" i="45"/>
  <c r="P24" i="45" s="1"/>
  <c r="P26" i="45" s="1"/>
  <c r="N22" i="45"/>
  <c r="N24" i="45" s="1"/>
  <c r="N26" i="45" s="1"/>
  <c r="M22" i="45"/>
  <c r="M24" i="45" s="1"/>
  <c r="L22" i="45"/>
  <c r="L24" i="45" s="1"/>
  <c r="L26" i="45" s="1"/>
  <c r="J22" i="45"/>
  <c r="J24" i="45" s="1"/>
  <c r="J26" i="45" s="1"/>
  <c r="F22" i="45"/>
  <c r="D22" i="45"/>
  <c r="D24" i="45" s="1"/>
  <c r="D26" i="45" s="1"/>
  <c r="U21" i="45"/>
  <c r="S21" i="45"/>
  <c r="Q21" i="45"/>
  <c r="O21" i="45"/>
  <c r="N21" i="45"/>
  <c r="M21" i="45"/>
  <c r="K21" i="45"/>
  <c r="G21" i="45"/>
  <c r="E21" i="45"/>
  <c r="X20" i="45"/>
  <c r="X22" i="45" s="1"/>
  <c r="X24" i="45" s="1"/>
  <c r="X26" i="45" s="1"/>
  <c r="V20" i="45"/>
  <c r="V22" i="45" s="1"/>
  <c r="V24" i="45" s="1"/>
  <c r="V26" i="45" s="1"/>
  <c r="U20" i="45"/>
  <c r="S20" i="45"/>
  <c r="S22" i="45" s="1"/>
  <c r="S24" i="45" s="1"/>
  <c r="Q20" i="45"/>
  <c r="O20" i="45"/>
  <c r="O22" i="45" s="1"/>
  <c r="O24" i="45" s="1"/>
  <c r="N20" i="45"/>
  <c r="M20" i="45"/>
  <c r="K20" i="45"/>
  <c r="I20" i="45"/>
  <c r="I22" i="45" s="1"/>
  <c r="I24" i="45" s="1"/>
  <c r="H20" i="45"/>
  <c r="H22" i="45" s="1"/>
  <c r="H24" i="45" s="1"/>
  <c r="G20" i="45"/>
  <c r="G22" i="45" s="1"/>
  <c r="E20" i="45"/>
  <c r="M26" i="45" l="1"/>
  <c r="I26" i="45"/>
  <c r="Q22" i="45"/>
  <c r="Q24" i="45" s="1"/>
  <c r="Q26" i="45" s="1"/>
  <c r="S26" i="45"/>
  <c r="E22" i="45"/>
  <c r="E24" i="45" s="1"/>
  <c r="E26" i="45" s="1"/>
  <c r="H26" i="45"/>
  <c r="K22" i="45"/>
  <c r="K24" i="45" s="1"/>
  <c r="K26" i="45" s="1"/>
  <c r="O26" i="45"/>
  <c r="U22" i="45"/>
  <c r="U24" i="45" s="1"/>
  <c r="U26" i="45" s="1"/>
  <c r="F24" i="45"/>
  <c r="F26" i="45" s="1"/>
  <c r="T24" i="45"/>
  <c r="T26" i="45" s="1"/>
  <c r="G24" i="45"/>
  <c r="G26" i="45" s="1"/>
  <c r="AF26" i="45"/>
  <c r="AC26" i="45"/>
  <c r="Y26" i="45"/>
  <c r="AF25" i="44"/>
  <c r="Y25" i="44"/>
  <c r="U25" i="44"/>
  <c r="S25" i="44"/>
  <c r="Q25" i="44"/>
  <c r="O25" i="44"/>
  <c r="M25" i="44"/>
  <c r="K25" i="44"/>
  <c r="I25" i="44"/>
  <c r="H25" i="44"/>
  <c r="G25" i="44"/>
  <c r="E25" i="44"/>
  <c r="AH22" i="44"/>
  <c r="AH24" i="44" s="1"/>
  <c r="AH26" i="44" s="1"/>
  <c r="AG22" i="44"/>
  <c r="AG24" i="44" s="1"/>
  <c r="AG26" i="44" s="1"/>
  <c r="AF22" i="44"/>
  <c r="AF24" i="44" s="1"/>
  <c r="AE22" i="44"/>
  <c r="AE24" i="44" s="1"/>
  <c r="AE26" i="44" s="1"/>
  <c r="AD22" i="44"/>
  <c r="AD24" i="44" s="1"/>
  <c r="AD26" i="44" s="1"/>
  <c r="AC22" i="44"/>
  <c r="AC24" i="44" s="1"/>
  <c r="AC26" i="44" s="1"/>
  <c r="AB22" i="44"/>
  <c r="AB24" i="44" s="1"/>
  <c r="AB26" i="44" s="1"/>
  <c r="AA22" i="44"/>
  <c r="AA24" i="44" s="1"/>
  <c r="AA26" i="44" s="1"/>
  <c r="Z22" i="44"/>
  <c r="Z24" i="44" s="1"/>
  <c r="Z26" i="44" s="1"/>
  <c r="Y22" i="44"/>
  <c r="Y24" i="44" s="1"/>
  <c r="W22" i="44"/>
  <c r="W24" i="44" s="1"/>
  <c r="W26" i="44" s="1"/>
  <c r="T22" i="44"/>
  <c r="T24" i="44" s="1"/>
  <c r="T26" i="44" s="1"/>
  <c r="R22" i="44"/>
  <c r="R24" i="44" s="1"/>
  <c r="R26" i="44" s="1"/>
  <c r="P22" i="44"/>
  <c r="P24" i="44" s="1"/>
  <c r="P26" i="44" s="1"/>
  <c r="L22" i="44"/>
  <c r="L24" i="44" s="1"/>
  <c r="L26" i="44" s="1"/>
  <c r="J22" i="44"/>
  <c r="J24" i="44" s="1"/>
  <c r="J26" i="44" s="1"/>
  <c r="F22" i="44"/>
  <c r="F24" i="44" s="1"/>
  <c r="F26" i="44" s="1"/>
  <c r="D22" i="44"/>
  <c r="D24" i="44" s="1"/>
  <c r="D26" i="44" s="1"/>
  <c r="U21" i="44"/>
  <c r="S21" i="44"/>
  <c r="Q21" i="44"/>
  <c r="O21" i="44"/>
  <c r="N21" i="44"/>
  <c r="M21" i="44"/>
  <c r="K21" i="44"/>
  <c r="G21" i="44"/>
  <c r="E21" i="44"/>
  <c r="X20" i="44"/>
  <c r="X22" i="44" s="1"/>
  <c r="X24" i="44" s="1"/>
  <c r="X26" i="44" s="1"/>
  <c r="V20" i="44"/>
  <c r="V22" i="44" s="1"/>
  <c r="V24" i="44" s="1"/>
  <c r="V26" i="44" s="1"/>
  <c r="U20" i="44"/>
  <c r="S20" i="44"/>
  <c r="Q20" i="44"/>
  <c r="O20" i="44"/>
  <c r="O22" i="44" s="1"/>
  <c r="O24" i="44" s="1"/>
  <c r="N20" i="44"/>
  <c r="N22" i="44" s="1"/>
  <c r="N24" i="44" s="1"/>
  <c r="N26" i="44" s="1"/>
  <c r="M20" i="44"/>
  <c r="M22" i="44" s="1"/>
  <c r="M24" i="44" s="1"/>
  <c r="K20" i="44"/>
  <c r="I20" i="44"/>
  <c r="I22" i="44" s="1"/>
  <c r="I24" i="44" s="1"/>
  <c r="H20" i="44"/>
  <c r="H22" i="44" s="1"/>
  <c r="H24" i="44" s="1"/>
  <c r="G20" i="44"/>
  <c r="G22" i="44" s="1"/>
  <c r="G24" i="44" s="1"/>
  <c r="E20" i="44"/>
  <c r="E22" i="44" s="1"/>
  <c r="E24" i="44" s="1"/>
  <c r="K22" i="44" l="1"/>
  <c r="K24" i="44" s="1"/>
  <c r="M26" i="44"/>
  <c r="S22" i="44"/>
  <c r="S24" i="44" s="1"/>
  <c r="S26" i="44" s="1"/>
  <c r="O26" i="44"/>
  <c r="Q22" i="44"/>
  <c r="Q24" i="44" s="1"/>
  <c r="Q26" i="44" s="1"/>
  <c r="H26" i="44"/>
  <c r="E26" i="44"/>
  <c r="I26" i="44"/>
  <c r="K26" i="44"/>
  <c r="G26" i="44"/>
  <c r="U22" i="44"/>
  <c r="U24" i="44" s="1"/>
  <c r="U26" i="44" s="1"/>
  <c r="AF26" i="44"/>
  <c r="Y26" i="44"/>
  <c r="AF25" i="43"/>
  <c r="AC25" i="43"/>
  <c r="Y25" i="43"/>
  <c r="U25" i="43"/>
  <c r="S25" i="43"/>
  <c r="Q25" i="43"/>
  <c r="O25" i="43"/>
  <c r="M25" i="43"/>
  <c r="K25" i="43"/>
  <c r="I25" i="43"/>
  <c r="H25" i="43"/>
  <c r="G25" i="43"/>
  <c r="E25" i="43"/>
  <c r="AH22" i="43"/>
  <c r="AH24" i="43" s="1"/>
  <c r="AH26" i="43" s="1"/>
  <c r="AG22" i="43"/>
  <c r="AG24" i="43" s="1"/>
  <c r="AG26" i="43" s="1"/>
  <c r="AF22" i="43"/>
  <c r="AF24" i="43" s="1"/>
  <c r="AE22" i="43"/>
  <c r="AE24" i="43" s="1"/>
  <c r="AE26" i="43" s="1"/>
  <c r="AD22" i="43"/>
  <c r="AD24" i="43" s="1"/>
  <c r="AD26" i="43" s="1"/>
  <c r="AC22" i="43"/>
  <c r="AC24" i="43" s="1"/>
  <c r="AB22" i="43"/>
  <c r="AB24" i="43" s="1"/>
  <c r="AB26" i="43" s="1"/>
  <c r="AA22" i="43"/>
  <c r="AA24" i="43" s="1"/>
  <c r="AA26" i="43" s="1"/>
  <c r="Z22" i="43"/>
  <c r="Z24" i="43" s="1"/>
  <c r="Z26" i="43" s="1"/>
  <c r="Y22" i="43"/>
  <c r="Y24" i="43" s="1"/>
  <c r="W22" i="43"/>
  <c r="W24" i="43" s="1"/>
  <c r="W26" i="43" s="1"/>
  <c r="T22" i="43"/>
  <c r="T24" i="43" s="1"/>
  <c r="T26" i="43" s="1"/>
  <c r="R22" i="43"/>
  <c r="R24" i="43" s="1"/>
  <c r="R26" i="43" s="1"/>
  <c r="P22" i="43"/>
  <c r="P24" i="43" s="1"/>
  <c r="P26" i="43" s="1"/>
  <c r="L22" i="43"/>
  <c r="L24" i="43" s="1"/>
  <c r="L26" i="43" s="1"/>
  <c r="J22" i="43"/>
  <c r="J24" i="43" s="1"/>
  <c r="J26" i="43" s="1"/>
  <c r="F22" i="43"/>
  <c r="F24" i="43" s="1"/>
  <c r="F26" i="43" s="1"/>
  <c r="D22" i="43"/>
  <c r="D24" i="43" s="1"/>
  <c r="D26" i="43" s="1"/>
  <c r="U21" i="43"/>
  <c r="S21" i="43"/>
  <c r="S22" i="43" s="1"/>
  <c r="S24" i="43" s="1"/>
  <c r="S26" i="43" s="1"/>
  <c r="Q21" i="43"/>
  <c r="O21" i="43"/>
  <c r="N21" i="43"/>
  <c r="M21" i="43"/>
  <c r="K21" i="43"/>
  <c r="G21" i="43"/>
  <c r="E21" i="43"/>
  <c r="X20" i="43"/>
  <c r="X22" i="43" s="1"/>
  <c r="X24" i="43" s="1"/>
  <c r="X26" i="43" s="1"/>
  <c r="V20" i="43"/>
  <c r="V22" i="43" s="1"/>
  <c r="V24" i="43" s="1"/>
  <c r="V26" i="43" s="1"/>
  <c r="U20" i="43"/>
  <c r="S20" i="43"/>
  <c r="Q20" i="43"/>
  <c r="O20" i="43"/>
  <c r="O22" i="43" s="1"/>
  <c r="O24" i="43" s="1"/>
  <c r="N20" i="43"/>
  <c r="N22" i="43" s="1"/>
  <c r="N24" i="43" s="1"/>
  <c r="N26" i="43" s="1"/>
  <c r="M20" i="43"/>
  <c r="M22" i="43" s="1"/>
  <c r="M24" i="43" s="1"/>
  <c r="K20" i="43"/>
  <c r="I20" i="43"/>
  <c r="I22" i="43" s="1"/>
  <c r="I24" i="43" s="1"/>
  <c r="H20" i="43"/>
  <c r="H22" i="43" s="1"/>
  <c r="H24" i="43" s="1"/>
  <c r="G20" i="43"/>
  <c r="E20" i="43"/>
  <c r="E22" i="43" s="1"/>
  <c r="E24" i="43" s="1"/>
  <c r="K22" i="43" l="1"/>
  <c r="K24" i="43" s="1"/>
  <c r="K26" i="43" s="1"/>
  <c r="H26" i="43"/>
  <c r="Y26" i="43"/>
  <c r="M26" i="43"/>
  <c r="O26" i="43"/>
  <c r="E26" i="43"/>
  <c r="I26" i="43"/>
  <c r="AF26" i="43"/>
  <c r="Q22" i="43"/>
  <c r="Q24" i="43" s="1"/>
  <c r="Q26" i="43" s="1"/>
  <c r="G22" i="43"/>
  <c r="G24" i="43" s="1"/>
  <c r="G26" i="43" s="1"/>
  <c r="U22" i="43"/>
  <c r="U24" i="43" s="1"/>
  <c r="U26" i="43" s="1"/>
  <c r="AC26" i="43"/>
  <c r="AF25" i="42"/>
  <c r="Y25" i="42" l="1"/>
  <c r="U25" i="42"/>
  <c r="S25" i="42"/>
  <c r="Q25" i="42"/>
  <c r="O25" i="42"/>
  <c r="M25" i="42"/>
  <c r="K25" i="42"/>
  <c r="I25" i="42"/>
  <c r="H25" i="42"/>
  <c r="G25" i="42"/>
  <c r="E25" i="42"/>
  <c r="AH22" i="42"/>
  <c r="AH24" i="42" s="1"/>
  <c r="AH26" i="42" s="1"/>
  <c r="AG22" i="42"/>
  <c r="AG24" i="42" s="1"/>
  <c r="AG26" i="42" s="1"/>
  <c r="AF22" i="42"/>
  <c r="AF24" i="42" s="1"/>
  <c r="AF26" i="42" s="1"/>
  <c r="AE22" i="42"/>
  <c r="AE24" i="42" s="1"/>
  <c r="AE26" i="42" s="1"/>
  <c r="AD22" i="42"/>
  <c r="AD24" i="42" s="1"/>
  <c r="AD26" i="42" s="1"/>
  <c r="AC22" i="42"/>
  <c r="AC24" i="42" s="1"/>
  <c r="AC26" i="42" s="1"/>
  <c r="AB22" i="42"/>
  <c r="AB24" i="42" s="1"/>
  <c r="AB26" i="42" s="1"/>
  <c r="AA22" i="42"/>
  <c r="AA24" i="42" s="1"/>
  <c r="AA26" i="42" s="1"/>
  <c r="Z22" i="42"/>
  <c r="Z24" i="42" s="1"/>
  <c r="Z26" i="42" s="1"/>
  <c r="Y22" i="42"/>
  <c r="Y24" i="42" s="1"/>
  <c r="Y26" i="42" s="1"/>
  <c r="W22" i="42"/>
  <c r="W24" i="42" s="1"/>
  <c r="W26" i="42" s="1"/>
  <c r="T22" i="42"/>
  <c r="T24" i="42" s="1"/>
  <c r="T26" i="42" s="1"/>
  <c r="R22" i="42"/>
  <c r="R24" i="42" s="1"/>
  <c r="R26" i="42" s="1"/>
  <c r="P22" i="42"/>
  <c r="P24" i="42" s="1"/>
  <c r="P26" i="42" s="1"/>
  <c r="L22" i="42"/>
  <c r="L24" i="42" s="1"/>
  <c r="L26" i="42" s="1"/>
  <c r="J22" i="42"/>
  <c r="J24" i="42" s="1"/>
  <c r="J26" i="42" s="1"/>
  <c r="F22" i="42"/>
  <c r="F24" i="42" s="1"/>
  <c r="F26" i="42" s="1"/>
  <c r="D22" i="42"/>
  <c r="D24" i="42" s="1"/>
  <c r="D26" i="42" s="1"/>
  <c r="U21" i="42"/>
  <c r="S21" i="42"/>
  <c r="S22" i="42" s="1"/>
  <c r="S24" i="42" s="1"/>
  <c r="S26" i="42" s="1"/>
  <c r="Q21" i="42"/>
  <c r="O21" i="42"/>
  <c r="N21" i="42"/>
  <c r="M21" i="42"/>
  <c r="K21" i="42"/>
  <c r="G21" i="42"/>
  <c r="E21" i="42"/>
  <c r="X20" i="42"/>
  <c r="X22" i="42" s="1"/>
  <c r="X24" i="42" s="1"/>
  <c r="X26" i="42" s="1"/>
  <c r="V20" i="42"/>
  <c r="V22" i="42" s="1"/>
  <c r="V24" i="42" s="1"/>
  <c r="V26" i="42" s="1"/>
  <c r="U20" i="42"/>
  <c r="S20" i="42"/>
  <c r="Q20" i="42"/>
  <c r="O20" i="42"/>
  <c r="O22" i="42" s="1"/>
  <c r="O24" i="42" s="1"/>
  <c r="O26" i="42" s="1"/>
  <c r="N20" i="42"/>
  <c r="N22" i="42" s="1"/>
  <c r="N24" i="42" s="1"/>
  <c r="N26" i="42" s="1"/>
  <c r="M20" i="42"/>
  <c r="K20" i="42"/>
  <c r="I20" i="42"/>
  <c r="I22" i="42" s="1"/>
  <c r="I24" i="42" s="1"/>
  <c r="H20" i="42"/>
  <c r="H22" i="42" s="1"/>
  <c r="H24" i="42" s="1"/>
  <c r="G20" i="42"/>
  <c r="G22" i="42" s="1"/>
  <c r="G24" i="42" s="1"/>
  <c r="E20" i="42"/>
  <c r="E22" i="42" s="1"/>
  <c r="E24" i="42" s="1"/>
  <c r="K22" i="42" l="1"/>
  <c r="K24" i="42" s="1"/>
  <c r="K26" i="42" s="1"/>
  <c r="M22" i="42"/>
  <c r="M24" i="42" s="1"/>
  <c r="M26" i="42" s="1"/>
  <c r="Q22" i="42"/>
  <c r="Q24" i="42" s="1"/>
  <c r="Q26" i="42" s="1"/>
  <c r="H26" i="42"/>
  <c r="I26" i="42"/>
  <c r="G26" i="42"/>
  <c r="E26" i="42"/>
  <c r="U22" i="42"/>
  <c r="U24" i="42" s="1"/>
  <c r="U26" i="42" s="1"/>
  <c r="AF25" i="41"/>
  <c r="T23" i="41" l="1"/>
  <c r="F23" i="41"/>
  <c r="Y25" i="41" l="1"/>
  <c r="U25" i="41"/>
  <c r="S25" i="41"/>
  <c r="Q25" i="41"/>
  <c r="O25" i="41"/>
  <c r="M25" i="41"/>
  <c r="K25" i="41"/>
  <c r="I25" i="41"/>
  <c r="H25" i="41"/>
  <c r="G25" i="41"/>
  <c r="E25" i="41"/>
  <c r="AG24" i="41"/>
  <c r="AG26" i="41" s="1"/>
  <c r="U23" i="41"/>
  <c r="G23" i="41"/>
  <c r="E23" i="41"/>
  <c r="AH22" i="41"/>
  <c r="AH24" i="41" s="1"/>
  <c r="AH26" i="41" s="1"/>
  <c r="AG22" i="41"/>
  <c r="AF22" i="41"/>
  <c r="AF24" i="41" s="1"/>
  <c r="AF26" i="41" s="1"/>
  <c r="AE22" i="41"/>
  <c r="AE24" i="41" s="1"/>
  <c r="AE26" i="41" s="1"/>
  <c r="AD22" i="41"/>
  <c r="AD24" i="41" s="1"/>
  <c r="AD26" i="41" s="1"/>
  <c r="AC22" i="41"/>
  <c r="AC24" i="41" s="1"/>
  <c r="AC26" i="41" s="1"/>
  <c r="AB22" i="41"/>
  <c r="AB24" i="41" s="1"/>
  <c r="AB26" i="41" s="1"/>
  <c r="AA22" i="41"/>
  <c r="AA24" i="41" s="1"/>
  <c r="AA26" i="41" s="1"/>
  <c r="Z22" i="41"/>
  <c r="Z24" i="41" s="1"/>
  <c r="Z26" i="41" s="1"/>
  <c r="Y22" i="41"/>
  <c r="Y24" i="41" s="1"/>
  <c r="W22" i="41"/>
  <c r="W24" i="41" s="1"/>
  <c r="W26" i="41" s="1"/>
  <c r="T22" i="41"/>
  <c r="T24" i="41" s="1"/>
  <c r="T26" i="41" s="1"/>
  <c r="R22" i="41"/>
  <c r="R24" i="41" s="1"/>
  <c r="R26" i="41" s="1"/>
  <c r="Q22" i="41"/>
  <c r="Q24" i="41" s="1"/>
  <c r="Q26" i="41" s="1"/>
  <c r="P22" i="41"/>
  <c r="P24" i="41" s="1"/>
  <c r="P26" i="41" s="1"/>
  <c r="O22" i="41"/>
  <c r="O24" i="41" s="1"/>
  <c r="O26" i="41" s="1"/>
  <c r="L22" i="41"/>
  <c r="L24" i="41" s="1"/>
  <c r="L26" i="41" s="1"/>
  <c r="J22" i="41"/>
  <c r="J24" i="41" s="1"/>
  <c r="J26" i="41" s="1"/>
  <c r="F22" i="41"/>
  <c r="F24" i="41" s="1"/>
  <c r="F26" i="41" s="1"/>
  <c r="D22" i="41"/>
  <c r="D24" i="41" s="1"/>
  <c r="D26" i="41" s="1"/>
  <c r="U21" i="41"/>
  <c r="S21" i="41"/>
  <c r="Q21" i="41"/>
  <c r="O21" i="41"/>
  <c r="N21" i="41"/>
  <c r="M21" i="41"/>
  <c r="K21" i="41"/>
  <c r="G21" i="41"/>
  <c r="E21" i="41"/>
  <c r="X20" i="41"/>
  <c r="X22" i="41" s="1"/>
  <c r="X24" i="41" s="1"/>
  <c r="X26" i="41" s="1"/>
  <c r="V20" i="41"/>
  <c r="V22" i="41" s="1"/>
  <c r="V24" i="41" s="1"/>
  <c r="V26" i="41" s="1"/>
  <c r="U20" i="41"/>
  <c r="S20" i="41"/>
  <c r="Q20" i="41"/>
  <c r="O20" i="41"/>
  <c r="N20" i="41"/>
  <c r="N22" i="41" s="1"/>
  <c r="N24" i="41" s="1"/>
  <c r="N26" i="41" s="1"/>
  <c r="M20" i="41"/>
  <c r="K20" i="41"/>
  <c r="I20" i="41"/>
  <c r="I22" i="41" s="1"/>
  <c r="I24" i="41" s="1"/>
  <c r="H20" i="41"/>
  <c r="H22" i="41" s="1"/>
  <c r="H24" i="41" s="1"/>
  <c r="G20" i="41"/>
  <c r="E20" i="41"/>
  <c r="I26" i="41" l="1"/>
  <c r="H26" i="41"/>
  <c r="E22" i="41"/>
  <c r="E24" i="41" s="1"/>
  <c r="K22" i="41"/>
  <c r="K24" i="41" s="1"/>
  <c r="K26" i="41" s="1"/>
  <c r="M22" i="41"/>
  <c r="M24" i="41" s="1"/>
  <c r="M26" i="41" s="1"/>
  <c r="S22" i="41"/>
  <c r="S24" i="41" s="1"/>
  <c r="S26" i="41" s="1"/>
  <c r="Y26" i="41"/>
  <c r="E26" i="41"/>
  <c r="G22" i="41"/>
  <c r="G24" i="41" s="1"/>
  <c r="G26" i="41" s="1"/>
  <c r="U22" i="41"/>
  <c r="U24" i="41" s="1"/>
  <c r="U26" i="41" s="1"/>
  <c r="AF25" i="40"/>
  <c r="W23" i="40"/>
  <c r="T23" i="40"/>
  <c r="U23" i="40" s="1"/>
  <c r="F23" i="40"/>
  <c r="G23" i="40" s="1"/>
  <c r="Y25" i="40"/>
  <c r="U25" i="40"/>
  <c r="S25" i="40"/>
  <c r="Q25" i="40"/>
  <c r="O25" i="40"/>
  <c r="M25" i="40"/>
  <c r="K25" i="40"/>
  <c r="I25" i="40"/>
  <c r="H25" i="40"/>
  <c r="G25" i="40"/>
  <c r="E25" i="40"/>
  <c r="E23" i="40"/>
  <c r="AH22" i="40"/>
  <c r="AH24" i="40" s="1"/>
  <c r="AH26" i="40" s="1"/>
  <c r="AG22" i="40"/>
  <c r="AG24" i="40" s="1"/>
  <c r="AG26" i="40" s="1"/>
  <c r="AF22" i="40"/>
  <c r="AF24" i="40" s="1"/>
  <c r="AE22" i="40"/>
  <c r="AE24" i="40" s="1"/>
  <c r="AE26" i="40" s="1"/>
  <c r="AD22" i="40"/>
  <c r="AD24" i="40" s="1"/>
  <c r="AD26" i="40" s="1"/>
  <c r="AC22" i="40"/>
  <c r="AC24" i="40" s="1"/>
  <c r="AC26" i="40" s="1"/>
  <c r="AB22" i="40"/>
  <c r="AB24" i="40" s="1"/>
  <c r="AB26" i="40" s="1"/>
  <c r="AA22" i="40"/>
  <c r="AA24" i="40" s="1"/>
  <c r="AA26" i="40" s="1"/>
  <c r="Z22" i="40"/>
  <c r="Z24" i="40" s="1"/>
  <c r="Z26" i="40" s="1"/>
  <c r="Y22" i="40"/>
  <c r="Y24" i="40" s="1"/>
  <c r="W22" i="40"/>
  <c r="T22" i="40"/>
  <c r="R22" i="40"/>
  <c r="R24" i="40" s="1"/>
  <c r="R26" i="40" s="1"/>
  <c r="P22" i="40"/>
  <c r="P24" i="40" s="1"/>
  <c r="P26" i="40" s="1"/>
  <c r="L22" i="40"/>
  <c r="L24" i="40" s="1"/>
  <c r="L26" i="40" s="1"/>
  <c r="K22" i="40"/>
  <c r="K24" i="40" s="1"/>
  <c r="J22" i="40"/>
  <c r="J24" i="40" s="1"/>
  <c r="J26" i="40" s="1"/>
  <c r="F22" i="40"/>
  <c r="D22" i="40"/>
  <c r="D24" i="40" s="1"/>
  <c r="D26" i="40" s="1"/>
  <c r="U21" i="40"/>
  <c r="U22" i="40" s="1"/>
  <c r="S21" i="40"/>
  <c r="Q21" i="40"/>
  <c r="O21" i="40"/>
  <c r="N21" i="40"/>
  <c r="M21" i="40"/>
  <c r="K21" i="40"/>
  <c r="G21" i="40"/>
  <c r="E21" i="40"/>
  <c r="X20" i="40"/>
  <c r="X22" i="40" s="1"/>
  <c r="X24" i="40" s="1"/>
  <c r="X26" i="40" s="1"/>
  <c r="V20" i="40"/>
  <c r="V22" i="40" s="1"/>
  <c r="V24" i="40" s="1"/>
  <c r="V26" i="40" s="1"/>
  <c r="U20" i="40"/>
  <c r="S20" i="40"/>
  <c r="Q20" i="40"/>
  <c r="Q22" i="40" s="1"/>
  <c r="Q24" i="40" s="1"/>
  <c r="Q26" i="40" s="1"/>
  <c r="O20" i="40"/>
  <c r="O22" i="40" s="1"/>
  <c r="O24" i="40" s="1"/>
  <c r="N20" i="40"/>
  <c r="N22" i="40" s="1"/>
  <c r="N24" i="40" s="1"/>
  <c r="N26" i="40" s="1"/>
  <c r="M20" i="40"/>
  <c r="K20" i="40"/>
  <c r="I20" i="40"/>
  <c r="I22" i="40" s="1"/>
  <c r="I24" i="40" s="1"/>
  <c r="H20" i="40"/>
  <c r="H22" i="40" s="1"/>
  <c r="H24" i="40" s="1"/>
  <c r="G20" i="40"/>
  <c r="G22" i="40" s="1"/>
  <c r="E20" i="40"/>
  <c r="H26" i="40" l="1"/>
  <c r="S22" i="40"/>
  <c r="S24" i="40" s="1"/>
  <c r="S26" i="40" s="1"/>
  <c r="I26" i="40"/>
  <c r="K26" i="40"/>
  <c r="O26" i="40"/>
  <c r="F24" i="40"/>
  <c r="F26" i="40" s="1"/>
  <c r="T24" i="40"/>
  <c r="T26" i="40" s="1"/>
  <c r="G24" i="40"/>
  <c r="G26" i="40" s="1"/>
  <c r="M22" i="40"/>
  <c r="M24" i="40" s="1"/>
  <c r="M26" i="40" s="1"/>
  <c r="E22" i="40"/>
  <c r="E24" i="40" s="1"/>
  <c r="E26" i="40" s="1"/>
  <c r="W24" i="40"/>
  <c r="W26" i="40" s="1"/>
  <c r="AF26" i="40"/>
  <c r="Y26" i="40"/>
  <c r="U24" i="40"/>
  <c r="U26" i="40" s="1"/>
  <c r="AD22" i="39"/>
  <c r="F23" i="39" l="1"/>
  <c r="AF25" i="39"/>
  <c r="AC25" i="39"/>
  <c r="Y25" i="39"/>
  <c r="AF23" i="39"/>
  <c r="T23" i="39"/>
  <c r="U23" i="39" s="1"/>
  <c r="G23" i="39"/>
  <c r="E23" i="39"/>
  <c r="U25" i="39" l="1"/>
  <c r="S25" i="39"/>
  <c r="Q25" i="39"/>
  <c r="O25" i="39"/>
  <c r="M25" i="39"/>
  <c r="K25" i="39"/>
  <c r="I25" i="39"/>
  <c r="H25" i="39"/>
  <c r="G25" i="39"/>
  <c r="E25" i="39"/>
  <c r="AH22" i="39"/>
  <c r="AH24" i="39" s="1"/>
  <c r="AH26" i="39" s="1"/>
  <c r="AG22" i="39"/>
  <c r="AG24" i="39" s="1"/>
  <c r="AG26" i="39" s="1"/>
  <c r="AF22" i="39"/>
  <c r="AF24" i="39" s="1"/>
  <c r="AF26" i="39" s="1"/>
  <c r="AE22" i="39"/>
  <c r="AE24" i="39" s="1"/>
  <c r="AE26" i="39" s="1"/>
  <c r="AD24" i="39"/>
  <c r="AD26" i="39" s="1"/>
  <c r="AC22" i="39"/>
  <c r="AC24" i="39" s="1"/>
  <c r="AC26" i="39" s="1"/>
  <c r="AB22" i="39"/>
  <c r="AB24" i="39" s="1"/>
  <c r="AB26" i="39" s="1"/>
  <c r="AA22" i="39"/>
  <c r="AA24" i="39" s="1"/>
  <c r="AA26" i="39" s="1"/>
  <c r="Z22" i="39"/>
  <c r="Z24" i="39" s="1"/>
  <c r="Z26" i="39" s="1"/>
  <c r="W22" i="39"/>
  <c r="W24" i="39" s="1"/>
  <c r="W26" i="39" s="1"/>
  <c r="T22" i="39"/>
  <c r="T24" i="39" s="1"/>
  <c r="T26" i="39" s="1"/>
  <c r="S22" i="39"/>
  <c r="S24" i="39" s="1"/>
  <c r="S26" i="39" s="1"/>
  <c r="R22" i="39"/>
  <c r="R24" i="39" s="1"/>
  <c r="R26" i="39" s="1"/>
  <c r="Q22" i="39"/>
  <c r="Q24" i="39" s="1"/>
  <c r="Q26" i="39" s="1"/>
  <c r="P22" i="39"/>
  <c r="P24" i="39" s="1"/>
  <c r="P26" i="39" s="1"/>
  <c r="L22" i="39"/>
  <c r="L24" i="39" s="1"/>
  <c r="L26" i="39" s="1"/>
  <c r="J22" i="39"/>
  <c r="J24" i="39" s="1"/>
  <c r="J26" i="39" s="1"/>
  <c r="F22" i="39"/>
  <c r="F24" i="39" s="1"/>
  <c r="F26" i="39" s="1"/>
  <c r="D22" i="39"/>
  <c r="D24" i="39" s="1"/>
  <c r="D26" i="39" s="1"/>
  <c r="U21" i="39"/>
  <c r="S21" i="39"/>
  <c r="Q21" i="39"/>
  <c r="O21" i="39"/>
  <c r="N21" i="39"/>
  <c r="M21" i="39"/>
  <c r="K21" i="39"/>
  <c r="G21" i="39"/>
  <c r="E21" i="39"/>
  <c r="Y22" i="39"/>
  <c r="Y24" i="39" s="1"/>
  <c r="Y26" i="39" s="1"/>
  <c r="X20" i="39"/>
  <c r="X22" i="39" s="1"/>
  <c r="X24" i="39" s="1"/>
  <c r="X26" i="39" s="1"/>
  <c r="V20" i="39"/>
  <c r="V22" i="39" s="1"/>
  <c r="V24" i="39" s="1"/>
  <c r="V26" i="39" s="1"/>
  <c r="U20" i="39"/>
  <c r="S20" i="39"/>
  <c r="Q20" i="39"/>
  <c r="O20" i="39"/>
  <c r="O22" i="39" s="1"/>
  <c r="O24" i="39" s="1"/>
  <c r="O26" i="39" s="1"/>
  <c r="N20" i="39"/>
  <c r="N22" i="39" s="1"/>
  <c r="N24" i="39" s="1"/>
  <c r="N26" i="39" s="1"/>
  <c r="M20" i="39"/>
  <c r="M22" i="39" s="1"/>
  <c r="M24" i="39" s="1"/>
  <c r="M26" i="39" s="1"/>
  <c r="K20" i="39"/>
  <c r="I20" i="39"/>
  <c r="I22" i="39" s="1"/>
  <c r="I24" i="39" s="1"/>
  <c r="H20" i="39"/>
  <c r="H22" i="39" s="1"/>
  <c r="H24" i="39" s="1"/>
  <c r="G20" i="39"/>
  <c r="G22" i="39" s="1"/>
  <c r="G24" i="39" s="1"/>
  <c r="E20" i="39"/>
  <c r="E22" i="39" s="1"/>
  <c r="E24" i="39" s="1"/>
  <c r="K22" i="39" l="1"/>
  <c r="K24" i="39" s="1"/>
  <c r="K26" i="39" s="1"/>
  <c r="G26" i="39"/>
  <c r="E26" i="39"/>
  <c r="H26" i="39"/>
  <c r="I26" i="39"/>
  <c r="U22" i="39"/>
  <c r="U24" i="39" s="1"/>
  <c r="U26" i="39" s="1"/>
  <c r="Y20" i="38"/>
  <c r="AF25" i="38" l="1"/>
  <c r="Y25" i="38"/>
  <c r="U25" i="38"/>
  <c r="S25" i="38"/>
  <c r="Q25" i="38"/>
  <c r="O25" i="38"/>
  <c r="M25" i="38"/>
  <c r="K25" i="38"/>
  <c r="I25" i="38"/>
  <c r="H25" i="38"/>
  <c r="G25" i="38"/>
  <c r="E25" i="38"/>
  <c r="AH22" i="38"/>
  <c r="AH24" i="38" s="1"/>
  <c r="AH26" i="38" s="1"/>
  <c r="AG22" i="38"/>
  <c r="AG24" i="38" s="1"/>
  <c r="AG26" i="38" s="1"/>
  <c r="AF22" i="38"/>
  <c r="AF24" i="38" s="1"/>
  <c r="AE22" i="38"/>
  <c r="AE24" i="38" s="1"/>
  <c r="AE26" i="38" s="1"/>
  <c r="AD22" i="38"/>
  <c r="AD24" i="38" s="1"/>
  <c r="AD26" i="38" s="1"/>
  <c r="AC22" i="38"/>
  <c r="AC24" i="38" s="1"/>
  <c r="AC26" i="38" s="1"/>
  <c r="AA22" i="38"/>
  <c r="AA24" i="38" s="1"/>
  <c r="AA26" i="38" s="1"/>
  <c r="Z22" i="38"/>
  <c r="Z24" i="38" s="1"/>
  <c r="Z26" i="38" s="1"/>
  <c r="Y22" i="38"/>
  <c r="Y24" i="38" s="1"/>
  <c r="W22" i="38"/>
  <c r="W24" i="38" s="1"/>
  <c r="W26" i="38" s="1"/>
  <c r="T22" i="38"/>
  <c r="T24" i="38" s="1"/>
  <c r="T26" i="38" s="1"/>
  <c r="R22" i="38"/>
  <c r="R24" i="38" s="1"/>
  <c r="R26" i="38" s="1"/>
  <c r="P22" i="38"/>
  <c r="P24" i="38" s="1"/>
  <c r="P26" i="38" s="1"/>
  <c r="L22" i="38"/>
  <c r="L24" i="38" s="1"/>
  <c r="L26" i="38" s="1"/>
  <c r="K22" i="38"/>
  <c r="K24" i="38" s="1"/>
  <c r="J22" i="38"/>
  <c r="J24" i="38" s="1"/>
  <c r="J26" i="38" s="1"/>
  <c r="F22" i="38"/>
  <c r="F24" i="38" s="1"/>
  <c r="F26" i="38" s="1"/>
  <c r="D22" i="38"/>
  <c r="D24" i="38" s="1"/>
  <c r="D26" i="38" s="1"/>
  <c r="U21" i="38"/>
  <c r="S21" i="38"/>
  <c r="Q21" i="38"/>
  <c r="O21" i="38"/>
  <c r="N21" i="38"/>
  <c r="M21" i="38"/>
  <c r="K21" i="38"/>
  <c r="G21" i="38"/>
  <c r="E21" i="38"/>
  <c r="AB22" i="38"/>
  <c r="AB24" i="38" s="1"/>
  <c r="AB26" i="38" s="1"/>
  <c r="X20" i="38"/>
  <c r="X22" i="38" s="1"/>
  <c r="X24" i="38" s="1"/>
  <c r="X26" i="38" s="1"/>
  <c r="V20" i="38"/>
  <c r="V22" i="38" s="1"/>
  <c r="V24" i="38" s="1"/>
  <c r="V26" i="38" s="1"/>
  <c r="U20" i="38"/>
  <c r="S20" i="38"/>
  <c r="S22" i="38" s="1"/>
  <c r="S24" i="38" s="1"/>
  <c r="S26" i="38" s="1"/>
  <c r="Q20" i="38"/>
  <c r="Q22" i="38" s="1"/>
  <c r="Q24" i="38" s="1"/>
  <c r="Q26" i="38" s="1"/>
  <c r="O20" i="38"/>
  <c r="O22" i="38" s="1"/>
  <c r="O24" i="38" s="1"/>
  <c r="N20" i="38"/>
  <c r="N22" i="38" s="1"/>
  <c r="N24" i="38" s="1"/>
  <c r="N26" i="38" s="1"/>
  <c r="M20" i="38"/>
  <c r="M22" i="38" s="1"/>
  <c r="M24" i="38" s="1"/>
  <c r="M26" i="38" s="1"/>
  <c r="K20" i="38"/>
  <c r="I20" i="38"/>
  <c r="I22" i="38" s="1"/>
  <c r="I24" i="38" s="1"/>
  <c r="H20" i="38"/>
  <c r="H22" i="38" s="1"/>
  <c r="H24" i="38" s="1"/>
  <c r="G20" i="38"/>
  <c r="G22" i="38" s="1"/>
  <c r="G24" i="38" s="1"/>
  <c r="E20" i="38"/>
  <c r="E22" i="38" s="1"/>
  <c r="E24" i="38" s="1"/>
  <c r="I26" i="38" l="1"/>
  <c r="E26" i="38"/>
  <c r="K26" i="38"/>
  <c r="H26" i="38"/>
  <c r="O26" i="38"/>
  <c r="U22" i="38"/>
  <c r="U24" i="38" s="1"/>
  <c r="U26" i="38" s="1"/>
  <c r="AF26" i="38"/>
  <c r="Y26" i="38"/>
  <c r="G26" i="38"/>
  <c r="AF25" i="37"/>
  <c r="AF23" i="37" l="1"/>
  <c r="AC23" i="37"/>
  <c r="T23" i="37"/>
  <c r="U23" i="37" s="1"/>
  <c r="F23" i="37"/>
  <c r="G23" i="37"/>
  <c r="E23" i="37"/>
  <c r="Y25" i="37"/>
  <c r="U25" i="37"/>
  <c r="S25" i="37"/>
  <c r="Q25" i="37"/>
  <c r="O25" i="37"/>
  <c r="M25" i="37"/>
  <c r="K25" i="37"/>
  <c r="I25" i="37"/>
  <c r="H25" i="37"/>
  <c r="G25" i="37"/>
  <c r="E25" i="37"/>
  <c r="AG22" i="37"/>
  <c r="AG24" i="37" s="1"/>
  <c r="AG26" i="37" s="1"/>
  <c r="AE22" i="37"/>
  <c r="AE24" i="37" s="1"/>
  <c r="AE26" i="37" s="1"/>
  <c r="AD22" i="37"/>
  <c r="AD24" i="37" s="1"/>
  <c r="AD26" i="37" s="1"/>
  <c r="AA22" i="37"/>
  <c r="AA24" i="37" s="1"/>
  <c r="AA26" i="37" s="1"/>
  <c r="Z22" i="37"/>
  <c r="Z24" i="37" s="1"/>
  <c r="Z26" i="37" s="1"/>
  <c r="R22" i="37"/>
  <c r="R24" i="37" s="1"/>
  <c r="R26" i="37" s="1"/>
  <c r="P22" i="37"/>
  <c r="P24" i="37" s="1"/>
  <c r="P26" i="37" s="1"/>
  <c r="L22" i="37"/>
  <c r="L24" i="37" s="1"/>
  <c r="L26" i="37" s="1"/>
  <c r="J22" i="37"/>
  <c r="J24" i="37" s="1"/>
  <c r="J26" i="37" s="1"/>
  <c r="F22" i="37"/>
  <c r="F24" i="37" s="1"/>
  <c r="F26" i="37" s="1"/>
  <c r="AH22" i="37"/>
  <c r="AH24" i="37" s="1"/>
  <c r="AH26" i="37" s="1"/>
  <c r="Y22" i="37"/>
  <c r="Y24" i="37" s="1"/>
  <c r="W22" i="37"/>
  <c r="W24" i="37" s="1"/>
  <c r="W26" i="37" s="1"/>
  <c r="T22" i="37"/>
  <c r="S21" i="37"/>
  <c r="Q21" i="37"/>
  <c r="O21" i="37"/>
  <c r="N21" i="37"/>
  <c r="M21" i="37"/>
  <c r="K21" i="37"/>
  <c r="G21" i="37"/>
  <c r="D22" i="37"/>
  <c r="D24" i="37" s="1"/>
  <c r="D26" i="37" s="1"/>
  <c r="AF22" i="37"/>
  <c r="AF24" i="37" s="1"/>
  <c r="AF26" i="37" s="1"/>
  <c r="AC22" i="37"/>
  <c r="AB20" i="37"/>
  <c r="AB22" i="37" s="1"/>
  <c r="AB24" i="37" s="1"/>
  <c r="AB26" i="37" s="1"/>
  <c r="X20" i="37"/>
  <c r="X22" i="37" s="1"/>
  <c r="X24" i="37" s="1"/>
  <c r="X26" i="37" s="1"/>
  <c r="V20" i="37"/>
  <c r="V22" i="37" s="1"/>
  <c r="V24" i="37" s="1"/>
  <c r="V26" i="37" s="1"/>
  <c r="U20" i="37"/>
  <c r="S20" i="37"/>
  <c r="S22" i="37" s="1"/>
  <c r="S24" i="37" s="1"/>
  <c r="Q20" i="37"/>
  <c r="O20" i="37"/>
  <c r="O22" i="37" s="1"/>
  <c r="O24" i="37" s="1"/>
  <c r="N20" i="37"/>
  <c r="N22" i="37" s="1"/>
  <c r="N24" i="37" s="1"/>
  <c r="N26" i="37" s="1"/>
  <c r="M20" i="37"/>
  <c r="M22" i="37" s="1"/>
  <c r="M24" i="37" s="1"/>
  <c r="K20" i="37"/>
  <c r="K22" i="37" s="1"/>
  <c r="K24" i="37" s="1"/>
  <c r="K26" i="37" s="1"/>
  <c r="I20" i="37"/>
  <c r="I22" i="37" s="1"/>
  <c r="I24" i="37" s="1"/>
  <c r="I26" i="37" s="1"/>
  <c r="H20" i="37"/>
  <c r="H22" i="37" s="1"/>
  <c r="H24" i="37" s="1"/>
  <c r="H26" i="37" s="1"/>
  <c r="G20" i="37"/>
  <c r="E20" i="37"/>
  <c r="O26" i="37" l="1"/>
  <c r="M26" i="37"/>
  <c r="S26" i="37"/>
  <c r="G22" i="37"/>
  <c r="Y26" i="37"/>
  <c r="Q22" i="37"/>
  <c r="Q24" i="37" s="1"/>
  <c r="Q26" i="37" s="1"/>
  <c r="AC24" i="37"/>
  <c r="AC26" i="37" s="1"/>
  <c r="G24" i="37"/>
  <c r="G26" i="37" s="1"/>
  <c r="T24" i="37"/>
  <c r="T26" i="37" s="1"/>
  <c r="U21" i="37"/>
  <c r="U22" i="37" s="1"/>
  <c r="U24" i="37" s="1"/>
  <c r="U26" i="37" s="1"/>
  <c r="E21" i="37"/>
  <c r="E22" i="37" s="1"/>
  <c r="E24" i="37" s="1"/>
  <c r="E26" i="37" s="1"/>
  <c r="AF25" i="36"/>
  <c r="F23" i="35" l="1"/>
  <c r="AH21" i="36"/>
  <c r="AH22" i="36" s="1"/>
  <c r="AF21" i="36"/>
  <c r="AE22" i="36"/>
  <c r="AD21" i="36"/>
  <c r="AD22" i="36" s="1"/>
  <c r="AD24" i="36" s="1"/>
  <c r="AD26" i="36" s="1"/>
  <c r="AC21" i="36"/>
  <c r="AA21" i="36"/>
  <c r="AA22" i="36" s="1"/>
  <c r="Z21" i="36"/>
  <c r="Z22" i="36" s="1"/>
  <c r="Z24" i="36" s="1"/>
  <c r="Z26" i="36" s="1"/>
  <c r="Y21" i="36"/>
  <c r="Y22" i="36" s="1"/>
  <c r="W21" i="36"/>
  <c r="W22" i="36" s="1"/>
  <c r="T21" i="36"/>
  <c r="T22" i="36" s="1"/>
  <c r="D21" i="36"/>
  <c r="E21" i="36" s="1"/>
  <c r="AF20" i="36"/>
  <c r="AC20" i="36"/>
  <c r="AB20" i="36"/>
  <c r="AB22" i="36" s="1"/>
  <c r="AB24" i="36" s="1"/>
  <c r="AB26" i="36" s="1"/>
  <c r="Y25" i="36"/>
  <c r="U25" i="36"/>
  <c r="S25" i="36"/>
  <c r="Q25" i="36"/>
  <c r="O25" i="36"/>
  <c r="M25" i="36"/>
  <c r="K25" i="36"/>
  <c r="I25" i="36"/>
  <c r="H25" i="36"/>
  <c r="G25" i="36"/>
  <c r="E25" i="36"/>
  <c r="AG22" i="36"/>
  <c r="AG24" i="36" s="1"/>
  <c r="AG26" i="36" s="1"/>
  <c r="R22" i="36"/>
  <c r="R24" i="36" s="1"/>
  <c r="R26" i="36" s="1"/>
  <c r="P22" i="36"/>
  <c r="P24" i="36" s="1"/>
  <c r="P26" i="36" s="1"/>
  <c r="L22" i="36"/>
  <c r="L24" i="36" s="1"/>
  <c r="L26" i="36" s="1"/>
  <c r="J22" i="36"/>
  <c r="J24" i="36" s="1"/>
  <c r="J26" i="36" s="1"/>
  <c r="F22" i="36"/>
  <c r="F24" i="36" s="1"/>
  <c r="F26" i="36" s="1"/>
  <c r="S21" i="36"/>
  <c r="Q21" i="36"/>
  <c r="O21" i="36"/>
  <c r="N21" i="36"/>
  <c r="M21" i="36"/>
  <c r="K21" i="36"/>
  <c r="G21" i="36"/>
  <c r="X20" i="36"/>
  <c r="X22" i="36" s="1"/>
  <c r="X24" i="36" s="1"/>
  <c r="X26" i="36" s="1"/>
  <c r="V20" i="36"/>
  <c r="V22" i="36" s="1"/>
  <c r="U20" i="36"/>
  <c r="S20" i="36"/>
  <c r="Q20" i="36"/>
  <c r="O20" i="36"/>
  <c r="O22" i="36" s="1"/>
  <c r="O24" i="36" s="1"/>
  <c r="N20" i="36"/>
  <c r="N22" i="36" s="1"/>
  <c r="N24" i="36" s="1"/>
  <c r="N26" i="36" s="1"/>
  <c r="M20" i="36"/>
  <c r="K20" i="36"/>
  <c r="I20" i="36"/>
  <c r="I22" i="36" s="1"/>
  <c r="I24" i="36" s="1"/>
  <c r="H20" i="36"/>
  <c r="H22" i="36" s="1"/>
  <c r="H24" i="36" s="1"/>
  <c r="G20" i="36"/>
  <c r="E20" i="36"/>
  <c r="H26" i="36" l="1"/>
  <c r="AF22" i="36"/>
  <c r="AF24" i="36" s="1"/>
  <c r="AF26" i="36" s="1"/>
  <c r="AH24" i="36"/>
  <c r="AH26" i="36" s="1"/>
  <c r="AE24" i="36"/>
  <c r="AE26" i="36" s="1"/>
  <c r="AC22" i="36"/>
  <c r="AA24" i="36"/>
  <c r="AA26" i="36" s="1"/>
  <c r="Y24" i="36"/>
  <c r="Y26" i="36" s="1"/>
  <c r="W24" i="36"/>
  <c r="W26" i="36" s="1"/>
  <c r="U21" i="36"/>
  <c r="U22" i="36" s="1"/>
  <c r="D22" i="36"/>
  <c r="Q22" i="36"/>
  <c r="K22" i="36"/>
  <c r="K24" i="36" s="1"/>
  <c r="K26" i="36" s="1"/>
  <c r="V24" i="36"/>
  <c r="V26" i="36" s="1"/>
  <c r="I26" i="36"/>
  <c r="S22" i="36"/>
  <c r="M22" i="36"/>
  <c r="G22" i="36"/>
  <c r="O26" i="36"/>
  <c r="E22" i="36"/>
  <c r="Y20" i="35"/>
  <c r="AC24" i="36" l="1"/>
  <c r="AC26" i="36" s="1"/>
  <c r="U24" i="36"/>
  <c r="U26" i="36" s="1"/>
  <c r="T24" i="36"/>
  <c r="T26" i="36" s="1"/>
  <c r="Q24" i="36"/>
  <c r="Q26" i="36" s="1"/>
  <c r="D24" i="36"/>
  <c r="D26" i="36" s="1"/>
  <c r="M24" i="36"/>
  <c r="M26" i="36" s="1"/>
  <c r="G24" i="36"/>
  <c r="G26" i="36" s="1"/>
  <c r="S24" i="36"/>
  <c r="S26" i="36" s="1"/>
  <c r="E24" i="36"/>
  <c r="E26" i="36" s="1"/>
  <c r="AF25" i="35"/>
  <c r="AF23" i="35" l="1"/>
  <c r="T23" i="35"/>
  <c r="G23" i="35"/>
  <c r="Y25" i="35"/>
  <c r="U25" i="35"/>
  <c r="S25" i="35"/>
  <c r="Q25" i="35"/>
  <c r="O25" i="35"/>
  <c r="M25" i="35"/>
  <c r="K25" i="35"/>
  <c r="I25" i="35"/>
  <c r="H25" i="35"/>
  <c r="G25" i="35"/>
  <c r="E25" i="35"/>
  <c r="U23" i="35"/>
  <c r="E23" i="35"/>
  <c r="AH22" i="35"/>
  <c r="AH24" i="35" s="1"/>
  <c r="AH26" i="35" s="1"/>
  <c r="AG22" i="35"/>
  <c r="AG24" i="35" s="1"/>
  <c r="AG26" i="35" s="1"/>
  <c r="AF22" i="35"/>
  <c r="AE22" i="35"/>
  <c r="AE24" i="35" s="1"/>
  <c r="AE26" i="35" s="1"/>
  <c r="AD22" i="35"/>
  <c r="AD24" i="35" s="1"/>
  <c r="AD26" i="35" s="1"/>
  <c r="AC22" i="35"/>
  <c r="AC24" i="35" s="1"/>
  <c r="AC26" i="35" s="1"/>
  <c r="AA22" i="35"/>
  <c r="AA24" i="35" s="1"/>
  <c r="AA26" i="35" s="1"/>
  <c r="Z22" i="35"/>
  <c r="Z24" i="35" s="1"/>
  <c r="Z26" i="35" s="1"/>
  <c r="Y22" i="35"/>
  <c r="W22" i="35"/>
  <c r="W24" i="35" s="1"/>
  <c r="W26" i="35" s="1"/>
  <c r="T22" i="35"/>
  <c r="T24" i="35" s="1"/>
  <c r="T26" i="35" s="1"/>
  <c r="R22" i="35"/>
  <c r="R24" i="35" s="1"/>
  <c r="R26" i="35" s="1"/>
  <c r="P22" i="35"/>
  <c r="P24" i="35" s="1"/>
  <c r="P26" i="35" s="1"/>
  <c r="N22" i="35"/>
  <c r="N24" i="35" s="1"/>
  <c r="N26" i="35" s="1"/>
  <c r="M22" i="35"/>
  <c r="M24" i="35" s="1"/>
  <c r="L22" i="35"/>
  <c r="L24" i="35" s="1"/>
  <c r="L26" i="35" s="1"/>
  <c r="J22" i="35"/>
  <c r="J24" i="35" s="1"/>
  <c r="J26" i="35" s="1"/>
  <c r="H22" i="35"/>
  <c r="H24" i="35" s="1"/>
  <c r="F22" i="35"/>
  <c r="F24" i="35" s="1"/>
  <c r="F26" i="35" s="1"/>
  <c r="D22" i="35"/>
  <c r="D24" i="35" s="1"/>
  <c r="D26" i="35" s="1"/>
  <c r="U21" i="35"/>
  <c r="S21" i="35"/>
  <c r="Q21" i="35"/>
  <c r="O21" i="35"/>
  <c r="N21" i="35"/>
  <c r="M21" i="35"/>
  <c r="K21" i="35"/>
  <c r="G21" i="35"/>
  <c r="E21" i="35"/>
  <c r="AB20" i="35"/>
  <c r="AB22" i="35" s="1"/>
  <c r="AB24" i="35" s="1"/>
  <c r="AB26" i="35" s="1"/>
  <c r="X20" i="35"/>
  <c r="X22" i="35" s="1"/>
  <c r="X24" i="35" s="1"/>
  <c r="X26" i="35" s="1"/>
  <c r="V20" i="35"/>
  <c r="V22" i="35" s="1"/>
  <c r="V24" i="35" s="1"/>
  <c r="V26" i="35" s="1"/>
  <c r="U20" i="35"/>
  <c r="U22" i="35" s="1"/>
  <c r="S20" i="35"/>
  <c r="S22" i="35" s="1"/>
  <c r="S24" i="35" s="1"/>
  <c r="Q20" i="35"/>
  <c r="O20" i="35"/>
  <c r="O22" i="35" s="1"/>
  <c r="O24" i="35" s="1"/>
  <c r="N20" i="35"/>
  <c r="M20" i="35"/>
  <c r="K20" i="35"/>
  <c r="K22" i="35" s="1"/>
  <c r="K24" i="35" s="1"/>
  <c r="I20" i="35"/>
  <c r="I22" i="35" s="1"/>
  <c r="I24" i="35" s="1"/>
  <c r="H20" i="35"/>
  <c r="G20" i="35"/>
  <c r="E20" i="35"/>
  <c r="H26" i="35" l="1"/>
  <c r="I26" i="35"/>
  <c r="O26" i="35"/>
  <c r="Q22" i="35"/>
  <c r="Q24" i="35" s="1"/>
  <c r="Q26" i="35" s="1"/>
  <c r="S26" i="35"/>
  <c r="K26" i="35"/>
  <c r="M26" i="35"/>
  <c r="G22" i="35"/>
  <c r="G24" i="35" s="1"/>
  <c r="G26" i="35" s="1"/>
  <c r="E22" i="35"/>
  <c r="E24" i="35" s="1"/>
  <c r="E26" i="35" s="1"/>
  <c r="Y24" i="35"/>
  <c r="Y26" i="35" s="1"/>
  <c r="AF24" i="35"/>
  <c r="AF26" i="35" s="1"/>
  <c r="U24" i="35"/>
  <c r="U26" i="35" s="1"/>
  <c r="Z21" i="34"/>
  <c r="AF25" i="34" l="1"/>
  <c r="AC25" i="34"/>
  <c r="T23" i="34" l="1"/>
  <c r="F23" i="34"/>
  <c r="G23" i="34" s="1"/>
  <c r="Y25" i="34"/>
  <c r="U25" i="34"/>
  <c r="S25" i="34"/>
  <c r="Q25" i="34"/>
  <c r="O25" i="34"/>
  <c r="M25" i="34"/>
  <c r="K25" i="34"/>
  <c r="I25" i="34"/>
  <c r="H25" i="34"/>
  <c r="G25" i="34"/>
  <c r="E25" i="34"/>
  <c r="U23" i="34"/>
  <c r="E23" i="34"/>
  <c r="AH22" i="34"/>
  <c r="AH24" i="34" s="1"/>
  <c r="AH26" i="34" s="1"/>
  <c r="AG22" i="34"/>
  <c r="AG24" i="34" s="1"/>
  <c r="AG26" i="34" s="1"/>
  <c r="AF22" i="34"/>
  <c r="AF24" i="34" s="1"/>
  <c r="AF26" i="34" s="1"/>
  <c r="AE22" i="34"/>
  <c r="AE24" i="34" s="1"/>
  <c r="AE26" i="34" s="1"/>
  <c r="AD22" i="34"/>
  <c r="AD24" i="34" s="1"/>
  <c r="AD26" i="34" s="1"/>
  <c r="AC22" i="34"/>
  <c r="AC24" i="34" s="1"/>
  <c r="AC26" i="34" s="1"/>
  <c r="AA22" i="34"/>
  <c r="AA24" i="34" s="1"/>
  <c r="AA26" i="34" s="1"/>
  <c r="Z22" i="34"/>
  <c r="Y22" i="34"/>
  <c r="Y24" i="34" s="1"/>
  <c r="W22" i="34"/>
  <c r="W24" i="34" s="1"/>
  <c r="W26" i="34" s="1"/>
  <c r="T22" i="34"/>
  <c r="R22" i="34"/>
  <c r="R24" i="34" s="1"/>
  <c r="R26" i="34" s="1"/>
  <c r="P22" i="34"/>
  <c r="P24" i="34" s="1"/>
  <c r="P26" i="34" s="1"/>
  <c r="O22" i="34"/>
  <c r="O24" i="34" s="1"/>
  <c r="O26" i="34" s="1"/>
  <c r="L22" i="34"/>
  <c r="L24" i="34" s="1"/>
  <c r="L26" i="34" s="1"/>
  <c r="J22" i="34"/>
  <c r="J24" i="34" s="1"/>
  <c r="J26" i="34" s="1"/>
  <c r="I22" i="34"/>
  <c r="I24" i="34" s="1"/>
  <c r="F22" i="34"/>
  <c r="F24" i="34" s="1"/>
  <c r="F26" i="34" s="1"/>
  <c r="D22" i="34"/>
  <c r="D24" i="34" s="1"/>
  <c r="D26" i="34" s="1"/>
  <c r="U21" i="34"/>
  <c r="S21" i="34"/>
  <c r="Q21" i="34"/>
  <c r="O21" i="34"/>
  <c r="N21" i="34"/>
  <c r="M21" i="34"/>
  <c r="K21" i="34"/>
  <c r="G21" i="34"/>
  <c r="E21" i="34"/>
  <c r="AB20" i="34"/>
  <c r="AB22" i="34" s="1"/>
  <c r="AB24" i="34" s="1"/>
  <c r="AB26" i="34" s="1"/>
  <c r="X20" i="34"/>
  <c r="X22" i="34" s="1"/>
  <c r="X24" i="34" s="1"/>
  <c r="X26" i="34" s="1"/>
  <c r="V20" i="34"/>
  <c r="V22" i="34" s="1"/>
  <c r="V24" i="34" s="1"/>
  <c r="V26" i="34" s="1"/>
  <c r="U20" i="34"/>
  <c r="U22" i="34" s="1"/>
  <c r="U24" i="34" s="1"/>
  <c r="S20" i="34"/>
  <c r="S22" i="34" s="1"/>
  <c r="S24" i="34" s="1"/>
  <c r="S26" i="34" s="1"/>
  <c r="Q20" i="34"/>
  <c r="Q22" i="34" s="1"/>
  <c r="Q24" i="34" s="1"/>
  <c r="O20" i="34"/>
  <c r="N20" i="34"/>
  <c r="N22" i="34" s="1"/>
  <c r="N24" i="34" s="1"/>
  <c r="N26" i="34" s="1"/>
  <c r="M20" i="34"/>
  <c r="M22" i="34" s="1"/>
  <c r="M24" i="34" s="1"/>
  <c r="K20" i="34"/>
  <c r="I20" i="34"/>
  <c r="H20" i="34"/>
  <c r="H22" i="34" s="1"/>
  <c r="H24" i="34" s="1"/>
  <c r="G20" i="34"/>
  <c r="G22" i="34" s="1"/>
  <c r="E20" i="34"/>
  <c r="E22" i="34" s="1"/>
  <c r="E24" i="34" s="1"/>
  <c r="I26" i="34" l="1"/>
  <c r="M26" i="34"/>
  <c r="H26" i="34"/>
  <c r="K22" i="34"/>
  <c r="K24" i="34" s="1"/>
  <c r="K26" i="34" s="1"/>
  <c r="Q26" i="34"/>
  <c r="Z24" i="34"/>
  <c r="Z26" i="34" s="1"/>
  <c r="Y26" i="34"/>
  <c r="U26" i="34"/>
  <c r="E26" i="34"/>
  <c r="T24" i="34"/>
  <c r="T26" i="34" s="1"/>
  <c r="G24" i="34"/>
  <c r="G26" i="34" s="1"/>
  <c r="AF25" i="33"/>
  <c r="T23" i="33" l="1"/>
  <c r="F23" i="33"/>
  <c r="G23" i="33" s="1"/>
  <c r="Y25" i="33"/>
  <c r="U25" i="33"/>
  <c r="S25" i="33"/>
  <c r="Q25" i="33"/>
  <c r="O25" i="33"/>
  <c r="M25" i="33"/>
  <c r="K25" i="33"/>
  <c r="I25" i="33"/>
  <c r="H25" i="33"/>
  <c r="G25" i="33"/>
  <c r="E25" i="33"/>
  <c r="U23" i="33"/>
  <c r="E23" i="33"/>
  <c r="AH22" i="33"/>
  <c r="AH24" i="33" s="1"/>
  <c r="AH26" i="33" s="1"/>
  <c r="AG22" i="33"/>
  <c r="AG24" i="33" s="1"/>
  <c r="AG26" i="33" s="1"/>
  <c r="AE22" i="33"/>
  <c r="AE24" i="33" s="1"/>
  <c r="AE26" i="33" s="1"/>
  <c r="AA22" i="33"/>
  <c r="AA24" i="33" s="1"/>
  <c r="AA26" i="33" s="1"/>
  <c r="Z22" i="33"/>
  <c r="Z24" i="33" s="1"/>
  <c r="Z26" i="33" s="1"/>
  <c r="Y22" i="33"/>
  <c r="Y24" i="33" s="1"/>
  <c r="R22" i="33"/>
  <c r="R24" i="33" s="1"/>
  <c r="R26" i="33" s="1"/>
  <c r="P22" i="33"/>
  <c r="P24" i="33" s="1"/>
  <c r="P26" i="33" s="1"/>
  <c r="L22" i="33"/>
  <c r="L24" i="33" s="1"/>
  <c r="L26" i="33" s="1"/>
  <c r="J22" i="33"/>
  <c r="J24" i="33" s="1"/>
  <c r="J26" i="33" s="1"/>
  <c r="F22" i="33"/>
  <c r="D22" i="33"/>
  <c r="D24" i="33" s="1"/>
  <c r="D26" i="33" s="1"/>
  <c r="U21" i="33"/>
  <c r="S21" i="33"/>
  <c r="Q21" i="33"/>
  <c r="O21" i="33"/>
  <c r="N21" i="33"/>
  <c r="M21" i="33"/>
  <c r="K21" i="33"/>
  <c r="G21" i="33"/>
  <c r="E21" i="33"/>
  <c r="AF22" i="33"/>
  <c r="AF24" i="33" s="1"/>
  <c r="AF26" i="33" s="1"/>
  <c r="AD22" i="33"/>
  <c r="AD24" i="33" s="1"/>
  <c r="AD26" i="33" s="1"/>
  <c r="AC22" i="33"/>
  <c r="AC24" i="33" s="1"/>
  <c r="AC26" i="33" s="1"/>
  <c r="AB20" i="33"/>
  <c r="AB22" i="33" s="1"/>
  <c r="AB24" i="33" s="1"/>
  <c r="AB26" i="33" s="1"/>
  <c r="X20" i="33"/>
  <c r="X22" i="33" s="1"/>
  <c r="X24" i="33" s="1"/>
  <c r="X26" i="33" s="1"/>
  <c r="W22" i="33"/>
  <c r="W24" i="33" s="1"/>
  <c r="W26" i="33" s="1"/>
  <c r="V20" i="33"/>
  <c r="V22" i="33" s="1"/>
  <c r="V24" i="33" s="1"/>
  <c r="V26" i="33" s="1"/>
  <c r="T22" i="33"/>
  <c r="T24" i="33" s="1"/>
  <c r="T26" i="33" s="1"/>
  <c r="S20" i="33"/>
  <c r="Q20" i="33"/>
  <c r="O20" i="33"/>
  <c r="O22" i="33" s="1"/>
  <c r="O24" i="33" s="1"/>
  <c r="N20" i="33"/>
  <c r="N22" i="33" s="1"/>
  <c r="N24" i="33" s="1"/>
  <c r="N26" i="33" s="1"/>
  <c r="M20" i="33"/>
  <c r="M22" i="33" s="1"/>
  <c r="M24" i="33" s="1"/>
  <c r="K20" i="33"/>
  <c r="I20" i="33"/>
  <c r="I22" i="33" s="1"/>
  <c r="I24" i="33" s="1"/>
  <c r="I26" i="33" s="1"/>
  <c r="H20" i="33"/>
  <c r="H22" i="33" s="1"/>
  <c r="H24" i="33" s="1"/>
  <c r="H26" i="33" s="1"/>
  <c r="G20" i="33"/>
  <c r="E20" i="33"/>
  <c r="O26" i="33" l="1"/>
  <c r="M26" i="33"/>
  <c r="G22" i="33"/>
  <c r="S22" i="33"/>
  <c r="S24" i="33" s="1"/>
  <c r="S26" i="33" s="1"/>
  <c r="K22" i="33"/>
  <c r="K24" i="33" s="1"/>
  <c r="K26" i="33" s="1"/>
  <c r="Q22" i="33"/>
  <c r="Q24" i="33" s="1"/>
  <c r="Q26" i="33" s="1"/>
  <c r="G24" i="33"/>
  <c r="G26" i="33" s="1"/>
  <c r="Y26" i="33"/>
  <c r="E22" i="33"/>
  <c r="E24" i="33" s="1"/>
  <c r="E26" i="33" s="1"/>
  <c r="F24" i="33"/>
  <c r="F26" i="33" s="1"/>
  <c r="U20" i="33"/>
  <c r="U22" i="33" s="1"/>
  <c r="U24" i="33" s="1"/>
  <c r="U26" i="33" s="1"/>
  <c r="AH21" i="32"/>
  <c r="AF21" i="32"/>
  <c r="AF20" i="32"/>
  <c r="AD21" i="32"/>
  <c r="AD20" i="32"/>
  <c r="AC21" i="32"/>
  <c r="AC20" i="32"/>
  <c r="AB20" i="32"/>
  <c r="Y21" i="32"/>
  <c r="Y20" i="32"/>
  <c r="W21" i="32"/>
  <c r="W20" i="32"/>
  <c r="T21" i="32"/>
  <c r="T20" i="32"/>
  <c r="D21" i="32"/>
  <c r="D20" i="32"/>
  <c r="F23" i="32" l="1"/>
  <c r="G23" i="32" s="1"/>
  <c r="D23" i="32"/>
  <c r="E23" i="32" s="1"/>
  <c r="Y25" i="32"/>
  <c r="U25" i="32"/>
  <c r="S25" i="32"/>
  <c r="Q25" i="32"/>
  <c r="O25" i="32"/>
  <c r="M25" i="32"/>
  <c r="K25" i="32"/>
  <c r="I25" i="32"/>
  <c r="H25" i="32"/>
  <c r="G25" i="32"/>
  <c r="E25" i="32"/>
  <c r="T23" i="32"/>
  <c r="U23" i="32" s="1"/>
  <c r="AH22" i="32"/>
  <c r="AH24" i="32" s="1"/>
  <c r="AH26" i="32" s="1"/>
  <c r="AG22" i="32"/>
  <c r="AG24" i="32" s="1"/>
  <c r="AG26" i="32" s="1"/>
  <c r="AF22" i="32"/>
  <c r="AF24" i="32" s="1"/>
  <c r="AF26" i="32" s="1"/>
  <c r="AE22" i="32"/>
  <c r="AE24" i="32" s="1"/>
  <c r="AE26" i="32" s="1"/>
  <c r="AD22" i="32"/>
  <c r="AD24" i="32" s="1"/>
  <c r="AD26" i="32" s="1"/>
  <c r="AC22" i="32"/>
  <c r="AC24" i="32" s="1"/>
  <c r="AC26" i="32" s="1"/>
  <c r="AB22" i="32"/>
  <c r="AB24" i="32" s="1"/>
  <c r="AB26" i="32" s="1"/>
  <c r="AA22" i="32"/>
  <c r="AA24" i="32" s="1"/>
  <c r="AA26" i="32" s="1"/>
  <c r="Z22" i="32"/>
  <c r="Z24" i="32" s="1"/>
  <c r="Z26" i="32" s="1"/>
  <c r="Y22" i="32"/>
  <c r="Y24" i="32" s="1"/>
  <c r="W22" i="32"/>
  <c r="W24" i="32" s="1"/>
  <c r="W26" i="32" s="1"/>
  <c r="T22" i="32"/>
  <c r="R22" i="32"/>
  <c r="R24" i="32" s="1"/>
  <c r="R26" i="32" s="1"/>
  <c r="P22" i="32"/>
  <c r="P24" i="32" s="1"/>
  <c r="P26" i="32" s="1"/>
  <c r="L22" i="32"/>
  <c r="L24" i="32" s="1"/>
  <c r="L26" i="32" s="1"/>
  <c r="J22" i="32"/>
  <c r="J24" i="32" s="1"/>
  <c r="J26" i="32" s="1"/>
  <c r="F22" i="32"/>
  <c r="F24" i="32" s="1"/>
  <c r="F26" i="32" s="1"/>
  <c r="D22" i="32"/>
  <c r="D24" i="32" s="1"/>
  <c r="D26" i="32" s="1"/>
  <c r="U21" i="32"/>
  <c r="S21" i="32"/>
  <c r="Q21" i="32"/>
  <c r="Q22" i="32" s="1"/>
  <c r="Q24" i="32" s="1"/>
  <c r="O21" i="32"/>
  <c r="N21" i="32"/>
  <c r="M21" i="32"/>
  <c r="K21" i="32"/>
  <c r="G21" i="32"/>
  <c r="E21" i="32"/>
  <c r="X20" i="32"/>
  <c r="X22" i="32" s="1"/>
  <c r="X24" i="32" s="1"/>
  <c r="X26" i="32" s="1"/>
  <c r="V20" i="32"/>
  <c r="V22" i="32" s="1"/>
  <c r="V24" i="32" s="1"/>
  <c r="V26" i="32" s="1"/>
  <c r="U20" i="32"/>
  <c r="S20" i="32"/>
  <c r="Q20" i="32"/>
  <c r="O20" i="32"/>
  <c r="O22" i="32" s="1"/>
  <c r="O24" i="32" s="1"/>
  <c r="O26" i="32" s="1"/>
  <c r="N20" i="32"/>
  <c r="N22" i="32" s="1"/>
  <c r="N24" i="32" s="1"/>
  <c r="N26" i="32" s="1"/>
  <c r="M20" i="32"/>
  <c r="K20" i="32"/>
  <c r="I20" i="32"/>
  <c r="I22" i="32" s="1"/>
  <c r="I24" i="32" s="1"/>
  <c r="H20" i="32"/>
  <c r="H22" i="32" s="1"/>
  <c r="H24" i="32" s="1"/>
  <c r="G20" i="32"/>
  <c r="G22" i="32" s="1"/>
  <c r="E20" i="32"/>
  <c r="T24" i="32" l="1"/>
  <c r="T26" i="32" s="1"/>
  <c r="I26" i="32"/>
  <c r="S22" i="32"/>
  <c r="S24" i="32" s="1"/>
  <c r="S26" i="32" s="1"/>
  <c r="M22" i="32"/>
  <c r="M24" i="32" s="1"/>
  <c r="M26" i="32" s="1"/>
  <c r="K22" i="32"/>
  <c r="K24" i="32" s="1"/>
  <c r="K26" i="32" s="1"/>
  <c r="H26" i="32"/>
  <c r="Y26" i="32"/>
  <c r="E22" i="32"/>
  <c r="E24" i="32" s="1"/>
  <c r="E26" i="32" s="1"/>
  <c r="U22" i="32"/>
  <c r="U24" i="32" s="1"/>
  <c r="U26" i="32" s="1"/>
  <c r="Q26" i="32"/>
  <c r="G24" i="32"/>
  <c r="G26" i="32" s="1"/>
  <c r="T23" i="31"/>
  <c r="D23" i="31"/>
  <c r="Y25" i="31" l="1"/>
  <c r="U25" i="31"/>
  <c r="S25" i="31"/>
  <c r="Q25" i="31"/>
  <c r="O25" i="31"/>
  <c r="M25" i="31"/>
  <c r="K25" i="31"/>
  <c r="I25" i="31"/>
  <c r="H25" i="31"/>
  <c r="G25" i="31"/>
  <c r="E25" i="31"/>
  <c r="U23" i="31"/>
  <c r="E23" i="31"/>
  <c r="AH22" i="31"/>
  <c r="AH24" i="31" s="1"/>
  <c r="AH26" i="31" s="1"/>
  <c r="AG22" i="31"/>
  <c r="AG24" i="31" s="1"/>
  <c r="AG26" i="31" s="1"/>
  <c r="AF22" i="31"/>
  <c r="AF24" i="31" s="1"/>
  <c r="AF26" i="31" s="1"/>
  <c r="AE22" i="31"/>
  <c r="AE24" i="31" s="1"/>
  <c r="AE26" i="31" s="1"/>
  <c r="AD22" i="31"/>
  <c r="AD24" i="31" s="1"/>
  <c r="AD26" i="31" s="1"/>
  <c r="AC22" i="31"/>
  <c r="AC24" i="31" s="1"/>
  <c r="AC26" i="31" s="1"/>
  <c r="AB22" i="31"/>
  <c r="AB24" i="31" s="1"/>
  <c r="AB26" i="31" s="1"/>
  <c r="AA22" i="31"/>
  <c r="AA24" i="31" s="1"/>
  <c r="AA26" i="31" s="1"/>
  <c r="Z22" i="31"/>
  <c r="Z24" i="31" s="1"/>
  <c r="Z26" i="31" s="1"/>
  <c r="Y22" i="31"/>
  <c r="Y24" i="31" s="1"/>
  <c r="W22" i="31"/>
  <c r="W24" i="31" s="1"/>
  <c r="W26" i="31" s="1"/>
  <c r="T22" i="31"/>
  <c r="T24" i="31" s="1"/>
  <c r="T26" i="31" s="1"/>
  <c r="R22" i="31"/>
  <c r="R24" i="31" s="1"/>
  <c r="R26" i="31" s="1"/>
  <c r="P22" i="31"/>
  <c r="P24" i="31" s="1"/>
  <c r="P26" i="31" s="1"/>
  <c r="N22" i="31"/>
  <c r="N24" i="31" s="1"/>
  <c r="N26" i="31" s="1"/>
  <c r="M22" i="31"/>
  <c r="M24" i="31" s="1"/>
  <c r="L22" i="31"/>
  <c r="L24" i="31" s="1"/>
  <c r="L26" i="31" s="1"/>
  <c r="J22" i="31"/>
  <c r="J24" i="31" s="1"/>
  <c r="J26" i="31" s="1"/>
  <c r="F22" i="31"/>
  <c r="F24" i="31" s="1"/>
  <c r="F26" i="31" s="1"/>
  <c r="D22" i="31"/>
  <c r="D24" i="31" s="1"/>
  <c r="D26" i="31" s="1"/>
  <c r="U21" i="31"/>
  <c r="S21" i="31"/>
  <c r="Q21" i="31"/>
  <c r="O21" i="31"/>
  <c r="N21" i="31"/>
  <c r="M21" i="31"/>
  <c r="K21" i="31"/>
  <c r="G21" i="31"/>
  <c r="E21" i="31"/>
  <c r="X20" i="31"/>
  <c r="X22" i="31" s="1"/>
  <c r="X24" i="31" s="1"/>
  <c r="X26" i="31" s="1"/>
  <c r="V20" i="31"/>
  <c r="V22" i="31" s="1"/>
  <c r="V24" i="31" s="1"/>
  <c r="V26" i="31" s="1"/>
  <c r="U20" i="31"/>
  <c r="S20" i="31"/>
  <c r="Q20" i="31"/>
  <c r="O20" i="31"/>
  <c r="O22" i="31" s="1"/>
  <c r="O24" i="31" s="1"/>
  <c r="O26" i="31" s="1"/>
  <c r="N20" i="31"/>
  <c r="M20" i="31"/>
  <c r="K20" i="31"/>
  <c r="I20" i="31"/>
  <c r="I22" i="31" s="1"/>
  <c r="I24" i="31" s="1"/>
  <c r="H20" i="31"/>
  <c r="H22" i="31" s="1"/>
  <c r="H24" i="31" s="1"/>
  <c r="G20" i="31"/>
  <c r="G22" i="31" s="1"/>
  <c r="G24" i="31" s="1"/>
  <c r="E20" i="31"/>
  <c r="S22" i="31" l="1"/>
  <c r="S24" i="31" s="1"/>
  <c r="S26" i="31" s="1"/>
  <c r="I26" i="31"/>
  <c r="H26" i="31"/>
  <c r="G26" i="31"/>
  <c r="M26" i="31"/>
  <c r="U22" i="31"/>
  <c r="K22" i="31"/>
  <c r="K24" i="31" s="1"/>
  <c r="K26" i="31" s="1"/>
  <c r="U24" i="31"/>
  <c r="Q22" i="31"/>
  <c r="Q24" i="31" s="1"/>
  <c r="Q26" i="31" s="1"/>
  <c r="E22" i="31"/>
  <c r="E24" i="31" s="1"/>
  <c r="E26" i="31" s="1"/>
  <c r="Y26" i="31"/>
  <c r="U26" i="31"/>
  <c r="W23" i="30"/>
  <c r="T23" i="30"/>
  <c r="U23" i="30" s="1"/>
  <c r="D23" i="30"/>
  <c r="E23" i="30" s="1"/>
  <c r="AF25" i="30"/>
  <c r="Y25" i="30"/>
  <c r="U25" i="30"/>
  <c r="S25" i="30"/>
  <c r="Q25" i="30"/>
  <c r="O25" i="30"/>
  <c r="M25" i="30"/>
  <c r="K25" i="30"/>
  <c r="I25" i="30"/>
  <c r="H25" i="30"/>
  <c r="G25" i="30"/>
  <c r="E25" i="30"/>
  <c r="AH22" i="30"/>
  <c r="AH24" i="30" s="1"/>
  <c r="AH26" i="30" s="1"/>
  <c r="AG22" i="30"/>
  <c r="AG24" i="30" s="1"/>
  <c r="AG26" i="30" s="1"/>
  <c r="AF22" i="30"/>
  <c r="AF24" i="30" s="1"/>
  <c r="AE22" i="30"/>
  <c r="AE24" i="30" s="1"/>
  <c r="AE26" i="30" s="1"/>
  <c r="AD22" i="30"/>
  <c r="AD24" i="30" s="1"/>
  <c r="AD26" i="30" s="1"/>
  <c r="AC22" i="30"/>
  <c r="AC24" i="30" s="1"/>
  <c r="AC26" i="30" s="1"/>
  <c r="AB22" i="30"/>
  <c r="AB24" i="30" s="1"/>
  <c r="AB26" i="30" s="1"/>
  <c r="AA22" i="30"/>
  <c r="AA24" i="30" s="1"/>
  <c r="AA26" i="30" s="1"/>
  <c r="Z22" i="30"/>
  <c r="Z24" i="30" s="1"/>
  <c r="Z26" i="30" s="1"/>
  <c r="Y22" i="30"/>
  <c r="Y24" i="30" s="1"/>
  <c r="W22" i="30"/>
  <c r="T22" i="30"/>
  <c r="R22" i="30"/>
  <c r="R24" i="30" s="1"/>
  <c r="R26" i="30" s="1"/>
  <c r="P22" i="30"/>
  <c r="P24" i="30" s="1"/>
  <c r="P26" i="30" s="1"/>
  <c r="O22" i="30"/>
  <c r="O24" i="30" s="1"/>
  <c r="N22" i="30"/>
  <c r="N24" i="30" s="1"/>
  <c r="N26" i="30" s="1"/>
  <c r="L22" i="30"/>
  <c r="L24" i="30" s="1"/>
  <c r="L26" i="30" s="1"/>
  <c r="K22" i="30"/>
  <c r="K24" i="30" s="1"/>
  <c r="J22" i="30"/>
  <c r="J24" i="30" s="1"/>
  <c r="J26" i="30" s="1"/>
  <c r="F22" i="30"/>
  <c r="F24" i="30" s="1"/>
  <c r="F26" i="30" s="1"/>
  <c r="D22" i="30"/>
  <c r="U21" i="30"/>
  <c r="S21" i="30"/>
  <c r="Q21" i="30"/>
  <c r="O21" i="30"/>
  <c r="N21" i="30"/>
  <c r="M21" i="30"/>
  <c r="K21" i="30"/>
  <c r="G21" i="30"/>
  <c r="E21" i="30"/>
  <c r="X20" i="30"/>
  <c r="X22" i="30" s="1"/>
  <c r="X24" i="30" s="1"/>
  <c r="X26" i="30" s="1"/>
  <c r="V20" i="30"/>
  <c r="V22" i="30" s="1"/>
  <c r="V24" i="30" s="1"/>
  <c r="V26" i="30" s="1"/>
  <c r="U20" i="30"/>
  <c r="S20" i="30"/>
  <c r="Q20" i="30"/>
  <c r="O20" i="30"/>
  <c r="N20" i="30"/>
  <c r="M20" i="30"/>
  <c r="K20" i="30"/>
  <c r="I20" i="30"/>
  <c r="I22" i="30" s="1"/>
  <c r="I24" i="30" s="1"/>
  <c r="I26" i="30" s="1"/>
  <c r="H20" i="30"/>
  <c r="H22" i="30" s="1"/>
  <c r="H24" i="30" s="1"/>
  <c r="H26" i="30" s="1"/>
  <c r="G20" i="30"/>
  <c r="G22" i="30" s="1"/>
  <c r="G24" i="30" s="1"/>
  <c r="G26" i="30" s="1"/>
  <c r="E20" i="30"/>
  <c r="K26" i="30" l="1"/>
  <c r="O26" i="30"/>
  <c r="S22" i="30"/>
  <c r="S24" i="30" s="1"/>
  <c r="S26" i="30" s="1"/>
  <c r="M22" i="30"/>
  <c r="M24" i="30" s="1"/>
  <c r="M26" i="30" s="1"/>
  <c r="Q22" i="30"/>
  <c r="Q24" i="30" s="1"/>
  <c r="Q26" i="30" s="1"/>
  <c r="U22" i="30"/>
  <c r="E22" i="30"/>
  <c r="E24" i="30" s="1"/>
  <c r="E26" i="30" s="1"/>
  <c r="T24" i="30"/>
  <c r="T26" i="30" s="1"/>
  <c r="D24" i="30"/>
  <c r="D26" i="30" s="1"/>
  <c r="U24" i="30"/>
  <c r="U26" i="30" s="1"/>
  <c r="W24" i="30"/>
  <c r="W26" i="30" s="1"/>
  <c r="AF26" i="30"/>
  <c r="Y26" i="30"/>
  <c r="AF25" i="29"/>
  <c r="Y25" i="29"/>
  <c r="U25" i="29"/>
  <c r="S25" i="29"/>
  <c r="Q25" i="29"/>
  <c r="O25" i="29"/>
  <c r="M25" i="29"/>
  <c r="K25" i="29"/>
  <c r="I25" i="29"/>
  <c r="H25" i="29"/>
  <c r="G25" i="29"/>
  <c r="E25" i="29"/>
  <c r="AH22" i="29"/>
  <c r="AH24" i="29" s="1"/>
  <c r="AH26" i="29" s="1"/>
  <c r="AG22" i="29"/>
  <c r="AG24" i="29" s="1"/>
  <c r="AG26" i="29" s="1"/>
  <c r="AF22" i="29"/>
  <c r="AF24" i="29" s="1"/>
  <c r="AE22" i="29"/>
  <c r="AE24" i="29" s="1"/>
  <c r="AE26" i="29" s="1"/>
  <c r="AD22" i="29"/>
  <c r="AD24" i="29" s="1"/>
  <c r="AD26" i="29" s="1"/>
  <c r="AC22" i="29"/>
  <c r="AC24" i="29" s="1"/>
  <c r="AC26" i="29" s="1"/>
  <c r="AB22" i="29"/>
  <c r="AB24" i="29" s="1"/>
  <c r="AB26" i="29" s="1"/>
  <c r="AA22" i="29"/>
  <c r="AA24" i="29" s="1"/>
  <c r="AA26" i="29" s="1"/>
  <c r="Z22" i="29"/>
  <c r="Z24" i="29" s="1"/>
  <c r="Z26" i="29" s="1"/>
  <c r="Y22" i="29"/>
  <c r="Y24" i="29" s="1"/>
  <c r="Y26" i="29" s="1"/>
  <c r="W22" i="29"/>
  <c r="W24" i="29" s="1"/>
  <c r="W26" i="29" s="1"/>
  <c r="T22" i="29"/>
  <c r="T24" i="29" s="1"/>
  <c r="T26" i="29" s="1"/>
  <c r="R22" i="29"/>
  <c r="R24" i="29" s="1"/>
  <c r="R26" i="29" s="1"/>
  <c r="P22" i="29"/>
  <c r="P24" i="29" s="1"/>
  <c r="P26" i="29" s="1"/>
  <c r="L22" i="29"/>
  <c r="L24" i="29" s="1"/>
  <c r="L26" i="29" s="1"/>
  <c r="J22" i="29"/>
  <c r="J24" i="29" s="1"/>
  <c r="J26" i="29" s="1"/>
  <c r="F22" i="29"/>
  <c r="F24" i="29" s="1"/>
  <c r="F26" i="29" s="1"/>
  <c r="D22" i="29"/>
  <c r="D24" i="29" s="1"/>
  <c r="D26" i="29" s="1"/>
  <c r="U21" i="29"/>
  <c r="U22" i="29" s="1"/>
  <c r="U24" i="29" s="1"/>
  <c r="S21" i="29"/>
  <c r="Q21" i="29"/>
  <c r="O21" i="29"/>
  <c r="N21" i="29"/>
  <c r="M21" i="29"/>
  <c r="K21" i="29"/>
  <c r="G21" i="29"/>
  <c r="E21" i="29"/>
  <c r="X20" i="29"/>
  <c r="X22" i="29" s="1"/>
  <c r="X24" i="29" s="1"/>
  <c r="X26" i="29" s="1"/>
  <c r="V20" i="29"/>
  <c r="V22" i="29" s="1"/>
  <c r="V24" i="29" s="1"/>
  <c r="V26" i="29" s="1"/>
  <c r="U20" i="29"/>
  <c r="S20" i="29"/>
  <c r="Q20" i="29"/>
  <c r="O20" i="29"/>
  <c r="O22" i="29" s="1"/>
  <c r="O24" i="29" s="1"/>
  <c r="O26" i="29" s="1"/>
  <c r="N20" i="29"/>
  <c r="N22" i="29" s="1"/>
  <c r="N24" i="29" s="1"/>
  <c r="N26" i="29" s="1"/>
  <c r="M20" i="29"/>
  <c r="K20" i="29"/>
  <c r="I20" i="29"/>
  <c r="I22" i="29" s="1"/>
  <c r="I24" i="29" s="1"/>
  <c r="H20" i="29"/>
  <c r="H22" i="29" s="1"/>
  <c r="H24" i="29" s="1"/>
  <c r="G20" i="29"/>
  <c r="G22" i="29" s="1"/>
  <c r="G24" i="29" s="1"/>
  <c r="E20" i="29"/>
  <c r="H26" i="29" l="1"/>
  <c r="K22" i="29"/>
  <c r="K24" i="29" s="1"/>
  <c r="K26" i="29" s="1"/>
  <c r="M22" i="29"/>
  <c r="M24" i="29" s="1"/>
  <c r="M26" i="29" s="1"/>
  <c r="S22" i="29"/>
  <c r="S24" i="29" s="1"/>
  <c r="S26" i="29" s="1"/>
  <c r="I26" i="29"/>
  <c r="G26" i="29"/>
  <c r="Q22" i="29"/>
  <c r="Q24" i="29" s="1"/>
  <c r="Q26" i="29" s="1"/>
  <c r="E22" i="29"/>
  <c r="E24" i="29" s="1"/>
  <c r="E26" i="29" s="1"/>
  <c r="AF26" i="29"/>
  <c r="U26" i="29"/>
  <c r="AF25" i="28"/>
  <c r="T23" i="28" l="1"/>
  <c r="D23" i="28"/>
  <c r="Y25" i="28"/>
  <c r="U25" i="28"/>
  <c r="S25" i="28"/>
  <c r="Q25" i="28"/>
  <c r="O25" i="28"/>
  <c r="M25" i="28"/>
  <c r="K25" i="28"/>
  <c r="I25" i="28"/>
  <c r="H25" i="28"/>
  <c r="G25" i="28"/>
  <c r="E25" i="28"/>
  <c r="W23" i="28"/>
  <c r="U23" i="28"/>
  <c r="E23" i="28"/>
  <c r="AH22" i="28"/>
  <c r="AG22" i="28"/>
  <c r="AG24" i="28" s="1"/>
  <c r="AG26" i="28" s="1"/>
  <c r="AF22" i="28"/>
  <c r="AF24" i="28" s="1"/>
  <c r="AF26" i="28" s="1"/>
  <c r="AE22" i="28"/>
  <c r="AE24" i="28" s="1"/>
  <c r="AE26" i="28" s="1"/>
  <c r="AD22" i="28"/>
  <c r="AD24" i="28" s="1"/>
  <c r="AD26" i="28" s="1"/>
  <c r="AC22" i="28"/>
  <c r="AC24" i="28" s="1"/>
  <c r="AC26" i="28" s="1"/>
  <c r="AB22" i="28"/>
  <c r="AB24" i="28" s="1"/>
  <c r="AB26" i="28" s="1"/>
  <c r="AA22" i="28"/>
  <c r="Z22" i="28"/>
  <c r="Z24" i="28" s="1"/>
  <c r="Z26" i="28" s="1"/>
  <c r="Y22" i="28"/>
  <c r="Y24" i="28" s="1"/>
  <c r="W22" i="28"/>
  <c r="W24" i="28" s="1"/>
  <c r="W26" i="28" s="1"/>
  <c r="T22" i="28"/>
  <c r="T24" i="28" s="1"/>
  <c r="T26" i="28" s="1"/>
  <c r="R22" i="28"/>
  <c r="R24" i="28" s="1"/>
  <c r="R26" i="28" s="1"/>
  <c r="P22" i="28"/>
  <c r="L22" i="28"/>
  <c r="L24" i="28" s="1"/>
  <c r="L26" i="28" s="1"/>
  <c r="J22" i="28"/>
  <c r="J24" i="28" s="1"/>
  <c r="J26" i="28" s="1"/>
  <c r="F22" i="28"/>
  <c r="F24" i="28" s="1"/>
  <c r="F26" i="28" s="1"/>
  <c r="D22" i="28"/>
  <c r="D24" i="28" s="1"/>
  <c r="D26" i="28" s="1"/>
  <c r="U21" i="28"/>
  <c r="S21" i="28"/>
  <c r="Q21" i="28"/>
  <c r="O21" i="28"/>
  <c r="N21" i="28"/>
  <c r="M21" i="28"/>
  <c r="K21" i="28"/>
  <c r="G21" i="28"/>
  <c r="E21" i="28"/>
  <c r="X20" i="28"/>
  <c r="X22" i="28" s="1"/>
  <c r="X24" i="28" s="1"/>
  <c r="X26" i="28" s="1"/>
  <c r="V20" i="28"/>
  <c r="V22" i="28" s="1"/>
  <c r="V24" i="28" s="1"/>
  <c r="V26" i="28" s="1"/>
  <c r="U20" i="28"/>
  <c r="S20" i="28"/>
  <c r="Q20" i="28"/>
  <c r="O20" i="28"/>
  <c r="O22" i="28" s="1"/>
  <c r="O24" i="28" s="1"/>
  <c r="N20" i="28"/>
  <c r="N22" i="28" s="1"/>
  <c r="N24" i="28" s="1"/>
  <c r="N26" i="28" s="1"/>
  <c r="M20" i="28"/>
  <c r="K20" i="28"/>
  <c r="I20" i="28"/>
  <c r="I22" i="28" s="1"/>
  <c r="I24" i="28" s="1"/>
  <c r="H20" i="28"/>
  <c r="H22" i="28" s="1"/>
  <c r="H24" i="28" s="1"/>
  <c r="G20" i="28"/>
  <c r="G22" i="28" s="1"/>
  <c r="G24" i="28" s="1"/>
  <c r="E20" i="28"/>
  <c r="E22" i="28" s="1"/>
  <c r="O26" i="28" l="1"/>
  <c r="U22" i="28"/>
  <c r="U24" i="28" s="1"/>
  <c r="U26" i="28" s="1"/>
  <c r="I26" i="28"/>
  <c r="G26" i="28"/>
  <c r="M22" i="28"/>
  <c r="M24" i="28" s="1"/>
  <c r="M26" i="28" s="1"/>
  <c r="H26" i="28"/>
  <c r="Q22" i="28"/>
  <c r="K22" i="28"/>
  <c r="K24" i="28" s="1"/>
  <c r="K26" i="28" s="1"/>
  <c r="S22" i="28"/>
  <c r="S24" i="28" s="1"/>
  <c r="S26" i="28" s="1"/>
  <c r="AH24" i="28"/>
  <c r="AH26" i="28" s="1"/>
  <c r="AA24" i="28"/>
  <c r="AA26" i="28" s="1"/>
  <c r="Q24" i="28"/>
  <c r="Q26" i="28" s="1"/>
  <c r="P24" i="28"/>
  <c r="P26" i="28" s="1"/>
  <c r="Y26" i="28"/>
  <c r="E24" i="28"/>
  <c r="E26" i="28" s="1"/>
  <c r="AF25" i="27"/>
  <c r="AC25" i="27"/>
  <c r="W23" i="27"/>
  <c r="T23" i="27"/>
  <c r="U23" i="27" s="1"/>
  <c r="D23" i="27"/>
  <c r="E23" i="27" s="1"/>
  <c r="Y25" i="27"/>
  <c r="U25" i="27"/>
  <c r="S25" i="27"/>
  <c r="Q25" i="27"/>
  <c r="O25" i="27"/>
  <c r="M25" i="27"/>
  <c r="K25" i="27"/>
  <c r="I25" i="27"/>
  <c r="H25" i="27"/>
  <c r="G25" i="27"/>
  <c r="E25" i="27"/>
  <c r="AH22" i="27"/>
  <c r="AH24" i="27" s="1"/>
  <c r="AH26" i="27" s="1"/>
  <c r="AG22" i="27"/>
  <c r="AG24" i="27" s="1"/>
  <c r="AG26" i="27" s="1"/>
  <c r="AF22" i="27"/>
  <c r="AF24" i="27" s="1"/>
  <c r="AE22" i="27"/>
  <c r="AE24" i="27" s="1"/>
  <c r="AE26" i="27" s="1"/>
  <c r="AC22" i="27"/>
  <c r="AC24" i="27" s="1"/>
  <c r="AB22" i="27"/>
  <c r="AB24" i="27" s="1"/>
  <c r="AB26" i="27" s="1"/>
  <c r="AA22" i="27"/>
  <c r="AA24" i="27" s="1"/>
  <c r="AA26" i="27" s="1"/>
  <c r="Z22" i="27"/>
  <c r="Z24" i="27" s="1"/>
  <c r="Z26" i="27" s="1"/>
  <c r="W22" i="27"/>
  <c r="T22" i="27"/>
  <c r="R22" i="27"/>
  <c r="R24" i="27" s="1"/>
  <c r="R26" i="27" s="1"/>
  <c r="P22" i="27"/>
  <c r="P24" i="27" s="1"/>
  <c r="P26" i="27" s="1"/>
  <c r="O22" i="27"/>
  <c r="O24" i="27" s="1"/>
  <c r="O26" i="27" s="1"/>
  <c r="N22" i="27"/>
  <c r="N24" i="27" s="1"/>
  <c r="N26" i="27" s="1"/>
  <c r="L22" i="27"/>
  <c r="L24" i="27" s="1"/>
  <c r="L26" i="27" s="1"/>
  <c r="J22" i="27"/>
  <c r="J24" i="27" s="1"/>
  <c r="J26" i="27" s="1"/>
  <c r="F22" i="27"/>
  <c r="F24" i="27" s="1"/>
  <c r="F26" i="27" s="1"/>
  <c r="D22" i="27"/>
  <c r="AD22" i="27"/>
  <c r="AD24" i="27" s="1"/>
  <c r="AD26" i="27" s="1"/>
  <c r="Y22" i="27"/>
  <c r="Y24" i="27" s="1"/>
  <c r="U21" i="27"/>
  <c r="S21" i="27"/>
  <c r="Q21" i="27"/>
  <c r="O21" i="27"/>
  <c r="N21" i="27"/>
  <c r="M21" i="27"/>
  <c r="K21" i="27"/>
  <c r="G21" i="27"/>
  <c r="E21" i="27"/>
  <c r="X20" i="27"/>
  <c r="X22" i="27" s="1"/>
  <c r="X24" i="27" s="1"/>
  <c r="X26" i="27" s="1"/>
  <c r="V20" i="27"/>
  <c r="V22" i="27" s="1"/>
  <c r="V24" i="27" s="1"/>
  <c r="V26" i="27" s="1"/>
  <c r="U20" i="27"/>
  <c r="S20" i="27"/>
  <c r="Q20" i="27"/>
  <c r="O20" i="27"/>
  <c r="N20" i="27"/>
  <c r="M20" i="27"/>
  <c r="K20" i="27"/>
  <c r="I20" i="27"/>
  <c r="I22" i="27" s="1"/>
  <c r="I24" i="27" s="1"/>
  <c r="I26" i="27" s="1"/>
  <c r="H20" i="27"/>
  <c r="H22" i="27" s="1"/>
  <c r="H24" i="27" s="1"/>
  <c r="H26" i="27" s="1"/>
  <c r="G20" i="27"/>
  <c r="E20" i="27"/>
  <c r="U22" i="27" l="1"/>
  <c r="T24" i="27"/>
  <c r="T26" i="27" s="1"/>
  <c r="W24" i="27"/>
  <c r="W26" i="27" s="1"/>
  <c r="K22" i="27"/>
  <c r="K24" i="27" s="1"/>
  <c r="K26" i="27" s="1"/>
  <c r="S22" i="27"/>
  <c r="S24" i="27" s="1"/>
  <c r="S26" i="27" s="1"/>
  <c r="G22" i="27"/>
  <c r="G24" i="27" s="1"/>
  <c r="G26" i="27" s="1"/>
  <c r="E22" i="27"/>
  <c r="E24" i="27" s="1"/>
  <c r="E26" i="27" s="1"/>
  <c r="M22" i="27"/>
  <c r="M24" i="27" s="1"/>
  <c r="M26" i="27" s="1"/>
  <c r="AC26" i="27"/>
  <c r="Q22" i="27"/>
  <c r="Q24" i="27" s="1"/>
  <c r="Q26" i="27" s="1"/>
  <c r="AF26" i="27"/>
  <c r="Y26" i="27"/>
  <c r="U24" i="27"/>
  <c r="U26" i="27" s="1"/>
  <c r="D24" i="27"/>
  <c r="D26" i="27" s="1"/>
  <c r="Y21" i="26"/>
  <c r="AF21" i="26" l="1"/>
  <c r="AD21" i="26"/>
  <c r="AC21" i="26"/>
  <c r="P21" i="26"/>
  <c r="D21" i="26"/>
  <c r="AF25" i="26" l="1"/>
  <c r="Y25" i="26"/>
  <c r="U25" i="26"/>
  <c r="S25" i="26"/>
  <c r="Q25" i="26"/>
  <c r="O25" i="26"/>
  <c r="M25" i="26"/>
  <c r="K25" i="26"/>
  <c r="I25" i="26"/>
  <c r="H25" i="26"/>
  <c r="G25" i="26"/>
  <c r="E25" i="26"/>
  <c r="AH22" i="26"/>
  <c r="AH24" i="26" s="1"/>
  <c r="AH26" i="26" s="1"/>
  <c r="AG22" i="26"/>
  <c r="AG24" i="26" s="1"/>
  <c r="AG26" i="26" s="1"/>
  <c r="AF22" i="26"/>
  <c r="AF24" i="26" s="1"/>
  <c r="AF26" i="26" s="1"/>
  <c r="AE22" i="26"/>
  <c r="AE24" i="26" s="1"/>
  <c r="AE26" i="26" s="1"/>
  <c r="AD22" i="26"/>
  <c r="AD24" i="26" s="1"/>
  <c r="AD26" i="26" s="1"/>
  <c r="AC22" i="26"/>
  <c r="AC24" i="26" s="1"/>
  <c r="AC26" i="26" s="1"/>
  <c r="AB22" i="26"/>
  <c r="AB24" i="26" s="1"/>
  <c r="AB26" i="26" s="1"/>
  <c r="AA22" i="26"/>
  <c r="AA24" i="26" s="1"/>
  <c r="AA26" i="26" s="1"/>
  <c r="Z22" i="26"/>
  <c r="Z24" i="26" s="1"/>
  <c r="Z26" i="26" s="1"/>
  <c r="Y22" i="26"/>
  <c r="Y24" i="26" s="1"/>
  <c r="Y26" i="26" s="1"/>
  <c r="W22" i="26"/>
  <c r="W24" i="26" s="1"/>
  <c r="W26" i="26" s="1"/>
  <c r="T22" i="26"/>
  <c r="T24" i="26" s="1"/>
  <c r="T26" i="26" s="1"/>
  <c r="R22" i="26"/>
  <c r="R24" i="26" s="1"/>
  <c r="R26" i="26" s="1"/>
  <c r="P22" i="26"/>
  <c r="P24" i="26" s="1"/>
  <c r="P26" i="26" s="1"/>
  <c r="O22" i="26"/>
  <c r="O24" i="26" s="1"/>
  <c r="O26" i="26" s="1"/>
  <c r="N22" i="26"/>
  <c r="N24" i="26" s="1"/>
  <c r="N26" i="26" s="1"/>
  <c r="L22" i="26"/>
  <c r="L24" i="26" s="1"/>
  <c r="L26" i="26" s="1"/>
  <c r="J22" i="26"/>
  <c r="J24" i="26" s="1"/>
  <c r="J26" i="26" s="1"/>
  <c r="F22" i="26"/>
  <c r="F24" i="26" s="1"/>
  <c r="F26" i="26" s="1"/>
  <c r="D22" i="26"/>
  <c r="D24" i="26" s="1"/>
  <c r="D26" i="26" s="1"/>
  <c r="U21" i="26"/>
  <c r="U22" i="26" s="1"/>
  <c r="U24" i="26" s="1"/>
  <c r="U26" i="26" s="1"/>
  <c r="S21" i="26"/>
  <c r="Q21" i="26"/>
  <c r="O21" i="26"/>
  <c r="N21" i="26"/>
  <c r="M21" i="26"/>
  <c r="K21" i="26"/>
  <c r="G21" i="26"/>
  <c r="E21" i="26"/>
  <c r="X20" i="26"/>
  <c r="X22" i="26" s="1"/>
  <c r="X24" i="26" s="1"/>
  <c r="X26" i="26" s="1"/>
  <c r="V20" i="26"/>
  <c r="V22" i="26" s="1"/>
  <c r="V24" i="26" s="1"/>
  <c r="V26" i="26" s="1"/>
  <c r="U20" i="26"/>
  <c r="S20" i="26"/>
  <c r="Q20" i="26"/>
  <c r="O20" i="26"/>
  <c r="N20" i="26"/>
  <c r="M20" i="26"/>
  <c r="K20" i="26"/>
  <c r="I20" i="26"/>
  <c r="I22" i="26" s="1"/>
  <c r="I24" i="26" s="1"/>
  <c r="H20" i="26"/>
  <c r="H22" i="26" s="1"/>
  <c r="H24" i="26" s="1"/>
  <c r="G20" i="26"/>
  <c r="E20" i="26"/>
  <c r="I26" i="26" l="1"/>
  <c r="H26" i="26"/>
  <c r="M22" i="26"/>
  <c r="M24" i="26" s="1"/>
  <c r="M26" i="26" s="1"/>
  <c r="K22" i="26"/>
  <c r="K24" i="26" s="1"/>
  <c r="K26" i="26" s="1"/>
  <c r="S22" i="26"/>
  <c r="S24" i="26" s="1"/>
  <c r="S26" i="26" s="1"/>
  <c r="G22" i="26"/>
  <c r="G24" i="26" s="1"/>
  <c r="G26" i="26" s="1"/>
  <c r="E22" i="26"/>
  <c r="E24" i="26" s="1"/>
  <c r="Q22" i="26"/>
  <c r="Q24" i="26" s="1"/>
  <c r="Q26" i="26" s="1"/>
  <c r="E26" i="26"/>
  <c r="E25" i="25"/>
  <c r="Y25" i="25"/>
  <c r="U25" i="25"/>
  <c r="S25" i="25"/>
  <c r="Q25" i="25"/>
  <c r="O25" i="25"/>
  <c r="M25" i="25"/>
  <c r="K25" i="25"/>
  <c r="I25" i="25"/>
  <c r="H25" i="25"/>
  <c r="G25" i="25"/>
  <c r="W24" i="25"/>
  <c r="W26" i="25" s="1"/>
  <c r="AH22" i="25"/>
  <c r="AH24" i="25" s="1"/>
  <c r="AH26" i="25" s="1"/>
  <c r="AG22" i="25"/>
  <c r="AG24" i="25" s="1"/>
  <c r="AG26" i="25" s="1"/>
  <c r="AF22" i="25"/>
  <c r="AF24" i="25" s="1"/>
  <c r="AF26" i="25" s="1"/>
  <c r="AE22" i="25"/>
  <c r="AE24" i="25" s="1"/>
  <c r="AE26" i="25" s="1"/>
  <c r="AD22" i="25"/>
  <c r="AD24" i="25" s="1"/>
  <c r="AD26" i="25" s="1"/>
  <c r="AC22" i="25"/>
  <c r="AC24" i="25" s="1"/>
  <c r="AC26" i="25" s="1"/>
  <c r="AB22" i="25"/>
  <c r="AB24" i="25" s="1"/>
  <c r="AB26" i="25" s="1"/>
  <c r="AA22" i="25"/>
  <c r="AA24" i="25" s="1"/>
  <c r="AA26" i="25" s="1"/>
  <c r="Z22" i="25"/>
  <c r="Z24" i="25" s="1"/>
  <c r="Z26" i="25" s="1"/>
  <c r="Y22" i="25"/>
  <c r="Y24" i="25" s="1"/>
  <c r="W22" i="25"/>
  <c r="T22" i="25"/>
  <c r="T24" i="25" s="1"/>
  <c r="T26" i="25" s="1"/>
  <c r="R22" i="25"/>
  <c r="R24" i="25" s="1"/>
  <c r="R26" i="25" s="1"/>
  <c r="P22" i="25"/>
  <c r="P24" i="25" s="1"/>
  <c r="P26" i="25" s="1"/>
  <c r="L22" i="25"/>
  <c r="L24" i="25" s="1"/>
  <c r="L26" i="25" s="1"/>
  <c r="J22" i="25"/>
  <c r="J24" i="25" s="1"/>
  <c r="J26" i="25" s="1"/>
  <c r="F22" i="25"/>
  <c r="F24" i="25" s="1"/>
  <c r="F26" i="25" s="1"/>
  <c r="D22" i="25"/>
  <c r="D24" i="25" s="1"/>
  <c r="D26" i="25" s="1"/>
  <c r="U21" i="25"/>
  <c r="S21" i="25"/>
  <c r="Q21" i="25"/>
  <c r="Q22" i="25" s="1"/>
  <c r="Q24" i="25" s="1"/>
  <c r="Q26" i="25" s="1"/>
  <c r="O21" i="25"/>
  <c r="N21" i="25"/>
  <c r="M21" i="25"/>
  <c r="K21" i="25"/>
  <c r="G21" i="25"/>
  <c r="E21" i="25"/>
  <c r="X20" i="25"/>
  <c r="X22" i="25" s="1"/>
  <c r="X24" i="25" s="1"/>
  <c r="X26" i="25" s="1"/>
  <c r="V20" i="25"/>
  <c r="V22" i="25" s="1"/>
  <c r="V24" i="25" s="1"/>
  <c r="V26" i="25" s="1"/>
  <c r="U20" i="25"/>
  <c r="S20" i="25"/>
  <c r="S22" i="25" s="1"/>
  <c r="S24" i="25" s="1"/>
  <c r="S26" i="25" s="1"/>
  <c r="Q20" i="25"/>
  <c r="O20" i="25"/>
  <c r="O22" i="25" s="1"/>
  <c r="O24" i="25" s="1"/>
  <c r="O26" i="25" s="1"/>
  <c r="N20" i="25"/>
  <c r="N22" i="25" s="1"/>
  <c r="N24" i="25" s="1"/>
  <c r="N26" i="25" s="1"/>
  <c r="M20" i="25"/>
  <c r="K20" i="25"/>
  <c r="I20" i="25"/>
  <c r="I22" i="25" s="1"/>
  <c r="I24" i="25" s="1"/>
  <c r="I26" i="25" s="1"/>
  <c r="H20" i="25"/>
  <c r="H22" i="25" s="1"/>
  <c r="H24" i="25" s="1"/>
  <c r="H26" i="25" s="1"/>
  <c r="G20" i="25"/>
  <c r="E20" i="25"/>
  <c r="E22" i="25" s="1"/>
  <c r="W23" i="24"/>
  <c r="U23" i="24"/>
  <c r="D23" i="24"/>
  <c r="E23" i="24" s="1"/>
  <c r="K22" i="25" l="1"/>
  <c r="K24" i="25" s="1"/>
  <c r="K26" i="25" s="1"/>
  <c r="M22" i="25"/>
  <c r="M24" i="25" s="1"/>
  <c r="G22" i="25"/>
  <c r="G24" i="25" s="1"/>
  <c r="G26" i="25" s="1"/>
  <c r="M26" i="25"/>
  <c r="Y26" i="25"/>
  <c r="U22" i="25"/>
  <c r="U24" i="25" s="1"/>
  <c r="U26" i="25" s="1"/>
  <c r="E24" i="25"/>
  <c r="E26" i="25" s="1"/>
  <c r="AF25" i="24"/>
  <c r="Y25" i="24" l="1"/>
  <c r="U25" i="24"/>
  <c r="S25" i="24"/>
  <c r="Q25" i="24"/>
  <c r="O25" i="24"/>
  <c r="M25" i="24"/>
  <c r="K25" i="24"/>
  <c r="I25" i="24"/>
  <c r="H25" i="24"/>
  <c r="G25" i="24"/>
  <c r="E25" i="24"/>
  <c r="AH22" i="24"/>
  <c r="AH24" i="24" s="1"/>
  <c r="AH26" i="24" s="1"/>
  <c r="AG22" i="24"/>
  <c r="AG24" i="24" s="1"/>
  <c r="AG26" i="24" s="1"/>
  <c r="AF22" i="24"/>
  <c r="AF24" i="24" s="1"/>
  <c r="AF26" i="24" s="1"/>
  <c r="AE22" i="24"/>
  <c r="AE24" i="24" s="1"/>
  <c r="AE26" i="24" s="1"/>
  <c r="AD22" i="24"/>
  <c r="AD24" i="24" s="1"/>
  <c r="AD26" i="24" s="1"/>
  <c r="AC22" i="24"/>
  <c r="AC24" i="24" s="1"/>
  <c r="AB22" i="24"/>
  <c r="AB24" i="24" s="1"/>
  <c r="AB26" i="24" s="1"/>
  <c r="AA22" i="24"/>
  <c r="AA24" i="24" s="1"/>
  <c r="AA26" i="24" s="1"/>
  <c r="Z22" i="24"/>
  <c r="Z24" i="24" s="1"/>
  <c r="Z26" i="24" s="1"/>
  <c r="Y22" i="24"/>
  <c r="Y24" i="24" s="1"/>
  <c r="W22" i="24"/>
  <c r="W24" i="24" s="1"/>
  <c r="W26" i="24" s="1"/>
  <c r="T22" i="24"/>
  <c r="T24" i="24" s="1"/>
  <c r="T26" i="24" s="1"/>
  <c r="S22" i="24"/>
  <c r="S24" i="24" s="1"/>
  <c r="S26" i="24" s="1"/>
  <c r="R22" i="24"/>
  <c r="R24" i="24" s="1"/>
  <c r="R26" i="24" s="1"/>
  <c r="P22" i="24"/>
  <c r="P24" i="24" s="1"/>
  <c r="P26" i="24" s="1"/>
  <c r="L22" i="24"/>
  <c r="L24" i="24" s="1"/>
  <c r="L26" i="24" s="1"/>
  <c r="J22" i="24"/>
  <c r="J24" i="24" s="1"/>
  <c r="J26" i="24" s="1"/>
  <c r="F22" i="24"/>
  <c r="F24" i="24" s="1"/>
  <c r="F26" i="24" s="1"/>
  <c r="D22" i="24"/>
  <c r="D24" i="24" s="1"/>
  <c r="D26" i="24" s="1"/>
  <c r="U21" i="24"/>
  <c r="S21" i="24"/>
  <c r="Q21" i="24"/>
  <c r="O21" i="24"/>
  <c r="N21" i="24"/>
  <c r="M21" i="24"/>
  <c r="K21" i="24"/>
  <c r="G21" i="24"/>
  <c r="E21" i="24"/>
  <c r="X20" i="24"/>
  <c r="X22" i="24" s="1"/>
  <c r="X24" i="24" s="1"/>
  <c r="X26" i="24" s="1"/>
  <c r="V20" i="24"/>
  <c r="V22" i="24" s="1"/>
  <c r="V24" i="24" s="1"/>
  <c r="V26" i="24" s="1"/>
  <c r="U20" i="24"/>
  <c r="S20" i="24"/>
  <c r="Q20" i="24"/>
  <c r="O20" i="24"/>
  <c r="O22" i="24" s="1"/>
  <c r="O24" i="24" s="1"/>
  <c r="O26" i="24" s="1"/>
  <c r="N20" i="24"/>
  <c r="N22" i="24" s="1"/>
  <c r="N24" i="24" s="1"/>
  <c r="N26" i="24" s="1"/>
  <c r="M20" i="24"/>
  <c r="K20" i="24"/>
  <c r="I20" i="24"/>
  <c r="I22" i="24" s="1"/>
  <c r="I24" i="24" s="1"/>
  <c r="H20" i="24"/>
  <c r="H22" i="24" s="1"/>
  <c r="H24" i="24" s="1"/>
  <c r="G20" i="24"/>
  <c r="G22" i="24" s="1"/>
  <c r="G24" i="24" s="1"/>
  <c r="E20" i="24"/>
  <c r="E22" i="24" s="1"/>
  <c r="E24" i="24" s="1"/>
  <c r="M22" i="24" l="1"/>
  <c r="M24" i="24" s="1"/>
  <c r="M26" i="24" s="1"/>
  <c r="H26" i="24"/>
  <c r="I26" i="24"/>
  <c r="G26" i="24"/>
  <c r="K22" i="24"/>
  <c r="K24" i="24" s="1"/>
  <c r="K26" i="24" s="1"/>
  <c r="Q22" i="24"/>
  <c r="Q24" i="24" s="1"/>
  <c r="Q26" i="24" s="1"/>
  <c r="U22" i="24"/>
  <c r="U24" i="24" s="1"/>
  <c r="U26" i="24" s="1"/>
  <c r="AC26" i="24"/>
  <c r="Y26" i="24"/>
  <c r="E26" i="24"/>
  <c r="AF25" i="23"/>
  <c r="AC25" i="23"/>
  <c r="Y25" i="23"/>
  <c r="AF23" i="23" l="1"/>
  <c r="W23" i="23"/>
  <c r="T23" i="23"/>
  <c r="D23" i="23"/>
  <c r="U23" i="23"/>
  <c r="E23" i="23"/>
  <c r="U25" i="23"/>
  <c r="S25" i="23"/>
  <c r="Q25" i="23"/>
  <c r="O25" i="23"/>
  <c r="M25" i="23"/>
  <c r="K25" i="23"/>
  <c r="I25" i="23"/>
  <c r="H25" i="23"/>
  <c r="G25" i="23"/>
  <c r="E25" i="23"/>
  <c r="AH22" i="23"/>
  <c r="AH24" i="23" s="1"/>
  <c r="AH26" i="23" s="1"/>
  <c r="AG22" i="23"/>
  <c r="AG24" i="23" s="1"/>
  <c r="AG26" i="23" s="1"/>
  <c r="AF22" i="23"/>
  <c r="AF24" i="23" s="1"/>
  <c r="AF26" i="23" s="1"/>
  <c r="AE22" i="23"/>
  <c r="AE24" i="23" s="1"/>
  <c r="AE26" i="23" s="1"/>
  <c r="AD22" i="23"/>
  <c r="AD24" i="23" s="1"/>
  <c r="AD26" i="23" s="1"/>
  <c r="AC22" i="23"/>
  <c r="AC24" i="23" s="1"/>
  <c r="AC26" i="23" s="1"/>
  <c r="AB22" i="23"/>
  <c r="AB24" i="23" s="1"/>
  <c r="AB26" i="23" s="1"/>
  <c r="AA22" i="23"/>
  <c r="AA24" i="23" s="1"/>
  <c r="AA26" i="23" s="1"/>
  <c r="Z22" i="23"/>
  <c r="Z24" i="23" s="1"/>
  <c r="Z26" i="23" s="1"/>
  <c r="Y22" i="23"/>
  <c r="Y24" i="23" s="1"/>
  <c r="Y26" i="23" s="1"/>
  <c r="W22" i="23"/>
  <c r="T22" i="23"/>
  <c r="R22" i="23"/>
  <c r="R24" i="23" s="1"/>
  <c r="R26" i="23" s="1"/>
  <c r="P22" i="23"/>
  <c r="P24" i="23" s="1"/>
  <c r="P26" i="23" s="1"/>
  <c r="O22" i="23"/>
  <c r="O24" i="23" s="1"/>
  <c r="N22" i="23"/>
  <c r="N24" i="23" s="1"/>
  <c r="N26" i="23" s="1"/>
  <c r="L22" i="23"/>
  <c r="L24" i="23" s="1"/>
  <c r="L26" i="23" s="1"/>
  <c r="J22" i="23"/>
  <c r="J24" i="23" s="1"/>
  <c r="J26" i="23" s="1"/>
  <c r="F22" i="23"/>
  <c r="F24" i="23" s="1"/>
  <c r="F26" i="23" s="1"/>
  <c r="D22" i="23"/>
  <c r="U21" i="23"/>
  <c r="S21" i="23"/>
  <c r="Q21" i="23"/>
  <c r="O21" i="23"/>
  <c r="N21" i="23"/>
  <c r="M21" i="23"/>
  <c r="K21" i="23"/>
  <c r="K22" i="23" s="1"/>
  <c r="K24" i="23" s="1"/>
  <c r="G21" i="23"/>
  <c r="E21" i="23"/>
  <c r="X20" i="23"/>
  <c r="X22" i="23" s="1"/>
  <c r="X24" i="23" s="1"/>
  <c r="X26" i="23" s="1"/>
  <c r="V20" i="23"/>
  <c r="V22" i="23" s="1"/>
  <c r="V24" i="23" s="1"/>
  <c r="V26" i="23" s="1"/>
  <c r="U20" i="23"/>
  <c r="S20" i="23"/>
  <c r="Q20" i="23"/>
  <c r="O20" i="23"/>
  <c r="N20" i="23"/>
  <c r="M20" i="23"/>
  <c r="K20" i="23"/>
  <c r="I20" i="23"/>
  <c r="I22" i="23" s="1"/>
  <c r="I24" i="23" s="1"/>
  <c r="I26" i="23" s="1"/>
  <c r="H20" i="23"/>
  <c r="H22" i="23" s="1"/>
  <c r="H24" i="23" s="1"/>
  <c r="H26" i="23" s="1"/>
  <c r="G20" i="23"/>
  <c r="G22" i="23" s="1"/>
  <c r="G24" i="23" s="1"/>
  <c r="G26" i="23" s="1"/>
  <c r="E20" i="23"/>
  <c r="E22" i="23" s="1"/>
  <c r="O26" i="23" l="1"/>
  <c r="M22" i="23"/>
  <c r="M24" i="23" s="1"/>
  <c r="M26" i="23" s="1"/>
  <c r="K26" i="23"/>
  <c r="S22" i="23"/>
  <c r="S24" i="23" s="1"/>
  <c r="S26" i="23" s="1"/>
  <c r="Q22" i="23"/>
  <c r="Q24" i="23" s="1"/>
  <c r="Q26" i="23" s="1"/>
  <c r="U22" i="23"/>
  <c r="W24" i="23"/>
  <c r="W26" i="23" s="1"/>
  <c r="U24" i="23"/>
  <c r="U26" i="23" s="1"/>
  <c r="T24" i="23"/>
  <c r="T26" i="23" s="1"/>
  <c r="D24" i="23"/>
  <c r="D26" i="23" s="1"/>
  <c r="E24" i="23"/>
  <c r="E26" i="23" s="1"/>
  <c r="E21" i="22"/>
  <c r="E20" i="22"/>
  <c r="AF25" i="22" l="1"/>
  <c r="E25" i="22" l="1"/>
  <c r="U23" i="22"/>
  <c r="D23" i="22"/>
  <c r="E23" i="22" s="1"/>
  <c r="Y25" i="22"/>
  <c r="U25" i="22"/>
  <c r="S25" i="22"/>
  <c r="Q25" i="22"/>
  <c r="O25" i="22"/>
  <c r="M25" i="22"/>
  <c r="K25" i="22"/>
  <c r="I25" i="22"/>
  <c r="H25" i="22"/>
  <c r="G25" i="22"/>
  <c r="AH22" i="22"/>
  <c r="AH24" i="22" s="1"/>
  <c r="AH26" i="22" s="1"/>
  <c r="AG22" i="22"/>
  <c r="AG24" i="22" s="1"/>
  <c r="AG26" i="22" s="1"/>
  <c r="AF22" i="22"/>
  <c r="AF24" i="22" s="1"/>
  <c r="AE22" i="22"/>
  <c r="AE24" i="22" s="1"/>
  <c r="AE26" i="22" s="1"/>
  <c r="AD22" i="22"/>
  <c r="AD24" i="22" s="1"/>
  <c r="AD26" i="22" s="1"/>
  <c r="AC22" i="22"/>
  <c r="AC24" i="22" s="1"/>
  <c r="AC26" i="22" s="1"/>
  <c r="AB22" i="22"/>
  <c r="AB24" i="22" s="1"/>
  <c r="AB26" i="22" s="1"/>
  <c r="AA22" i="22"/>
  <c r="AA24" i="22" s="1"/>
  <c r="AA26" i="22" s="1"/>
  <c r="Z22" i="22"/>
  <c r="Z24" i="22" s="1"/>
  <c r="Z26" i="22" s="1"/>
  <c r="Y22" i="22"/>
  <c r="Y24" i="22" s="1"/>
  <c r="X22" i="22"/>
  <c r="X24" i="22" s="1"/>
  <c r="X26" i="22" s="1"/>
  <c r="W22" i="22"/>
  <c r="T22" i="22"/>
  <c r="T24" i="22" s="1"/>
  <c r="T26" i="22" s="1"/>
  <c r="R22" i="22"/>
  <c r="R24" i="22" s="1"/>
  <c r="R26" i="22" s="1"/>
  <c r="P22" i="22"/>
  <c r="P24" i="22" s="1"/>
  <c r="P26" i="22" s="1"/>
  <c r="O22" i="22"/>
  <c r="O24" i="22" s="1"/>
  <c r="L22" i="22"/>
  <c r="L24" i="22" s="1"/>
  <c r="L26" i="22" s="1"/>
  <c r="J22" i="22"/>
  <c r="J24" i="22" s="1"/>
  <c r="J26" i="22" s="1"/>
  <c r="I22" i="22"/>
  <c r="I24" i="22" s="1"/>
  <c r="F22" i="22"/>
  <c r="F24" i="22" s="1"/>
  <c r="F26" i="22" s="1"/>
  <c r="E22" i="22"/>
  <c r="D22" i="22"/>
  <c r="D24" i="22" s="1"/>
  <c r="D26" i="22" s="1"/>
  <c r="U21" i="22"/>
  <c r="S21" i="22"/>
  <c r="Q21" i="22"/>
  <c r="O21" i="22"/>
  <c r="N21" i="22"/>
  <c r="M21" i="22"/>
  <c r="K21" i="22"/>
  <c r="G21" i="22"/>
  <c r="X20" i="22"/>
  <c r="V20" i="22"/>
  <c r="V22" i="22" s="1"/>
  <c r="V24" i="22" s="1"/>
  <c r="V26" i="22" s="1"/>
  <c r="U20" i="22"/>
  <c r="S20" i="22"/>
  <c r="S22" i="22" s="1"/>
  <c r="S24" i="22" s="1"/>
  <c r="S26" i="22" s="1"/>
  <c r="Q20" i="22"/>
  <c r="O20" i="22"/>
  <c r="N20" i="22"/>
  <c r="N22" i="22" s="1"/>
  <c r="N24" i="22" s="1"/>
  <c r="N26" i="22" s="1"/>
  <c r="M20" i="22"/>
  <c r="K20" i="22"/>
  <c r="I20" i="22"/>
  <c r="H20" i="22"/>
  <c r="H22" i="22" s="1"/>
  <c r="H24" i="22" s="1"/>
  <c r="G20" i="22"/>
  <c r="I26" i="22" l="1"/>
  <c r="H26" i="22"/>
  <c r="G22" i="22"/>
  <c r="G24" i="22" s="1"/>
  <c r="G26" i="22" s="1"/>
  <c r="K22" i="22"/>
  <c r="K24" i="22" s="1"/>
  <c r="K26" i="22" s="1"/>
  <c r="M22" i="22"/>
  <c r="M24" i="22" s="1"/>
  <c r="M26" i="22" s="1"/>
  <c r="O26" i="22"/>
  <c r="Q22" i="22"/>
  <c r="Q24" i="22" s="1"/>
  <c r="U22" i="22"/>
  <c r="U24" i="22" s="1"/>
  <c r="U26" i="22" s="1"/>
  <c r="AF26" i="22"/>
  <c r="Y26" i="22"/>
  <c r="Q26" i="22"/>
  <c r="W24" i="22"/>
  <c r="W26" i="22" s="1"/>
  <c r="E24" i="22"/>
  <c r="E26" i="22" s="1"/>
  <c r="E22" i="21"/>
  <c r="D22" i="21"/>
  <c r="Y25" i="21" l="1"/>
  <c r="U25" i="21"/>
  <c r="S25" i="21"/>
  <c r="Q25" i="21"/>
  <c r="O25" i="21"/>
  <c r="M25" i="21"/>
  <c r="K25" i="21"/>
  <c r="I25" i="21"/>
  <c r="H25" i="21"/>
  <c r="G25" i="21"/>
  <c r="D24" i="21"/>
  <c r="D26" i="21" s="1"/>
  <c r="E24" i="21"/>
  <c r="E26" i="21" s="1"/>
  <c r="AH22" i="21"/>
  <c r="AH24" i="21" s="1"/>
  <c r="AH26" i="21" s="1"/>
  <c r="AG22" i="21"/>
  <c r="AG24" i="21" s="1"/>
  <c r="AG26" i="21" s="1"/>
  <c r="AF22" i="21"/>
  <c r="AF24" i="21" s="1"/>
  <c r="AF26" i="21" s="1"/>
  <c r="AE22" i="21"/>
  <c r="AE24" i="21" s="1"/>
  <c r="AE26" i="21" s="1"/>
  <c r="AD22" i="21"/>
  <c r="AD24" i="21" s="1"/>
  <c r="AD26" i="21" s="1"/>
  <c r="AC22" i="21"/>
  <c r="AC24" i="21" s="1"/>
  <c r="AC26" i="21" s="1"/>
  <c r="AB22" i="21"/>
  <c r="AB24" i="21" s="1"/>
  <c r="AB26" i="21" s="1"/>
  <c r="AA22" i="21"/>
  <c r="AA24" i="21" s="1"/>
  <c r="AA26" i="21" s="1"/>
  <c r="Z22" i="21"/>
  <c r="Z24" i="21" s="1"/>
  <c r="Z26" i="21" s="1"/>
  <c r="Y22" i="21"/>
  <c r="Y24" i="21" s="1"/>
  <c r="W22" i="21"/>
  <c r="W24" i="21" s="1"/>
  <c r="W26" i="21" s="1"/>
  <c r="V22" i="21"/>
  <c r="V24" i="21" s="1"/>
  <c r="V26" i="21" s="1"/>
  <c r="T22" i="21"/>
  <c r="T24" i="21" s="1"/>
  <c r="T26" i="21" s="1"/>
  <c r="R22" i="21"/>
  <c r="R24" i="21" s="1"/>
  <c r="R26" i="21" s="1"/>
  <c r="P22" i="21"/>
  <c r="P24" i="21" s="1"/>
  <c r="P26" i="21" s="1"/>
  <c r="L22" i="21"/>
  <c r="L24" i="21" s="1"/>
  <c r="L26" i="21" s="1"/>
  <c r="J22" i="21"/>
  <c r="J24" i="21" s="1"/>
  <c r="J26" i="21" s="1"/>
  <c r="I22" i="21"/>
  <c r="I24" i="21" s="1"/>
  <c r="I26" i="21" s="1"/>
  <c r="F22" i="21"/>
  <c r="F24" i="21" s="1"/>
  <c r="F26" i="21" s="1"/>
  <c r="U21" i="21"/>
  <c r="S21" i="21"/>
  <c r="Q21" i="21"/>
  <c r="O21" i="21"/>
  <c r="N21" i="21"/>
  <c r="M21" i="21"/>
  <c r="K21" i="21"/>
  <c r="G21" i="21"/>
  <c r="X20" i="21"/>
  <c r="X22" i="21" s="1"/>
  <c r="X24" i="21" s="1"/>
  <c r="X26" i="21" s="1"/>
  <c r="V20" i="21"/>
  <c r="U20" i="21"/>
  <c r="S20" i="21"/>
  <c r="Q20" i="21"/>
  <c r="O20" i="21"/>
  <c r="O22" i="21" s="1"/>
  <c r="O24" i="21" s="1"/>
  <c r="O26" i="21" s="1"/>
  <c r="N20" i="21"/>
  <c r="N22" i="21" s="1"/>
  <c r="N24" i="21" s="1"/>
  <c r="N26" i="21" s="1"/>
  <c r="M20" i="21"/>
  <c r="K20" i="21"/>
  <c r="I20" i="21"/>
  <c r="H20" i="21"/>
  <c r="H22" i="21" s="1"/>
  <c r="H24" i="21" s="1"/>
  <c r="G20" i="21"/>
  <c r="U22" i="21" l="1"/>
  <c r="U24" i="21" s="1"/>
  <c r="K22" i="21"/>
  <c r="K24" i="21" s="1"/>
  <c r="S22" i="21"/>
  <c r="S24" i="21" s="1"/>
  <c r="S26" i="21" s="1"/>
  <c r="H26" i="21"/>
  <c r="K26" i="21"/>
  <c r="M22" i="21"/>
  <c r="M24" i="21" s="1"/>
  <c r="M26" i="21" s="1"/>
  <c r="Y26" i="21"/>
  <c r="U26" i="21"/>
  <c r="Q22" i="21"/>
  <c r="Q24" i="21" s="1"/>
  <c r="Q26" i="21" s="1"/>
  <c r="G22" i="21"/>
  <c r="G24" i="21" s="1"/>
  <c r="G26" i="21" s="1"/>
  <c r="AF25" i="20"/>
  <c r="AC25" i="20"/>
  <c r="AF23" i="20"/>
  <c r="W23" i="20"/>
  <c r="D23" i="20"/>
  <c r="D24" i="20" s="1"/>
  <c r="D26" i="20" s="1"/>
  <c r="U23" i="20"/>
  <c r="E23" i="20" l="1"/>
  <c r="E24" i="20" s="1"/>
  <c r="E26" i="20" s="1"/>
  <c r="Y25" i="20"/>
  <c r="U25" i="20"/>
  <c r="S25" i="20"/>
  <c r="Q25" i="20"/>
  <c r="O25" i="20"/>
  <c r="M25" i="20"/>
  <c r="K25" i="20"/>
  <c r="I25" i="20"/>
  <c r="H25" i="20"/>
  <c r="G25" i="20"/>
  <c r="AG24" i="20"/>
  <c r="AG26" i="20" s="1"/>
  <c r="AH22" i="20"/>
  <c r="AH24" i="20" s="1"/>
  <c r="AH26" i="20" s="1"/>
  <c r="AG22" i="20"/>
  <c r="AF22" i="20"/>
  <c r="AF24" i="20" s="1"/>
  <c r="AF26" i="20" s="1"/>
  <c r="AE22" i="20"/>
  <c r="AE24" i="20" s="1"/>
  <c r="AE26" i="20" s="1"/>
  <c r="AD22" i="20"/>
  <c r="AD24" i="20" s="1"/>
  <c r="AD26" i="20" s="1"/>
  <c r="AC22" i="20"/>
  <c r="AC24" i="20" s="1"/>
  <c r="AC26" i="20" s="1"/>
  <c r="AB22" i="20"/>
  <c r="AB24" i="20" s="1"/>
  <c r="AB26" i="20" s="1"/>
  <c r="AA22" i="20"/>
  <c r="AA24" i="20" s="1"/>
  <c r="AA26" i="20" s="1"/>
  <c r="Z22" i="20"/>
  <c r="Z24" i="20" s="1"/>
  <c r="Z26" i="20" s="1"/>
  <c r="Y22" i="20"/>
  <c r="Y24" i="20" s="1"/>
  <c r="Y26" i="20" s="1"/>
  <c r="W22" i="20"/>
  <c r="W24" i="20" s="1"/>
  <c r="W26" i="20" s="1"/>
  <c r="T22" i="20"/>
  <c r="T24" i="20" s="1"/>
  <c r="T26" i="20" s="1"/>
  <c r="R22" i="20"/>
  <c r="R24" i="20" s="1"/>
  <c r="R26" i="20" s="1"/>
  <c r="P22" i="20"/>
  <c r="P24" i="20" s="1"/>
  <c r="P26" i="20" s="1"/>
  <c r="L22" i="20"/>
  <c r="L24" i="20" s="1"/>
  <c r="L26" i="20" s="1"/>
  <c r="J22" i="20"/>
  <c r="J24" i="20" s="1"/>
  <c r="J26" i="20" s="1"/>
  <c r="H22" i="20"/>
  <c r="H24" i="20" s="1"/>
  <c r="G22" i="20"/>
  <c r="G24" i="20" s="1"/>
  <c r="F22" i="20"/>
  <c r="F24" i="20" s="1"/>
  <c r="F26" i="20" s="1"/>
  <c r="U21" i="20"/>
  <c r="S21" i="20"/>
  <c r="Q21" i="20"/>
  <c r="O21" i="20"/>
  <c r="N21" i="20"/>
  <c r="M21" i="20"/>
  <c r="M22" i="20" s="1"/>
  <c r="M24" i="20" s="1"/>
  <c r="K21" i="20"/>
  <c r="G21" i="20"/>
  <c r="X20" i="20"/>
  <c r="X22" i="20" s="1"/>
  <c r="X24" i="20" s="1"/>
  <c r="X26" i="20" s="1"/>
  <c r="V20" i="20"/>
  <c r="V22" i="20" s="1"/>
  <c r="V24" i="20" s="1"/>
  <c r="V26" i="20" s="1"/>
  <c r="U20" i="20"/>
  <c r="S20" i="20"/>
  <c r="Q20" i="20"/>
  <c r="O20" i="20"/>
  <c r="O22" i="20" s="1"/>
  <c r="O24" i="20" s="1"/>
  <c r="O26" i="20" s="1"/>
  <c r="N20" i="20"/>
  <c r="N22" i="20" s="1"/>
  <c r="N24" i="20" s="1"/>
  <c r="N26" i="20" s="1"/>
  <c r="M20" i="20"/>
  <c r="K20" i="20"/>
  <c r="I20" i="20"/>
  <c r="I22" i="20" s="1"/>
  <c r="I24" i="20" s="1"/>
  <c r="H20" i="20"/>
  <c r="G20" i="20"/>
  <c r="S22" i="20" l="1"/>
  <c r="S24" i="20" s="1"/>
  <c r="S26" i="20" s="1"/>
  <c r="M26" i="20"/>
  <c r="Q22" i="20"/>
  <c r="Q24" i="20" s="1"/>
  <c r="Q26" i="20" s="1"/>
  <c r="H26" i="20"/>
  <c r="U22" i="20"/>
  <c r="U24" i="20" s="1"/>
  <c r="U26" i="20" s="1"/>
  <c r="K22" i="20"/>
  <c r="K24" i="20" s="1"/>
  <c r="K26" i="20" s="1"/>
  <c r="I26" i="20"/>
  <c r="G26" i="20"/>
  <c r="S23" i="18"/>
  <c r="AD25" i="19" l="1"/>
  <c r="AA25" i="19"/>
  <c r="W25" i="19"/>
  <c r="S25" i="19"/>
  <c r="Q25" i="19"/>
  <c r="O25" i="19"/>
  <c r="M25" i="19"/>
  <c r="K25" i="19"/>
  <c r="I25" i="19"/>
  <c r="G25" i="19"/>
  <c r="F25" i="19"/>
  <c r="E25" i="19"/>
  <c r="AF22" i="19"/>
  <c r="AF24" i="19" s="1"/>
  <c r="AF26" i="19" s="1"/>
  <c r="AE22" i="19"/>
  <c r="AE24" i="19" s="1"/>
  <c r="AE26" i="19" s="1"/>
  <c r="AD22" i="19"/>
  <c r="AD24" i="19" s="1"/>
  <c r="AC22" i="19"/>
  <c r="AC24" i="19" s="1"/>
  <c r="AC26" i="19" s="1"/>
  <c r="AB22" i="19"/>
  <c r="AB24" i="19" s="1"/>
  <c r="AB26" i="19" s="1"/>
  <c r="AA22" i="19"/>
  <c r="AA24" i="19" s="1"/>
  <c r="Z22" i="19"/>
  <c r="Z24" i="19" s="1"/>
  <c r="Z26" i="19" s="1"/>
  <c r="Y22" i="19"/>
  <c r="Y24" i="19" s="1"/>
  <c r="Y26" i="19" s="1"/>
  <c r="X22" i="19"/>
  <c r="X24" i="19" s="1"/>
  <c r="X26" i="19" s="1"/>
  <c r="W22" i="19"/>
  <c r="W24" i="19" s="1"/>
  <c r="W26" i="19" s="1"/>
  <c r="U22" i="19"/>
  <c r="U24" i="19" s="1"/>
  <c r="U26" i="19" s="1"/>
  <c r="R22" i="19"/>
  <c r="R24" i="19" s="1"/>
  <c r="R26" i="19" s="1"/>
  <c r="P22" i="19"/>
  <c r="P24" i="19" s="1"/>
  <c r="P26" i="19" s="1"/>
  <c r="N22" i="19"/>
  <c r="N24" i="19" s="1"/>
  <c r="N26" i="19" s="1"/>
  <c r="M22" i="19"/>
  <c r="M24" i="19" s="1"/>
  <c r="M26" i="19" s="1"/>
  <c r="L22" i="19"/>
  <c r="L24" i="19" s="1"/>
  <c r="L26" i="19" s="1"/>
  <c r="J22" i="19"/>
  <c r="J24" i="19" s="1"/>
  <c r="J26" i="19" s="1"/>
  <c r="H22" i="19"/>
  <c r="H24" i="19" s="1"/>
  <c r="H26" i="19" s="1"/>
  <c r="D22" i="19"/>
  <c r="D24" i="19" s="1"/>
  <c r="D26" i="19" s="1"/>
  <c r="S21" i="19"/>
  <c r="Q21" i="19"/>
  <c r="O21" i="19"/>
  <c r="M21" i="19"/>
  <c r="L21" i="19"/>
  <c r="K21" i="19"/>
  <c r="I21" i="19"/>
  <c r="I22" i="19" s="1"/>
  <c r="I24" i="19" s="1"/>
  <c r="E21" i="19"/>
  <c r="V20" i="19"/>
  <c r="V22" i="19" s="1"/>
  <c r="V24" i="19" s="1"/>
  <c r="V26" i="19" s="1"/>
  <c r="T20" i="19"/>
  <c r="T22" i="19" s="1"/>
  <c r="T24" i="19" s="1"/>
  <c r="T26" i="19" s="1"/>
  <c r="S20" i="19"/>
  <c r="S22" i="19" s="1"/>
  <c r="S24" i="19" s="1"/>
  <c r="S26" i="19" s="1"/>
  <c r="Q20" i="19"/>
  <c r="O20" i="19"/>
  <c r="M20" i="19"/>
  <c r="L20" i="19"/>
  <c r="K20" i="19"/>
  <c r="I20" i="19"/>
  <c r="G20" i="19"/>
  <c r="G22" i="19" s="1"/>
  <c r="G24" i="19" s="1"/>
  <c r="F20" i="19"/>
  <c r="F22" i="19" s="1"/>
  <c r="F24" i="19" s="1"/>
  <c r="E20" i="19"/>
  <c r="E22" i="19" s="1"/>
  <c r="E24" i="19" s="1"/>
  <c r="E26" i="19" l="1"/>
  <c r="F26" i="19"/>
  <c r="G26" i="19"/>
  <c r="I26" i="19"/>
  <c r="K22" i="19"/>
  <c r="K24" i="19" s="1"/>
  <c r="K26" i="19" s="1"/>
  <c r="Q22" i="19"/>
  <c r="Q24" i="19" s="1"/>
  <c r="Q26" i="19" s="1"/>
  <c r="O22" i="19"/>
  <c r="O24" i="19" s="1"/>
  <c r="O26" i="19" s="1"/>
  <c r="AD26" i="19"/>
  <c r="AA26" i="19"/>
  <c r="AA25" i="18"/>
  <c r="AD25" i="18"/>
  <c r="W25" i="18"/>
  <c r="S25" i="18"/>
  <c r="Q25" i="18"/>
  <c r="O25" i="18"/>
  <c r="M25" i="18"/>
  <c r="K25" i="18"/>
  <c r="I25" i="18"/>
  <c r="G25" i="18"/>
  <c r="F25" i="18"/>
  <c r="E25" i="18"/>
  <c r="J24" i="18"/>
  <c r="J26" i="18" s="1"/>
  <c r="AF22" i="18"/>
  <c r="AF24" i="18" s="1"/>
  <c r="AF26" i="18" s="1"/>
  <c r="AE22" i="18"/>
  <c r="AE24" i="18" s="1"/>
  <c r="AE26" i="18" s="1"/>
  <c r="AD22" i="18"/>
  <c r="AD24" i="18" s="1"/>
  <c r="AC22" i="18"/>
  <c r="AC24" i="18" s="1"/>
  <c r="AC26" i="18" s="1"/>
  <c r="AB22" i="18"/>
  <c r="AB24" i="18" s="1"/>
  <c r="AB26" i="18" s="1"/>
  <c r="AA22" i="18"/>
  <c r="AA24" i="18" s="1"/>
  <c r="Z22" i="18"/>
  <c r="Z24" i="18" s="1"/>
  <c r="Z26" i="18" s="1"/>
  <c r="Y22" i="18"/>
  <c r="Y24" i="18" s="1"/>
  <c r="Y26" i="18" s="1"/>
  <c r="X22" i="18"/>
  <c r="X24" i="18" s="1"/>
  <c r="X26" i="18" s="1"/>
  <c r="W22" i="18"/>
  <c r="W24" i="18" s="1"/>
  <c r="U22" i="18"/>
  <c r="U24" i="18" s="1"/>
  <c r="U26" i="18" s="1"/>
  <c r="R22" i="18"/>
  <c r="R24" i="18" s="1"/>
  <c r="R26" i="18" s="1"/>
  <c r="P22" i="18"/>
  <c r="P24" i="18" s="1"/>
  <c r="P26" i="18" s="1"/>
  <c r="N22" i="18"/>
  <c r="N24" i="18" s="1"/>
  <c r="N26" i="18" s="1"/>
  <c r="J22" i="18"/>
  <c r="H22" i="18"/>
  <c r="H24" i="18" s="1"/>
  <c r="H26" i="18" s="1"/>
  <c r="F22" i="18"/>
  <c r="F24" i="18" s="1"/>
  <c r="E22" i="18"/>
  <c r="E24" i="18" s="1"/>
  <c r="D22" i="18"/>
  <c r="D24" i="18" s="1"/>
  <c r="D26" i="18" s="1"/>
  <c r="S21" i="18"/>
  <c r="Q21" i="18"/>
  <c r="O21" i="18"/>
  <c r="M21" i="18"/>
  <c r="L21" i="18"/>
  <c r="K21" i="18"/>
  <c r="I21" i="18"/>
  <c r="E21" i="18"/>
  <c r="V20" i="18"/>
  <c r="V22" i="18" s="1"/>
  <c r="V24" i="18" s="1"/>
  <c r="V26" i="18" s="1"/>
  <c r="T20" i="18"/>
  <c r="T22" i="18" s="1"/>
  <c r="T24" i="18" s="1"/>
  <c r="T26" i="18" s="1"/>
  <c r="S20" i="18"/>
  <c r="Q20" i="18"/>
  <c r="O20" i="18"/>
  <c r="M20" i="18"/>
  <c r="M22" i="18" s="1"/>
  <c r="M24" i="18" s="1"/>
  <c r="M26" i="18" s="1"/>
  <c r="L20" i="18"/>
  <c r="L22" i="18" s="1"/>
  <c r="L24" i="18" s="1"/>
  <c r="L26" i="18" s="1"/>
  <c r="K20" i="18"/>
  <c r="I20" i="18"/>
  <c r="I22" i="18" s="1"/>
  <c r="I24" i="18" s="1"/>
  <c r="G20" i="18"/>
  <c r="G22" i="18" s="1"/>
  <c r="G24" i="18" s="1"/>
  <c r="G26" i="18" s="1"/>
  <c r="F20" i="18"/>
  <c r="E20" i="18"/>
  <c r="K22" i="18" l="1"/>
  <c r="K24" i="18" s="1"/>
  <c r="K26" i="18" s="1"/>
  <c r="E26" i="18"/>
  <c r="F26" i="18"/>
  <c r="AA26" i="18"/>
  <c r="Q22" i="18"/>
  <c r="Q24" i="18" s="1"/>
  <c r="Q26" i="18" s="1"/>
  <c r="AD26" i="18"/>
  <c r="I26" i="18"/>
  <c r="O22" i="18"/>
  <c r="O24" i="18" s="1"/>
  <c r="S22" i="18"/>
  <c r="S24" i="18" s="1"/>
  <c r="S26" i="18" s="1"/>
  <c r="W26" i="18"/>
  <c r="O26" i="18"/>
  <c r="AD23" i="17"/>
  <c r="AD25" i="17" l="1"/>
  <c r="AA25" i="17"/>
  <c r="W25" i="17"/>
  <c r="S25" i="17"/>
  <c r="Q25" i="17"/>
  <c r="O25" i="17"/>
  <c r="M25" i="17"/>
  <c r="K25" i="17"/>
  <c r="I25" i="17"/>
  <c r="G25" i="17"/>
  <c r="F25" i="17"/>
  <c r="E25" i="17"/>
  <c r="AF22" i="17"/>
  <c r="AF24" i="17" s="1"/>
  <c r="AF26" i="17" s="1"/>
  <c r="AE22" i="17"/>
  <c r="AE24" i="17" s="1"/>
  <c r="AE26" i="17" s="1"/>
  <c r="AD22" i="17"/>
  <c r="AD24" i="17" s="1"/>
  <c r="AC22" i="17"/>
  <c r="AC24" i="17" s="1"/>
  <c r="AC26" i="17" s="1"/>
  <c r="AB22" i="17"/>
  <c r="AB24" i="17" s="1"/>
  <c r="AB26" i="17" s="1"/>
  <c r="AA22" i="17"/>
  <c r="AA24" i="17" s="1"/>
  <c r="Z22" i="17"/>
  <c r="Z24" i="17" s="1"/>
  <c r="Z26" i="17" s="1"/>
  <c r="Y22" i="17"/>
  <c r="Y24" i="17" s="1"/>
  <c r="Y26" i="17" s="1"/>
  <c r="X22" i="17"/>
  <c r="X24" i="17" s="1"/>
  <c r="X26" i="17" s="1"/>
  <c r="W22" i="17"/>
  <c r="W24" i="17" s="1"/>
  <c r="U22" i="17"/>
  <c r="U24" i="17" s="1"/>
  <c r="U26" i="17" s="1"/>
  <c r="R22" i="17"/>
  <c r="R24" i="17" s="1"/>
  <c r="R26" i="17" s="1"/>
  <c r="P22" i="17"/>
  <c r="P24" i="17" s="1"/>
  <c r="P26" i="17" s="1"/>
  <c r="N22" i="17"/>
  <c r="N24" i="17" s="1"/>
  <c r="N26" i="17" s="1"/>
  <c r="J22" i="17"/>
  <c r="J24" i="17" s="1"/>
  <c r="J26" i="17" s="1"/>
  <c r="H22" i="17"/>
  <c r="H24" i="17" s="1"/>
  <c r="H26" i="17" s="1"/>
  <c r="F22" i="17"/>
  <c r="F24" i="17" s="1"/>
  <c r="D22" i="17"/>
  <c r="D24" i="17" s="1"/>
  <c r="D26" i="17" s="1"/>
  <c r="S21" i="17"/>
  <c r="Q21" i="17"/>
  <c r="O21" i="17"/>
  <c r="M21" i="17"/>
  <c r="L21" i="17"/>
  <c r="K21" i="17"/>
  <c r="I21" i="17"/>
  <c r="E21" i="17"/>
  <c r="V20" i="17"/>
  <c r="V22" i="17" s="1"/>
  <c r="V24" i="17" s="1"/>
  <c r="V26" i="17" s="1"/>
  <c r="T20" i="17"/>
  <c r="T22" i="17" s="1"/>
  <c r="T24" i="17" s="1"/>
  <c r="T26" i="17" s="1"/>
  <c r="S20" i="17"/>
  <c r="Q20" i="17"/>
  <c r="O20" i="17"/>
  <c r="M20" i="17"/>
  <c r="M22" i="17" s="1"/>
  <c r="M24" i="17" s="1"/>
  <c r="L20" i="17"/>
  <c r="L22" i="17" s="1"/>
  <c r="L24" i="17" s="1"/>
  <c r="L26" i="17" s="1"/>
  <c r="K20" i="17"/>
  <c r="I20" i="17"/>
  <c r="G20" i="17"/>
  <c r="G22" i="17" s="1"/>
  <c r="G24" i="17" s="1"/>
  <c r="F20" i="17"/>
  <c r="E20" i="17"/>
  <c r="S22" i="17" l="1"/>
  <c r="F26" i="17"/>
  <c r="Q22" i="17"/>
  <c r="Q24" i="17" s="1"/>
  <c r="E22" i="17"/>
  <c r="E24" i="17" s="1"/>
  <c r="K22" i="17"/>
  <c r="K24" i="17" s="1"/>
  <c r="G26" i="17"/>
  <c r="I22" i="17"/>
  <c r="I24" i="17" s="1"/>
  <c r="I26" i="17" s="1"/>
  <c r="K26" i="17"/>
  <c r="W26" i="17"/>
  <c r="M26" i="17"/>
  <c r="Q26" i="17"/>
  <c r="O22" i="17"/>
  <c r="O24" i="17" s="1"/>
  <c r="O26" i="17" s="1"/>
  <c r="AD26" i="17"/>
  <c r="AA26" i="17"/>
  <c r="E26" i="17"/>
  <c r="S23" i="17"/>
  <c r="S24" i="17" s="1"/>
  <c r="S26" i="17" s="1"/>
  <c r="AD25" i="16"/>
  <c r="AA25" i="16"/>
  <c r="W25" i="16"/>
  <c r="S25" i="16"/>
  <c r="Q25" i="16"/>
  <c r="O25" i="16"/>
  <c r="M25" i="16"/>
  <c r="K25" i="16"/>
  <c r="I25" i="16"/>
  <c r="G25" i="16"/>
  <c r="F25" i="16"/>
  <c r="E25" i="16"/>
  <c r="AF22" i="16"/>
  <c r="AF24" i="16" s="1"/>
  <c r="AF26" i="16" s="1"/>
  <c r="AE22" i="16"/>
  <c r="AE24" i="16" s="1"/>
  <c r="AE26" i="16" s="1"/>
  <c r="AD22" i="16"/>
  <c r="AD24" i="16" s="1"/>
  <c r="AD26" i="16" s="1"/>
  <c r="AC22" i="16"/>
  <c r="AC24" i="16" s="1"/>
  <c r="AC26" i="16" s="1"/>
  <c r="AB22" i="16"/>
  <c r="AB24" i="16" s="1"/>
  <c r="AB26" i="16" s="1"/>
  <c r="AA22" i="16"/>
  <c r="AA24" i="16" s="1"/>
  <c r="Z22" i="16"/>
  <c r="Z24" i="16" s="1"/>
  <c r="Z26" i="16" s="1"/>
  <c r="Y22" i="16"/>
  <c r="Y24" i="16" s="1"/>
  <c r="Y26" i="16" s="1"/>
  <c r="X22" i="16"/>
  <c r="X24" i="16" s="1"/>
  <c r="X26" i="16" s="1"/>
  <c r="W22" i="16"/>
  <c r="W24" i="16" s="1"/>
  <c r="U22" i="16"/>
  <c r="U24" i="16" s="1"/>
  <c r="U26" i="16" s="1"/>
  <c r="R22" i="16"/>
  <c r="R24" i="16" s="1"/>
  <c r="R26" i="16" s="1"/>
  <c r="P22" i="16"/>
  <c r="P24" i="16" s="1"/>
  <c r="P26" i="16" s="1"/>
  <c r="N22" i="16"/>
  <c r="N24" i="16" s="1"/>
  <c r="N26" i="16" s="1"/>
  <c r="M22" i="16"/>
  <c r="M24" i="16" s="1"/>
  <c r="K22" i="16"/>
  <c r="K24" i="16" s="1"/>
  <c r="K26" i="16" s="1"/>
  <c r="J22" i="16"/>
  <c r="J24" i="16" s="1"/>
  <c r="J26" i="16" s="1"/>
  <c r="H22" i="16"/>
  <c r="H24" i="16" s="1"/>
  <c r="H26" i="16" s="1"/>
  <c r="G22" i="16"/>
  <c r="G24" i="16" s="1"/>
  <c r="D22" i="16"/>
  <c r="D24" i="16" s="1"/>
  <c r="D26" i="16" s="1"/>
  <c r="S21" i="16"/>
  <c r="Q21" i="16"/>
  <c r="O21" i="16"/>
  <c r="M21" i="16"/>
  <c r="L21" i="16"/>
  <c r="K21" i="16"/>
  <c r="I21" i="16"/>
  <c r="E21" i="16"/>
  <c r="V20" i="16"/>
  <c r="V22" i="16" s="1"/>
  <c r="V24" i="16" s="1"/>
  <c r="V26" i="16" s="1"/>
  <c r="T20" i="16"/>
  <c r="T22" i="16" s="1"/>
  <c r="T24" i="16" s="1"/>
  <c r="T26" i="16" s="1"/>
  <c r="S20" i="16"/>
  <c r="Q20" i="16"/>
  <c r="O20" i="16"/>
  <c r="M20" i="16"/>
  <c r="L20" i="16"/>
  <c r="L22" i="16" s="1"/>
  <c r="L24" i="16" s="1"/>
  <c r="L26" i="16" s="1"/>
  <c r="K20" i="16"/>
  <c r="I20" i="16"/>
  <c r="G20" i="16"/>
  <c r="F20" i="16"/>
  <c r="F22" i="16" s="1"/>
  <c r="F24" i="16" s="1"/>
  <c r="E20" i="16"/>
  <c r="M26" i="16" l="1"/>
  <c r="O22" i="16"/>
  <c r="O24" i="16" s="1"/>
  <c r="G26" i="16"/>
  <c r="S22" i="16"/>
  <c r="F26" i="16"/>
  <c r="I22" i="16"/>
  <c r="I24" i="16" s="1"/>
  <c r="I26" i="16" s="1"/>
  <c r="Q22" i="16"/>
  <c r="Q24" i="16" s="1"/>
  <c r="Q26" i="16" s="1"/>
  <c r="E22" i="16"/>
  <c r="E24" i="16" s="1"/>
  <c r="E26" i="16" s="1"/>
  <c r="S24" i="16"/>
  <c r="S26" i="16" s="1"/>
  <c r="W26" i="16"/>
  <c r="AA26" i="16"/>
  <c r="O26" i="16"/>
  <c r="AD25" i="15"/>
  <c r="AA25" i="15"/>
  <c r="AA23" i="15"/>
  <c r="R23" i="15"/>
  <c r="S23" i="15" s="1"/>
  <c r="W25" i="15" l="1"/>
  <c r="S25" i="15"/>
  <c r="Q25" i="15"/>
  <c r="O25" i="15"/>
  <c r="M25" i="15"/>
  <c r="K25" i="15"/>
  <c r="I25" i="15"/>
  <c r="G25" i="15"/>
  <c r="F25" i="15"/>
  <c r="E25" i="15"/>
  <c r="AE24" i="15"/>
  <c r="AE26" i="15" s="1"/>
  <c r="AF22" i="15"/>
  <c r="AF24" i="15" s="1"/>
  <c r="AF26" i="15" s="1"/>
  <c r="AE22" i="15"/>
  <c r="AD22" i="15"/>
  <c r="AD24" i="15" s="1"/>
  <c r="AD26" i="15" s="1"/>
  <c r="AC22" i="15"/>
  <c r="AC24" i="15" s="1"/>
  <c r="AC26" i="15" s="1"/>
  <c r="AB22" i="15"/>
  <c r="AB24" i="15" s="1"/>
  <c r="AB26" i="15" s="1"/>
  <c r="AA22" i="15"/>
  <c r="AA24" i="15" s="1"/>
  <c r="AA26" i="15" s="1"/>
  <c r="Z22" i="15"/>
  <c r="Z24" i="15" s="1"/>
  <c r="Z26" i="15" s="1"/>
  <c r="Y22" i="15"/>
  <c r="Y24" i="15" s="1"/>
  <c r="Y26" i="15" s="1"/>
  <c r="X22" i="15"/>
  <c r="X24" i="15" s="1"/>
  <c r="X26" i="15" s="1"/>
  <c r="W22" i="15"/>
  <c r="W24" i="15" s="1"/>
  <c r="U22" i="15"/>
  <c r="U24" i="15" s="1"/>
  <c r="U26" i="15" s="1"/>
  <c r="R22" i="15"/>
  <c r="R24" i="15" s="1"/>
  <c r="R26" i="15" s="1"/>
  <c r="P22" i="15"/>
  <c r="P24" i="15" s="1"/>
  <c r="P26" i="15" s="1"/>
  <c r="N22" i="15"/>
  <c r="N24" i="15" s="1"/>
  <c r="N26" i="15" s="1"/>
  <c r="J22" i="15"/>
  <c r="J24" i="15" s="1"/>
  <c r="J26" i="15" s="1"/>
  <c r="H22" i="15"/>
  <c r="H24" i="15" s="1"/>
  <c r="H26" i="15" s="1"/>
  <c r="F22" i="15"/>
  <c r="F24" i="15" s="1"/>
  <c r="D22" i="15"/>
  <c r="D24" i="15" s="1"/>
  <c r="D26" i="15" s="1"/>
  <c r="S21" i="15"/>
  <c r="Q21" i="15"/>
  <c r="O21" i="15"/>
  <c r="M21" i="15"/>
  <c r="L21" i="15"/>
  <c r="K21" i="15"/>
  <c r="K22" i="15" s="1"/>
  <c r="K24" i="15" s="1"/>
  <c r="K26" i="15" s="1"/>
  <c r="I21" i="15"/>
  <c r="E21" i="15"/>
  <c r="V20" i="15"/>
  <c r="V22" i="15" s="1"/>
  <c r="V24" i="15" s="1"/>
  <c r="V26" i="15" s="1"/>
  <c r="T20" i="15"/>
  <c r="T22" i="15" s="1"/>
  <c r="T24" i="15" s="1"/>
  <c r="T26" i="15" s="1"/>
  <c r="S20" i="15"/>
  <c r="Q20" i="15"/>
  <c r="O20" i="15"/>
  <c r="M20" i="15"/>
  <c r="M22" i="15" s="1"/>
  <c r="M24" i="15" s="1"/>
  <c r="M26" i="15" s="1"/>
  <c r="L20" i="15"/>
  <c r="L22" i="15" s="1"/>
  <c r="L24" i="15" s="1"/>
  <c r="L26" i="15" s="1"/>
  <c r="K20" i="15"/>
  <c r="I20" i="15"/>
  <c r="G20" i="15"/>
  <c r="G22" i="15" s="1"/>
  <c r="G24" i="15" s="1"/>
  <c r="F20" i="15"/>
  <c r="E20" i="15"/>
  <c r="Q22" i="15" l="1"/>
  <c r="Q24" i="15" s="1"/>
  <c r="Q26" i="15" s="1"/>
  <c r="F26" i="15"/>
  <c r="O22" i="15"/>
  <c r="O24" i="15" s="1"/>
  <c r="O26" i="15" s="1"/>
  <c r="E22" i="15"/>
  <c r="E24" i="15" s="1"/>
  <c r="I22" i="15"/>
  <c r="I24" i="15" s="1"/>
  <c r="I26" i="15" s="1"/>
  <c r="G26" i="15"/>
  <c r="W26" i="15"/>
  <c r="E26" i="15"/>
  <c r="S22" i="15"/>
  <c r="S24" i="15" s="1"/>
  <c r="S26" i="15" s="1"/>
  <c r="AD25" i="14"/>
  <c r="AA25" i="14"/>
  <c r="W25" i="14"/>
  <c r="S25" i="14"/>
  <c r="Q25" i="14"/>
  <c r="O25" i="14"/>
  <c r="M25" i="14"/>
  <c r="K25" i="14"/>
  <c r="I25" i="14"/>
  <c r="G25" i="14"/>
  <c r="F25" i="14"/>
  <c r="E25" i="14"/>
  <c r="AE24" i="14"/>
  <c r="AE26" i="14" s="1"/>
  <c r="AA24" i="14"/>
  <c r="AF22" i="14"/>
  <c r="AF24" i="14" s="1"/>
  <c r="AF26" i="14" s="1"/>
  <c r="AE22" i="14"/>
  <c r="AD22" i="14"/>
  <c r="AD24" i="14" s="1"/>
  <c r="AC22" i="14"/>
  <c r="AC24" i="14" s="1"/>
  <c r="AC26" i="14" s="1"/>
  <c r="AB22" i="14"/>
  <c r="AB24" i="14" s="1"/>
  <c r="AB26" i="14" s="1"/>
  <c r="AA22" i="14"/>
  <c r="Z22" i="14"/>
  <c r="Z24" i="14" s="1"/>
  <c r="Z26" i="14" s="1"/>
  <c r="Y22" i="14"/>
  <c r="Y24" i="14" s="1"/>
  <c r="Y26" i="14" s="1"/>
  <c r="X22" i="14"/>
  <c r="X24" i="14" s="1"/>
  <c r="X26" i="14" s="1"/>
  <c r="W22" i="14"/>
  <c r="W24" i="14" s="1"/>
  <c r="U22" i="14"/>
  <c r="U24" i="14" s="1"/>
  <c r="U26" i="14" s="1"/>
  <c r="R22" i="14"/>
  <c r="R24" i="14" s="1"/>
  <c r="R26" i="14" s="1"/>
  <c r="P22" i="14"/>
  <c r="P24" i="14" s="1"/>
  <c r="P26" i="14" s="1"/>
  <c r="N22" i="14"/>
  <c r="N24" i="14" s="1"/>
  <c r="N26" i="14" s="1"/>
  <c r="J22" i="14"/>
  <c r="J24" i="14" s="1"/>
  <c r="J26" i="14" s="1"/>
  <c r="H22" i="14"/>
  <c r="H24" i="14" s="1"/>
  <c r="H26" i="14" s="1"/>
  <c r="D22" i="14"/>
  <c r="D24" i="14" s="1"/>
  <c r="D26" i="14" s="1"/>
  <c r="S21" i="14"/>
  <c r="Q21" i="14"/>
  <c r="O21" i="14"/>
  <c r="M21" i="14"/>
  <c r="L21" i="14"/>
  <c r="K21" i="14"/>
  <c r="I21" i="14"/>
  <c r="E21" i="14"/>
  <c r="V20" i="14"/>
  <c r="V22" i="14" s="1"/>
  <c r="V24" i="14" s="1"/>
  <c r="V26" i="14" s="1"/>
  <c r="T20" i="14"/>
  <c r="T22" i="14" s="1"/>
  <c r="T24" i="14" s="1"/>
  <c r="T26" i="14" s="1"/>
  <c r="S20" i="14"/>
  <c r="Q20" i="14"/>
  <c r="Q22" i="14" s="1"/>
  <c r="Q24" i="14" s="1"/>
  <c r="Q26" i="14" s="1"/>
  <c r="O20" i="14"/>
  <c r="M20" i="14"/>
  <c r="M22" i="14" s="1"/>
  <c r="M24" i="14" s="1"/>
  <c r="M26" i="14" s="1"/>
  <c r="L20" i="14"/>
  <c r="L22" i="14" s="1"/>
  <c r="L24" i="14" s="1"/>
  <c r="L26" i="14" s="1"/>
  <c r="K20" i="14"/>
  <c r="I20" i="14"/>
  <c r="G20" i="14"/>
  <c r="G22" i="14" s="1"/>
  <c r="G24" i="14" s="1"/>
  <c r="G26" i="14" s="1"/>
  <c r="F20" i="14"/>
  <c r="F22" i="14" s="1"/>
  <c r="F24" i="14" s="1"/>
  <c r="F26" i="14" s="1"/>
  <c r="E20" i="14"/>
  <c r="I22" i="14" l="1"/>
  <c r="I24" i="14" s="1"/>
  <c r="I26" i="14" s="1"/>
  <c r="W26" i="14"/>
  <c r="O22" i="14"/>
  <c r="O24" i="14" s="1"/>
  <c r="K22" i="14"/>
  <c r="K24" i="14" s="1"/>
  <c r="K26" i="14" s="1"/>
  <c r="E22" i="14"/>
  <c r="E24" i="14" s="1"/>
  <c r="S22" i="14"/>
  <c r="S24" i="14" s="1"/>
  <c r="S26" i="14" s="1"/>
  <c r="AD26" i="14"/>
  <c r="AA26" i="14"/>
  <c r="O26" i="14"/>
  <c r="E26" i="14"/>
  <c r="AA25" i="12"/>
  <c r="AA25" i="13"/>
  <c r="AD25" i="13" l="1"/>
  <c r="W25" i="13" l="1"/>
  <c r="S25" i="13"/>
  <c r="Q25" i="13"/>
  <c r="O25" i="13"/>
  <c r="M25" i="13"/>
  <c r="K25" i="13"/>
  <c r="I25" i="13"/>
  <c r="G25" i="13"/>
  <c r="F25" i="13"/>
  <c r="E25" i="13"/>
  <c r="AE22" i="13"/>
  <c r="AE24" i="13" s="1"/>
  <c r="AE26" i="13" s="1"/>
  <c r="AD22" i="13"/>
  <c r="AD24" i="13" s="1"/>
  <c r="AD26" i="13" s="1"/>
  <c r="AC22" i="13"/>
  <c r="AC24" i="13" s="1"/>
  <c r="AC26" i="13" s="1"/>
  <c r="AB22" i="13"/>
  <c r="AB24" i="13" s="1"/>
  <c r="AB26" i="13" s="1"/>
  <c r="AA22" i="13"/>
  <c r="AA24" i="13" s="1"/>
  <c r="AA26" i="13" s="1"/>
  <c r="Z22" i="13"/>
  <c r="Z24" i="13" s="1"/>
  <c r="Z26" i="13" s="1"/>
  <c r="Y22" i="13"/>
  <c r="Y24" i="13" s="1"/>
  <c r="Y26" i="13" s="1"/>
  <c r="X22" i="13"/>
  <c r="X24" i="13" s="1"/>
  <c r="X26" i="13" s="1"/>
  <c r="W22" i="13"/>
  <c r="W24" i="13" s="1"/>
  <c r="U22" i="13"/>
  <c r="U24" i="13" s="1"/>
  <c r="U26" i="13" s="1"/>
  <c r="R22" i="13"/>
  <c r="R24" i="13" s="1"/>
  <c r="R26" i="13" s="1"/>
  <c r="P22" i="13"/>
  <c r="P24" i="13" s="1"/>
  <c r="P26" i="13" s="1"/>
  <c r="N22" i="13"/>
  <c r="N24" i="13" s="1"/>
  <c r="N26" i="13" s="1"/>
  <c r="J22" i="13"/>
  <c r="J24" i="13" s="1"/>
  <c r="J26" i="13" s="1"/>
  <c r="H22" i="13"/>
  <c r="H24" i="13" s="1"/>
  <c r="H26" i="13" s="1"/>
  <c r="D22" i="13"/>
  <c r="D24" i="13" s="1"/>
  <c r="D26" i="13" s="1"/>
  <c r="S21" i="13"/>
  <c r="Q21" i="13"/>
  <c r="O21" i="13"/>
  <c r="M21" i="13"/>
  <c r="L21" i="13"/>
  <c r="K21" i="13"/>
  <c r="I21" i="13"/>
  <c r="I22" i="13" s="1"/>
  <c r="I24" i="13" s="1"/>
  <c r="E21" i="13"/>
  <c r="AF22" i="13"/>
  <c r="AF24" i="13" s="1"/>
  <c r="AF26" i="13" s="1"/>
  <c r="V20" i="13"/>
  <c r="V22" i="13" s="1"/>
  <c r="V24" i="13" s="1"/>
  <c r="V26" i="13" s="1"/>
  <c r="T20" i="13"/>
  <c r="T22" i="13" s="1"/>
  <c r="T24" i="13" s="1"/>
  <c r="T26" i="13" s="1"/>
  <c r="S20" i="13"/>
  <c r="Q20" i="13"/>
  <c r="O20" i="13"/>
  <c r="M20" i="13"/>
  <c r="M22" i="13" s="1"/>
  <c r="M24" i="13" s="1"/>
  <c r="L20" i="13"/>
  <c r="L22" i="13" s="1"/>
  <c r="L24" i="13" s="1"/>
  <c r="L26" i="13" s="1"/>
  <c r="K20" i="13"/>
  <c r="I20" i="13"/>
  <c r="G20" i="13"/>
  <c r="G22" i="13" s="1"/>
  <c r="G24" i="13" s="1"/>
  <c r="G26" i="13" s="1"/>
  <c r="F20" i="13"/>
  <c r="F22" i="13" s="1"/>
  <c r="F24" i="13" s="1"/>
  <c r="E20" i="13"/>
  <c r="E22" i="13" s="1"/>
  <c r="E24" i="13" s="1"/>
  <c r="Q22" i="13" l="1"/>
  <c r="Q24" i="13" s="1"/>
  <c r="Q26" i="13" s="1"/>
  <c r="K22" i="13"/>
  <c r="K24" i="13" s="1"/>
  <c r="K26" i="13" s="1"/>
  <c r="F26" i="13"/>
  <c r="M26" i="13"/>
  <c r="I26" i="13"/>
  <c r="O22" i="13"/>
  <c r="O24" i="13" s="1"/>
  <c r="O26" i="13" s="1"/>
  <c r="S22" i="13"/>
  <c r="S24" i="13" s="1"/>
  <c r="S26" i="13" s="1"/>
  <c r="W26" i="13"/>
  <c r="E26" i="13"/>
  <c r="AD25" i="12" l="1"/>
  <c r="W25" i="12"/>
  <c r="S25" i="12"/>
  <c r="Q25" i="12"/>
  <c r="O25" i="12"/>
  <c r="M25" i="12"/>
  <c r="K25" i="12"/>
  <c r="I25" i="12"/>
  <c r="G25" i="12"/>
  <c r="F25" i="12"/>
  <c r="E25" i="12"/>
  <c r="AE22" i="12"/>
  <c r="AE24" i="12" s="1"/>
  <c r="AE26" i="12" s="1"/>
  <c r="AD22" i="12"/>
  <c r="AD24" i="12" s="1"/>
  <c r="AB22" i="12"/>
  <c r="AB24" i="12" s="1"/>
  <c r="AB26" i="12" s="1"/>
  <c r="Z22" i="12"/>
  <c r="Z24" i="12" s="1"/>
  <c r="Z26" i="12" s="1"/>
  <c r="Y22" i="12"/>
  <c r="Y24" i="12" s="1"/>
  <c r="Y26" i="12" s="1"/>
  <c r="X22" i="12"/>
  <c r="X24" i="12" s="1"/>
  <c r="X26" i="12" s="1"/>
  <c r="W22" i="12"/>
  <c r="W24" i="12" s="1"/>
  <c r="W26" i="12" s="1"/>
  <c r="U22" i="12"/>
  <c r="U24" i="12" s="1"/>
  <c r="U26" i="12" s="1"/>
  <c r="R22" i="12"/>
  <c r="R24" i="12" s="1"/>
  <c r="R26" i="12" s="1"/>
  <c r="P22" i="12"/>
  <c r="P24" i="12" s="1"/>
  <c r="P26" i="12" s="1"/>
  <c r="O22" i="12"/>
  <c r="O24" i="12" s="1"/>
  <c r="N22" i="12"/>
  <c r="N24" i="12" s="1"/>
  <c r="N26" i="12" s="1"/>
  <c r="J22" i="12"/>
  <c r="J24" i="12" s="1"/>
  <c r="J26" i="12" s="1"/>
  <c r="H22" i="12"/>
  <c r="H24" i="12" s="1"/>
  <c r="H26" i="12" s="1"/>
  <c r="D22" i="12"/>
  <c r="D24" i="12" s="1"/>
  <c r="D26" i="12" s="1"/>
  <c r="AA22" i="12"/>
  <c r="AA24" i="12" s="1"/>
  <c r="S21" i="12"/>
  <c r="Q21" i="12"/>
  <c r="O21" i="12"/>
  <c r="M21" i="12"/>
  <c r="L21" i="12"/>
  <c r="K21" i="12"/>
  <c r="I21" i="12"/>
  <c r="E21" i="12"/>
  <c r="AF20" i="12"/>
  <c r="AF22" i="12" s="1"/>
  <c r="AF24" i="12" s="1"/>
  <c r="AF26" i="12" s="1"/>
  <c r="AC22" i="12"/>
  <c r="AC24" i="12" s="1"/>
  <c r="AC26" i="12" s="1"/>
  <c r="V20" i="12"/>
  <c r="V22" i="12" s="1"/>
  <c r="V24" i="12" s="1"/>
  <c r="V26" i="12" s="1"/>
  <c r="T20" i="12"/>
  <c r="T22" i="12" s="1"/>
  <c r="T24" i="12" s="1"/>
  <c r="T26" i="12" s="1"/>
  <c r="S20" i="12"/>
  <c r="Q20" i="12"/>
  <c r="Q22" i="12" s="1"/>
  <c r="Q24" i="12" s="1"/>
  <c r="Q26" i="12" s="1"/>
  <c r="O20" i="12"/>
  <c r="M20" i="12"/>
  <c r="M22" i="12" s="1"/>
  <c r="M24" i="12" s="1"/>
  <c r="L20" i="12"/>
  <c r="L22" i="12" s="1"/>
  <c r="L24" i="12" s="1"/>
  <c r="L26" i="12" s="1"/>
  <c r="K20" i="12"/>
  <c r="K22" i="12" s="1"/>
  <c r="K24" i="12" s="1"/>
  <c r="I20" i="12"/>
  <c r="G20" i="12"/>
  <c r="G22" i="12" s="1"/>
  <c r="G24" i="12" s="1"/>
  <c r="F20" i="12"/>
  <c r="F22" i="12" s="1"/>
  <c r="F24" i="12" s="1"/>
  <c r="E20" i="12"/>
  <c r="S22" i="12" l="1"/>
  <c r="S24" i="12" s="1"/>
  <c r="S26" i="12" s="1"/>
  <c r="I22" i="12"/>
  <c r="I24" i="12" s="1"/>
  <c r="I26" i="12" s="1"/>
  <c r="F26" i="12"/>
  <c r="K26" i="12"/>
  <c r="M26" i="12"/>
  <c r="G26" i="12"/>
  <c r="O26" i="12"/>
  <c r="E22" i="12"/>
  <c r="E24" i="12" s="1"/>
  <c r="E26" i="12" s="1"/>
  <c r="AD26" i="12"/>
  <c r="AA26" i="12"/>
  <c r="AA21" i="11"/>
  <c r="AD25" i="11" l="1"/>
  <c r="AA25" i="11"/>
  <c r="W25" i="11"/>
  <c r="S25" i="11"/>
  <c r="Q25" i="11"/>
  <c r="O25" i="11"/>
  <c r="M25" i="11"/>
  <c r="K25" i="11"/>
  <c r="I25" i="11"/>
  <c r="G25" i="11"/>
  <c r="F25" i="11"/>
  <c r="E25" i="11"/>
  <c r="AE22" i="11"/>
  <c r="AE24" i="11" s="1"/>
  <c r="AE26" i="11" s="1"/>
  <c r="AD22" i="11"/>
  <c r="AD24" i="11" s="1"/>
  <c r="AB22" i="11"/>
  <c r="AB24" i="11" s="1"/>
  <c r="AB26" i="11" s="1"/>
  <c r="AA22" i="11"/>
  <c r="AA24" i="11" s="1"/>
  <c r="Z22" i="11"/>
  <c r="Z24" i="11" s="1"/>
  <c r="Z26" i="11" s="1"/>
  <c r="Y22" i="11"/>
  <c r="Y24" i="11" s="1"/>
  <c r="Y26" i="11" s="1"/>
  <c r="X22" i="11"/>
  <c r="X24" i="11" s="1"/>
  <c r="X26" i="11" s="1"/>
  <c r="W22" i="11"/>
  <c r="W24" i="11" s="1"/>
  <c r="U22" i="11"/>
  <c r="U24" i="11" s="1"/>
  <c r="U26" i="11" s="1"/>
  <c r="R22" i="11"/>
  <c r="Q22" i="11"/>
  <c r="Q24" i="11" s="1"/>
  <c r="Q26" i="11" s="1"/>
  <c r="P22" i="11"/>
  <c r="P24" i="11" s="1"/>
  <c r="P26" i="11" s="1"/>
  <c r="N22" i="11"/>
  <c r="N24" i="11" s="1"/>
  <c r="N26" i="11" s="1"/>
  <c r="J22" i="11"/>
  <c r="J24" i="11" s="1"/>
  <c r="J26" i="11" s="1"/>
  <c r="H22" i="11"/>
  <c r="H24" i="11" s="1"/>
  <c r="H26" i="11" s="1"/>
  <c r="D22" i="11"/>
  <c r="D24" i="11" s="1"/>
  <c r="D26" i="11" s="1"/>
  <c r="S21" i="11"/>
  <c r="Q21" i="11"/>
  <c r="O21" i="11"/>
  <c r="M21" i="11"/>
  <c r="L21" i="11"/>
  <c r="K21" i="11"/>
  <c r="I21" i="11"/>
  <c r="E21" i="11"/>
  <c r="AF20" i="11"/>
  <c r="AF22" i="11" s="1"/>
  <c r="AF24" i="11" s="1"/>
  <c r="AF26" i="11" s="1"/>
  <c r="AC20" i="11"/>
  <c r="AC22" i="11" s="1"/>
  <c r="AC24" i="11" s="1"/>
  <c r="AC26" i="11" s="1"/>
  <c r="V20" i="11"/>
  <c r="V22" i="11" s="1"/>
  <c r="V24" i="11" s="1"/>
  <c r="V26" i="11" s="1"/>
  <c r="T20" i="11"/>
  <c r="T22" i="11" s="1"/>
  <c r="T24" i="11" s="1"/>
  <c r="T26" i="11" s="1"/>
  <c r="S20" i="11"/>
  <c r="S22" i="11" s="1"/>
  <c r="Q20" i="11"/>
  <c r="O20" i="11"/>
  <c r="M20" i="11"/>
  <c r="M22" i="11" s="1"/>
  <c r="M24" i="11" s="1"/>
  <c r="M26" i="11" s="1"/>
  <c r="L20" i="11"/>
  <c r="L22" i="11" s="1"/>
  <c r="L24" i="11" s="1"/>
  <c r="L26" i="11" s="1"/>
  <c r="K20" i="11"/>
  <c r="K22" i="11" s="1"/>
  <c r="K24" i="11" s="1"/>
  <c r="I20" i="11"/>
  <c r="I22" i="11" s="1"/>
  <c r="I24" i="11" s="1"/>
  <c r="I26" i="11" s="1"/>
  <c r="G20" i="11"/>
  <c r="G22" i="11" s="1"/>
  <c r="G24" i="11" s="1"/>
  <c r="F20" i="11"/>
  <c r="F22" i="11" s="1"/>
  <c r="F24" i="11" s="1"/>
  <c r="F26" i="11" s="1"/>
  <c r="E20" i="11"/>
  <c r="E22" i="11" l="1"/>
  <c r="E24" i="11" s="1"/>
  <c r="E26" i="11" s="1"/>
  <c r="K26" i="11"/>
  <c r="O22" i="11"/>
  <c r="O24" i="11" s="1"/>
  <c r="O26" i="11" s="1"/>
  <c r="G26" i="11"/>
  <c r="W26" i="11"/>
  <c r="AD26" i="11"/>
  <c r="AA26" i="11"/>
  <c r="R24" i="11"/>
  <c r="R26" i="11" s="1"/>
  <c r="S24" i="11"/>
  <c r="S26" i="11" s="1"/>
  <c r="AD25" i="10"/>
  <c r="AA25" i="10"/>
  <c r="AA23" i="10"/>
  <c r="R23" i="10"/>
  <c r="S23" i="10" s="1"/>
  <c r="W25" i="10"/>
  <c r="S25" i="10"/>
  <c r="Q25" i="10"/>
  <c r="O25" i="10"/>
  <c r="M25" i="10"/>
  <c r="K25" i="10"/>
  <c r="I25" i="10"/>
  <c r="G25" i="10"/>
  <c r="F25" i="10"/>
  <c r="E25" i="10"/>
  <c r="Y24" i="10"/>
  <c r="Y26" i="10" s="1"/>
  <c r="AE22" i="10"/>
  <c r="AE24" i="10" s="1"/>
  <c r="AE26" i="10" s="1"/>
  <c r="AD22" i="10"/>
  <c r="AD24" i="10" s="1"/>
  <c r="AB22" i="10"/>
  <c r="AB24" i="10" s="1"/>
  <c r="AB26" i="10" s="1"/>
  <c r="AA22" i="10"/>
  <c r="Z22" i="10"/>
  <c r="Z24" i="10" s="1"/>
  <c r="Z26" i="10" s="1"/>
  <c r="Y22" i="10"/>
  <c r="X22" i="10"/>
  <c r="X24" i="10" s="1"/>
  <c r="X26" i="10" s="1"/>
  <c r="W22" i="10"/>
  <c r="W24" i="10" s="1"/>
  <c r="U22" i="10"/>
  <c r="U24" i="10" s="1"/>
  <c r="U26" i="10" s="1"/>
  <c r="R22" i="10"/>
  <c r="P22" i="10"/>
  <c r="P24" i="10" s="1"/>
  <c r="P26" i="10" s="1"/>
  <c r="N22" i="10"/>
  <c r="N24" i="10" s="1"/>
  <c r="N26" i="10" s="1"/>
  <c r="J22" i="10"/>
  <c r="J24" i="10" s="1"/>
  <c r="J26" i="10" s="1"/>
  <c r="H22" i="10"/>
  <c r="H24" i="10" s="1"/>
  <c r="H26" i="10" s="1"/>
  <c r="D22" i="10"/>
  <c r="D24" i="10" s="1"/>
  <c r="D26" i="10" s="1"/>
  <c r="S21" i="10"/>
  <c r="Q21" i="10"/>
  <c r="O21" i="10"/>
  <c r="M21" i="10"/>
  <c r="L21" i="10"/>
  <c r="K21" i="10"/>
  <c r="I21" i="10"/>
  <c r="E21" i="10"/>
  <c r="AF20" i="10"/>
  <c r="AF22" i="10" s="1"/>
  <c r="AF24" i="10" s="1"/>
  <c r="AF26" i="10" s="1"/>
  <c r="AC20" i="10"/>
  <c r="AC22" i="10" s="1"/>
  <c r="AC24" i="10" s="1"/>
  <c r="AC26" i="10" s="1"/>
  <c r="V20" i="10"/>
  <c r="V22" i="10" s="1"/>
  <c r="V24" i="10" s="1"/>
  <c r="V26" i="10" s="1"/>
  <c r="T20" i="10"/>
  <c r="T22" i="10" s="1"/>
  <c r="T24" i="10" s="1"/>
  <c r="T26" i="10" s="1"/>
  <c r="S20" i="10"/>
  <c r="S22" i="10" s="1"/>
  <c r="Q20" i="10"/>
  <c r="Q22" i="10" s="1"/>
  <c r="Q24" i="10" s="1"/>
  <c r="Q26" i="10" s="1"/>
  <c r="O20" i="10"/>
  <c r="O22" i="10" s="1"/>
  <c r="O24" i="10" s="1"/>
  <c r="M20" i="10"/>
  <c r="M22" i="10" s="1"/>
  <c r="M24" i="10" s="1"/>
  <c r="M26" i="10" s="1"/>
  <c r="L20" i="10"/>
  <c r="L22" i="10" s="1"/>
  <c r="L24" i="10" s="1"/>
  <c r="L26" i="10" s="1"/>
  <c r="K20" i="10"/>
  <c r="K22" i="10" s="1"/>
  <c r="K24" i="10" s="1"/>
  <c r="I20" i="10"/>
  <c r="I22" i="10" s="1"/>
  <c r="I24" i="10" s="1"/>
  <c r="G20" i="10"/>
  <c r="G22" i="10" s="1"/>
  <c r="G24" i="10" s="1"/>
  <c r="F20" i="10"/>
  <c r="F22" i="10" s="1"/>
  <c r="F24" i="10" s="1"/>
  <c r="E20" i="10"/>
  <c r="AD26" i="10" l="1"/>
  <c r="F26" i="10"/>
  <c r="I26" i="10"/>
  <c r="G26" i="10"/>
  <c r="K26" i="10"/>
  <c r="E22" i="10"/>
  <c r="E24" i="10" s="1"/>
  <c r="E26" i="10" s="1"/>
  <c r="AA24" i="10"/>
  <c r="AA26" i="10" s="1"/>
  <c r="W26" i="10"/>
  <c r="O26" i="10"/>
  <c r="R24" i="10"/>
  <c r="R26" i="10" s="1"/>
  <c r="S24" i="10"/>
  <c r="S26" i="10" s="1"/>
  <c r="AD25" i="9" l="1"/>
  <c r="AA25" i="9"/>
  <c r="U23" i="9"/>
  <c r="R23" i="9"/>
  <c r="S23" i="9" s="1"/>
  <c r="W25" i="9"/>
  <c r="S25" i="9"/>
  <c r="Q25" i="9"/>
  <c r="O25" i="9"/>
  <c r="M25" i="9"/>
  <c r="K25" i="9"/>
  <c r="I25" i="9"/>
  <c r="G25" i="9"/>
  <c r="F25" i="9"/>
  <c r="E25" i="9"/>
  <c r="J24" i="9"/>
  <c r="J26" i="9" s="1"/>
  <c r="AE22" i="9"/>
  <c r="AE24" i="9" s="1"/>
  <c r="AE26" i="9" s="1"/>
  <c r="AD22" i="9"/>
  <c r="AD24" i="9" s="1"/>
  <c r="AC22" i="9"/>
  <c r="AC24" i="9" s="1"/>
  <c r="AC26" i="9" s="1"/>
  <c r="Z22" i="9"/>
  <c r="Z24" i="9" s="1"/>
  <c r="Z26" i="9" s="1"/>
  <c r="Y22" i="9"/>
  <c r="Y24" i="9" s="1"/>
  <c r="Y26" i="9" s="1"/>
  <c r="X22" i="9"/>
  <c r="X24" i="9" s="1"/>
  <c r="X26" i="9" s="1"/>
  <c r="W22" i="9"/>
  <c r="W24" i="9" s="1"/>
  <c r="P22" i="9"/>
  <c r="P24" i="9" s="1"/>
  <c r="P26" i="9" s="1"/>
  <c r="J22" i="9"/>
  <c r="H22" i="9"/>
  <c r="H24" i="9" s="1"/>
  <c r="H26" i="9" s="1"/>
  <c r="D22" i="9"/>
  <c r="D24" i="9" s="1"/>
  <c r="D26" i="9" s="1"/>
  <c r="AC21" i="9"/>
  <c r="S21" i="9"/>
  <c r="Q21" i="9"/>
  <c r="O21" i="9"/>
  <c r="M21" i="9"/>
  <c r="L21" i="9"/>
  <c r="K21" i="9"/>
  <c r="I21" i="9"/>
  <c r="E21" i="9"/>
  <c r="AF20" i="9"/>
  <c r="AF22" i="9" s="1"/>
  <c r="AF24" i="9" s="1"/>
  <c r="AF26" i="9" s="1"/>
  <c r="AC20" i="9"/>
  <c r="AB22" i="9"/>
  <c r="AB24" i="9" s="1"/>
  <c r="AB26" i="9" s="1"/>
  <c r="AA22" i="9"/>
  <c r="V20" i="9"/>
  <c r="V22" i="9" s="1"/>
  <c r="V24" i="9" s="1"/>
  <c r="V26" i="9" s="1"/>
  <c r="U22" i="9"/>
  <c r="T20" i="9"/>
  <c r="T22" i="9" s="1"/>
  <c r="T24" i="9" s="1"/>
  <c r="T26" i="9" s="1"/>
  <c r="S20" i="9"/>
  <c r="Q20" i="9"/>
  <c r="O20" i="9"/>
  <c r="M20" i="9"/>
  <c r="M22" i="9" s="1"/>
  <c r="M24" i="9" s="1"/>
  <c r="L20" i="9"/>
  <c r="L22" i="9" s="1"/>
  <c r="L24" i="9" s="1"/>
  <c r="L26" i="9" s="1"/>
  <c r="K20" i="9"/>
  <c r="I20" i="9"/>
  <c r="G20" i="9"/>
  <c r="G22" i="9" s="1"/>
  <c r="G24" i="9" s="1"/>
  <c r="F20" i="9"/>
  <c r="F22" i="9" s="1"/>
  <c r="F24" i="9" s="1"/>
  <c r="F26" i="9" s="1"/>
  <c r="E20" i="9"/>
  <c r="E22" i="9" l="1"/>
  <c r="E24" i="9" s="1"/>
  <c r="Q22" i="9"/>
  <c r="Q24" i="9" s="1"/>
  <c r="Q26" i="9" s="1"/>
  <c r="K22" i="9"/>
  <c r="K24" i="9" s="1"/>
  <c r="K26" i="9" s="1"/>
  <c r="G26" i="9"/>
  <c r="I22" i="9"/>
  <c r="I24" i="9" s="1"/>
  <c r="I26" i="9" s="1"/>
  <c r="M26" i="9"/>
  <c r="O22" i="9"/>
  <c r="O24" i="9" s="1"/>
  <c r="S22" i="9"/>
  <c r="S24" i="9" s="1"/>
  <c r="S26" i="9" s="1"/>
  <c r="AD26" i="9"/>
  <c r="W26" i="9"/>
  <c r="O26" i="9"/>
  <c r="U24" i="9"/>
  <c r="U26" i="9" s="1"/>
  <c r="AA24" i="9"/>
  <c r="AA26" i="9" s="1"/>
  <c r="E26" i="9"/>
  <c r="R22" i="9"/>
  <c r="R24" i="9" s="1"/>
  <c r="R26" i="9" s="1"/>
  <c r="N22" i="9"/>
  <c r="N24" i="9" s="1"/>
  <c r="N26" i="9" s="1"/>
  <c r="W21" i="8"/>
  <c r="W20" i="8"/>
  <c r="AF21" i="8"/>
  <c r="AF20" i="8"/>
  <c r="AD21" i="8"/>
  <c r="AD20" i="8"/>
  <c r="AC21" i="8"/>
  <c r="AC20" i="8"/>
  <c r="AB21" i="8"/>
  <c r="AB20" i="8"/>
  <c r="AA21" i="8"/>
  <c r="AA20" i="8"/>
  <c r="X21" i="8"/>
  <c r="X20" i="8"/>
  <c r="U21" i="8"/>
  <c r="U20" i="8"/>
  <c r="R21" i="8"/>
  <c r="R20" i="8"/>
  <c r="N21" i="8"/>
  <c r="AD25" i="8" l="1"/>
  <c r="AB25" i="8"/>
  <c r="AA25" i="8"/>
  <c r="W25" i="8"/>
  <c r="S25" i="8"/>
  <c r="Q25" i="8"/>
  <c r="O25" i="8"/>
  <c r="M25" i="8"/>
  <c r="K25" i="8"/>
  <c r="I25" i="8"/>
  <c r="G25" i="8"/>
  <c r="F25" i="8"/>
  <c r="E25" i="8"/>
  <c r="AF22" i="8"/>
  <c r="AE22" i="8"/>
  <c r="AD22" i="8"/>
  <c r="AC22" i="8"/>
  <c r="AB22" i="8"/>
  <c r="AA22" i="8"/>
  <c r="Z22" i="8"/>
  <c r="Z24" i="8" s="1"/>
  <c r="Z26" i="8" s="1"/>
  <c r="Y22" i="8"/>
  <c r="Y24" i="8" s="1"/>
  <c r="Y26" i="8" s="1"/>
  <c r="X22" i="8"/>
  <c r="W22" i="8"/>
  <c r="U22" i="8"/>
  <c r="R22" i="8"/>
  <c r="P22" i="8"/>
  <c r="P24" i="8" s="1"/>
  <c r="P26" i="8" s="1"/>
  <c r="N22" i="8"/>
  <c r="J22" i="8"/>
  <c r="J24" i="8" s="1"/>
  <c r="J26" i="8" s="1"/>
  <c r="H22" i="8"/>
  <c r="H24" i="8" s="1"/>
  <c r="H26" i="8" s="1"/>
  <c r="F22" i="8"/>
  <c r="F24" i="8" s="1"/>
  <c r="D22" i="8"/>
  <c r="D24" i="8" s="1"/>
  <c r="D26" i="8" s="1"/>
  <c r="S21" i="8"/>
  <c r="Q21" i="8"/>
  <c r="O21" i="8"/>
  <c r="M21" i="8"/>
  <c r="L21" i="8"/>
  <c r="K21" i="8"/>
  <c r="I21" i="8"/>
  <c r="E21" i="8"/>
  <c r="V20" i="8"/>
  <c r="V22" i="8" s="1"/>
  <c r="V24" i="8" s="1"/>
  <c r="V26" i="8" s="1"/>
  <c r="T20" i="8"/>
  <c r="T22" i="8" s="1"/>
  <c r="T24" i="8" s="1"/>
  <c r="T26" i="8" s="1"/>
  <c r="S20" i="8"/>
  <c r="Q20" i="8"/>
  <c r="O20" i="8"/>
  <c r="M20" i="8"/>
  <c r="M22" i="8" s="1"/>
  <c r="M24" i="8" s="1"/>
  <c r="M26" i="8" s="1"/>
  <c r="L20" i="8"/>
  <c r="L22" i="8" s="1"/>
  <c r="L24" i="8" s="1"/>
  <c r="L26" i="8" s="1"/>
  <c r="K20" i="8"/>
  <c r="I20" i="8"/>
  <c r="G20" i="8"/>
  <c r="G22" i="8" s="1"/>
  <c r="G24" i="8" s="1"/>
  <c r="F20" i="8"/>
  <c r="E20" i="8"/>
  <c r="O22" i="8" l="1"/>
  <c r="F26" i="8"/>
  <c r="E22" i="8"/>
  <c r="E24" i="8" s="1"/>
  <c r="E26" i="8" s="1"/>
  <c r="I22" i="8"/>
  <c r="I24" i="8" s="1"/>
  <c r="I26" i="8" s="1"/>
  <c r="Q22" i="8"/>
  <c r="Q24" i="8" s="1"/>
  <c r="Q26" i="8" s="1"/>
  <c r="G26" i="8"/>
  <c r="K22" i="8"/>
  <c r="K24" i="8" s="1"/>
  <c r="K26" i="8" s="1"/>
  <c r="W24" i="8"/>
  <c r="W26" i="8" s="1"/>
  <c r="AF24" i="8"/>
  <c r="AF26" i="8" s="1"/>
  <c r="AE24" i="8"/>
  <c r="AE26" i="8" s="1"/>
  <c r="AD24" i="8"/>
  <c r="AD26" i="8" s="1"/>
  <c r="AC24" i="8"/>
  <c r="AC26" i="8" s="1"/>
  <c r="AB24" i="8"/>
  <c r="AB26" i="8" s="1"/>
  <c r="AA24" i="8"/>
  <c r="AA26" i="8" s="1"/>
  <c r="X24" i="8"/>
  <c r="X26" i="8" s="1"/>
  <c r="R24" i="8"/>
  <c r="R26" i="8" s="1"/>
  <c r="O24" i="8"/>
  <c r="N24" i="8"/>
  <c r="N26" i="8" s="1"/>
  <c r="S22" i="8"/>
  <c r="U24" i="8"/>
  <c r="U26" i="8" s="1"/>
  <c r="O26" i="8"/>
  <c r="U23" i="7"/>
  <c r="R23" i="7"/>
  <c r="S23" i="7" s="1"/>
  <c r="AD25" i="7"/>
  <c r="AA25" i="7"/>
  <c r="S24" i="8" l="1"/>
  <c r="S26" i="8" s="1"/>
  <c r="W25" i="7"/>
  <c r="S25" i="7"/>
  <c r="Q25" i="7"/>
  <c r="O25" i="7"/>
  <c r="M25" i="7"/>
  <c r="K25" i="7"/>
  <c r="I25" i="7"/>
  <c r="G25" i="7"/>
  <c r="F25" i="7"/>
  <c r="E25" i="7"/>
  <c r="AF22" i="7"/>
  <c r="AF24" i="7" s="1"/>
  <c r="AF26" i="7" s="1"/>
  <c r="AE22" i="7"/>
  <c r="AE24" i="7" s="1"/>
  <c r="AE26" i="7" s="1"/>
  <c r="AD22" i="7"/>
  <c r="AD24" i="7" s="1"/>
  <c r="AD26" i="7" s="1"/>
  <c r="AC22" i="7"/>
  <c r="AC24" i="7" s="1"/>
  <c r="AC26" i="7" s="1"/>
  <c r="AB22" i="7"/>
  <c r="AB24" i="7" s="1"/>
  <c r="AB26" i="7" s="1"/>
  <c r="AA22" i="7"/>
  <c r="AA24" i="7" s="1"/>
  <c r="AA26" i="7" s="1"/>
  <c r="Z22" i="7"/>
  <c r="Z24" i="7" s="1"/>
  <c r="Z26" i="7" s="1"/>
  <c r="Y22" i="7"/>
  <c r="Y24" i="7" s="1"/>
  <c r="Y26" i="7" s="1"/>
  <c r="X22" i="7"/>
  <c r="X24" i="7" s="1"/>
  <c r="X26" i="7" s="1"/>
  <c r="W22" i="7"/>
  <c r="W24" i="7" s="1"/>
  <c r="U22" i="7"/>
  <c r="U24" i="7" s="1"/>
  <c r="U26" i="7" s="1"/>
  <c r="R22" i="7"/>
  <c r="R24" i="7" s="1"/>
  <c r="R26" i="7" s="1"/>
  <c r="P22" i="7"/>
  <c r="P24" i="7" s="1"/>
  <c r="P26" i="7" s="1"/>
  <c r="N22" i="7"/>
  <c r="N24" i="7" s="1"/>
  <c r="N26" i="7" s="1"/>
  <c r="J22" i="7"/>
  <c r="J24" i="7" s="1"/>
  <c r="J26" i="7" s="1"/>
  <c r="H22" i="7"/>
  <c r="H24" i="7" s="1"/>
  <c r="H26" i="7" s="1"/>
  <c r="G22" i="7"/>
  <c r="G24" i="7" s="1"/>
  <c r="D22" i="7"/>
  <c r="D24" i="7" s="1"/>
  <c r="D26" i="7" s="1"/>
  <c r="S21" i="7"/>
  <c r="Q21" i="7"/>
  <c r="Q22" i="7" s="1"/>
  <c r="Q24" i="7" s="1"/>
  <c r="Q26" i="7" s="1"/>
  <c r="O21" i="7"/>
  <c r="M21" i="7"/>
  <c r="L21" i="7"/>
  <c r="K21" i="7"/>
  <c r="I21" i="7"/>
  <c r="E21" i="7"/>
  <c r="V20" i="7"/>
  <c r="V22" i="7" s="1"/>
  <c r="V24" i="7" s="1"/>
  <c r="V26" i="7" s="1"/>
  <c r="T20" i="7"/>
  <c r="T22" i="7" s="1"/>
  <c r="T24" i="7" s="1"/>
  <c r="T26" i="7" s="1"/>
  <c r="S20" i="7"/>
  <c r="Q20" i="7"/>
  <c r="O20" i="7"/>
  <c r="M20" i="7"/>
  <c r="M22" i="7" s="1"/>
  <c r="M24" i="7" s="1"/>
  <c r="M26" i="7" s="1"/>
  <c r="L20" i="7"/>
  <c r="L22" i="7" s="1"/>
  <c r="L24" i="7" s="1"/>
  <c r="L26" i="7" s="1"/>
  <c r="K20" i="7"/>
  <c r="K22" i="7" s="1"/>
  <c r="K24" i="7" s="1"/>
  <c r="K26" i="7" s="1"/>
  <c r="I20" i="7"/>
  <c r="I22" i="7" s="1"/>
  <c r="I24" i="7" s="1"/>
  <c r="I26" i="7" s="1"/>
  <c r="G20" i="7"/>
  <c r="F20" i="7"/>
  <c r="F22" i="7" s="1"/>
  <c r="F24" i="7" s="1"/>
  <c r="E20" i="7"/>
  <c r="O22" i="7" l="1"/>
  <c r="O24" i="7" s="1"/>
  <c r="G26" i="7"/>
  <c r="S22" i="7"/>
  <c r="F26" i="7"/>
  <c r="E22" i="7"/>
  <c r="E24" i="7" s="1"/>
  <c r="E26" i="7" s="1"/>
  <c r="W26" i="7"/>
  <c r="O26" i="7"/>
  <c r="S24" i="7"/>
  <c r="S26" i="7" s="1"/>
  <c r="AA23" i="6"/>
  <c r="R23" i="6"/>
  <c r="S23" i="6" s="1"/>
  <c r="AD25" i="6" l="1"/>
  <c r="AA25" i="6"/>
  <c r="W25" i="6"/>
  <c r="S25" i="6"/>
  <c r="Q25" i="6"/>
  <c r="O25" i="6"/>
  <c r="M25" i="6"/>
  <c r="K25" i="6"/>
  <c r="I25" i="6"/>
  <c r="G25" i="6"/>
  <c r="F25" i="6"/>
  <c r="E25" i="6"/>
  <c r="AF22" i="6"/>
  <c r="AF24" i="6" s="1"/>
  <c r="AF26" i="6" s="1"/>
  <c r="AE22" i="6"/>
  <c r="AE24" i="6" s="1"/>
  <c r="AE26" i="6" s="1"/>
  <c r="AD22" i="6"/>
  <c r="AD24" i="6" s="1"/>
  <c r="AC22" i="6"/>
  <c r="AC24" i="6" s="1"/>
  <c r="AC26" i="6" s="1"/>
  <c r="AB22" i="6"/>
  <c r="AB24" i="6" s="1"/>
  <c r="AB26" i="6" s="1"/>
  <c r="AA22" i="6"/>
  <c r="AA24" i="6" s="1"/>
  <c r="AA26" i="6" s="1"/>
  <c r="Z22" i="6"/>
  <c r="Z24" i="6" s="1"/>
  <c r="Z26" i="6" s="1"/>
  <c r="Y22" i="6"/>
  <c r="Y24" i="6" s="1"/>
  <c r="Y26" i="6" s="1"/>
  <c r="X22" i="6"/>
  <c r="X24" i="6" s="1"/>
  <c r="X26" i="6" s="1"/>
  <c r="W22" i="6"/>
  <c r="W24" i="6" s="1"/>
  <c r="U22" i="6"/>
  <c r="U24" i="6" s="1"/>
  <c r="U26" i="6" s="1"/>
  <c r="R22" i="6"/>
  <c r="R24" i="6" s="1"/>
  <c r="R26" i="6" s="1"/>
  <c r="P22" i="6"/>
  <c r="P24" i="6" s="1"/>
  <c r="P26" i="6" s="1"/>
  <c r="N22" i="6"/>
  <c r="N24" i="6" s="1"/>
  <c r="N26" i="6" s="1"/>
  <c r="J22" i="6"/>
  <c r="J24" i="6" s="1"/>
  <c r="J26" i="6" s="1"/>
  <c r="H22" i="6"/>
  <c r="H24" i="6" s="1"/>
  <c r="H26" i="6" s="1"/>
  <c r="F22" i="6"/>
  <c r="F24" i="6" s="1"/>
  <c r="D22" i="6"/>
  <c r="D24" i="6" s="1"/>
  <c r="D26" i="6" s="1"/>
  <c r="S21" i="6"/>
  <c r="Q21" i="6"/>
  <c r="O21" i="6"/>
  <c r="M21" i="6"/>
  <c r="L21" i="6"/>
  <c r="K21" i="6"/>
  <c r="I21" i="6"/>
  <c r="E21" i="6"/>
  <c r="V20" i="6"/>
  <c r="V22" i="6" s="1"/>
  <c r="V24" i="6" s="1"/>
  <c r="V26" i="6" s="1"/>
  <c r="T20" i="6"/>
  <c r="T22" i="6" s="1"/>
  <c r="T24" i="6" s="1"/>
  <c r="T26" i="6" s="1"/>
  <c r="S20" i="6"/>
  <c r="Q20" i="6"/>
  <c r="O20" i="6"/>
  <c r="M20" i="6"/>
  <c r="M22" i="6" s="1"/>
  <c r="M24" i="6" s="1"/>
  <c r="L20" i="6"/>
  <c r="L22" i="6" s="1"/>
  <c r="L24" i="6" s="1"/>
  <c r="L26" i="6" s="1"/>
  <c r="K20" i="6"/>
  <c r="I20" i="6"/>
  <c r="G20" i="6"/>
  <c r="G22" i="6" s="1"/>
  <c r="G24" i="6" s="1"/>
  <c r="F20" i="6"/>
  <c r="E20" i="6"/>
  <c r="F26" i="6" l="1"/>
  <c r="K22" i="6"/>
  <c r="K24" i="6" s="1"/>
  <c r="K26" i="6" s="1"/>
  <c r="I22" i="6"/>
  <c r="I24" i="6" s="1"/>
  <c r="I26" i="6" s="1"/>
  <c r="M26" i="6"/>
  <c r="W26" i="6"/>
  <c r="G26" i="6"/>
  <c r="Q22" i="6"/>
  <c r="Q24" i="6" s="1"/>
  <c r="Q26" i="6" s="1"/>
  <c r="E22" i="6"/>
  <c r="E24" i="6" s="1"/>
  <c r="E26" i="6" s="1"/>
  <c r="O22" i="6"/>
  <c r="O24" i="6" s="1"/>
  <c r="O26" i="6" s="1"/>
  <c r="AD26" i="6"/>
  <c r="S22" i="6"/>
  <c r="S24" i="6" s="1"/>
  <c r="S26" i="6" s="1"/>
  <c r="AD25" i="5"/>
  <c r="AA25" i="5"/>
  <c r="W25" i="5" l="1"/>
  <c r="S25" i="5"/>
  <c r="Q25" i="5"/>
  <c r="O25" i="5"/>
  <c r="M25" i="5"/>
  <c r="K25" i="5"/>
  <c r="I25" i="5"/>
  <c r="G25" i="5"/>
  <c r="F25" i="5"/>
  <c r="E25" i="5"/>
  <c r="H24" i="5"/>
  <c r="H26" i="5" s="1"/>
  <c r="F24" i="5"/>
  <c r="AF22" i="5"/>
  <c r="AF24" i="5" s="1"/>
  <c r="AF26" i="5" s="1"/>
  <c r="AE22" i="5"/>
  <c r="AE24" i="5" s="1"/>
  <c r="AE26" i="5" s="1"/>
  <c r="AD22" i="5"/>
  <c r="AD24" i="5" s="1"/>
  <c r="AD26" i="5" s="1"/>
  <c r="AC22" i="5"/>
  <c r="AC24" i="5" s="1"/>
  <c r="AC26" i="5" s="1"/>
  <c r="AB22" i="5"/>
  <c r="AB24" i="5" s="1"/>
  <c r="AB26" i="5" s="1"/>
  <c r="AA22" i="5"/>
  <c r="AA24" i="5" s="1"/>
  <c r="AA26" i="5" s="1"/>
  <c r="Z22" i="5"/>
  <c r="Z24" i="5" s="1"/>
  <c r="Z26" i="5" s="1"/>
  <c r="Y22" i="5"/>
  <c r="Y24" i="5" s="1"/>
  <c r="Y26" i="5" s="1"/>
  <c r="X22" i="5"/>
  <c r="X24" i="5" s="1"/>
  <c r="X26" i="5" s="1"/>
  <c r="W22" i="5"/>
  <c r="W24" i="5" s="1"/>
  <c r="W26" i="5" s="1"/>
  <c r="U22" i="5"/>
  <c r="U24" i="5" s="1"/>
  <c r="U26" i="5" s="1"/>
  <c r="R22" i="5"/>
  <c r="R24" i="5" s="1"/>
  <c r="R26" i="5" s="1"/>
  <c r="P22" i="5"/>
  <c r="P24" i="5" s="1"/>
  <c r="P26" i="5" s="1"/>
  <c r="N22" i="5"/>
  <c r="N24" i="5" s="1"/>
  <c r="N26" i="5" s="1"/>
  <c r="J22" i="5"/>
  <c r="J24" i="5" s="1"/>
  <c r="J26" i="5" s="1"/>
  <c r="H22" i="5"/>
  <c r="F22" i="5"/>
  <c r="D22" i="5"/>
  <c r="D24" i="5" s="1"/>
  <c r="D26" i="5" s="1"/>
  <c r="S21" i="5"/>
  <c r="Q21" i="5"/>
  <c r="Q22" i="5" s="1"/>
  <c r="Q24" i="5" s="1"/>
  <c r="Q26" i="5" s="1"/>
  <c r="O21" i="5"/>
  <c r="M21" i="5"/>
  <c r="L21" i="5"/>
  <c r="K21" i="5"/>
  <c r="I21" i="5"/>
  <c r="E21" i="5"/>
  <c r="V20" i="5"/>
  <c r="V22" i="5" s="1"/>
  <c r="V24" i="5" s="1"/>
  <c r="V26" i="5" s="1"/>
  <c r="T20" i="5"/>
  <c r="T22" i="5" s="1"/>
  <c r="T24" i="5" s="1"/>
  <c r="T26" i="5" s="1"/>
  <c r="S20" i="5"/>
  <c r="Q20" i="5"/>
  <c r="O20" i="5"/>
  <c r="M20" i="5"/>
  <c r="M22" i="5" s="1"/>
  <c r="M24" i="5" s="1"/>
  <c r="M26" i="5" s="1"/>
  <c r="L20" i="5"/>
  <c r="L22" i="5" s="1"/>
  <c r="L24" i="5" s="1"/>
  <c r="L26" i="5" s="1"/>
  <c r="K20" i="5"/>
  <c r="K22" i="5" s="1"/>
  <c r="K24" i="5" s="1"/>
  <c r="K26" i="5" s="1"/>
  <c r="I20" i="5"/>
  <c r="G20" i="5"/>
  <c r="G22" i="5" s="1"/>
  <c r="G24" i="5" s="1"/>
  <c r="F20" i="5"/>
  <c r="E20" i="5"/>
  <c r="G26" i="5" l="1"/>
  <c r="I22" i="5"/>
  <c r="I24" i="5" s="1"/>
  <c r="I26" i="5" s="1"/>
  <c r="F26" i="5"/>
  <c r="E22" i="5"/>
  <c r="E24" i="5" s="1"/>
  <c r="E26" i="5" s="1"/>
  <c r="O22" i="5"/>
  <c r="O24" i="5" s="1"/>
  <c r="O26" i="5" s="1"/>
  <c r="S22" i="5"/>
  <c r="S24" i="5" s="1"/>
  <c r="S26" i="5" s="1"/>
  <c r="AA25" i="4"/>
  <c r="AD25" i="4" l="1"/>
  <c r="W25" i="4"/>
  <c r="S25" i="4"/>
  <c r="Q25" i="4"/>
  <c r="O25" i="4"/>
  <c r="M25" i="4"/>
  <c r="K25" i="4"/>
  <c r="I25" i="4"/>
  <c r="G25" i="4"/>
  <c r="F25" i="4"/>
  <c r="E25" i="4"/>
  <c r="X24" i="4"/>
  <c r="X26" i="4" s="1"/>
  <c r="AF22" i="4"/>
  <c r="AF24" i="4" s="1"/>
  <c r="AF26" i="4" s="1"/>
  <c r="AE22" i="4"/>
  <c r="AE24" i="4" s="1"/>
  <c r="AE26" i="4" s="1"/>
  <c r="AD22" i="4"/>
  <c r="AD24" i="4" s="1"/>
  <c r="AC22" i="4"/>
  <c r="AC24" i="4" s="1"/>
  <c r="AC26" i="4" s="1"/>
  <c r="AB22" i="4"/>
  <c r="AB24" i="4" s="1"/>
  <c r="AB26" i="4" s="1"/>
  <c r="AA22" i="4"/>
  <c r="AA24" i="4" s="1"/>
  <c r="AA26" i="4" s="1"/>
  <c r="Z22" i="4"/>
  <c r="Z24" i="4" s="1"/>
  <c r="Z26" i="4" s="1"/>
  <c r="Y22" i="4"/>
  <c r="Y24" i="4" s="1"/>
  <c r="Y26" i="4" s="1"/>
  <c r="X22" i="4"/>
  <c r="W22" i="4"/>
  <c r="W24" i="4" s="1"/>
  <c r="W26" i="4" s="1"/>
  <c r="U22" i="4"/>
  <c r="U24" i="4" s="1"/>
  <c r="U26" i="4" s="1"/>
  <c r="T22" i="4"/>
  <c r="T24" i="4" s="1"/>
  <c r="T26" i="4" s="1"/>
  <c r="R22" i="4"/>
  <c r="R24" i="4" s="1"/>
  <c r="R26" i="4" s="1"/>
  <c r="P22" i="4"/>
  <c r="P24" i="4" s="1"/>
  <c r="P26" i="4" s="1"/>
  <c r="N22" i="4"/>
  <c r="N24" i="4" s="1"/>
  <c r="N26" i="4" s="1"/>
  <c r="J22" i="4"/>
  <c r="J24" i="4" s="1"/>
  <c r="J26" i="4" s="1"/>
  <c r="H22" i="4"/>
  <c r="H24" i="4" s="1"/>
  <c r="H26" i="4" s="1"/>
  <c r="G22" i="4"/>
  <c r="G24" i="4" s="1"/>
  <c r="D22" i="4"/>
  <c r="D24" i="4" s="1"/>
  <c r="D26" i="4" s="1"/>
  <c r="S21" i="4"/>
  <c r="Q21" i="4"/>
  <c r="O21" i="4"/>
  <c r="M21" i="4"/>
  <c r="L21" i="4"/>
  <c r="K21" i="4"/>
  <c r="I21" i="4"/>
  <c r="E21" i="4"/>
  <c r="V20" i="4"/>
  <c r="V22" i="4" s="1"/>
  <c r="V24" i="4" s="1"/>
  <c r="V26" i="4" s="1"/>
  <c r="T20" i="4"/>
  <c r="S20" i="4"/>
  <c r="Q20" i="4"/>
  <c r="O20" i="4"/>
  <c r="M20" i="4"/>
  <c r="M22" i="4" s="1"/>
  <c r="M24" i="4" s="1"/>
  <c r="M26" i="4" s="1"/>
  <c r="L20" i="4"/>
  <c r="L22" i="4" s="1"/>
  <c r="L24" i="4" s="1"/>
  <c r="L26" i="4" s="1"/>
  <c r="K20" i="4"/>
  <c r="I20" i="4"/>
  <c r="G20" i="4"/>
  <c r="F20" i="4"/>
  <c r="F22" i="4" s="1"/>
  <c r="F24" i="4" s="1"/>
  <c r="E20" i="4"/>
  <c r="I22" i="4" l="1"/>
  <c r="I24" i="4" s="1"/>
  <c r="G26" i="4"/>
  <c r="S22" i="4"/>
  <c r="S24" i="4" s="1"/>
  <c r="S26" i="4" s="1"/>
  <c r="I26" i="4"/>
  <c r="F26" i="4"/>
  <c r="K22" i="4"/>
  <c r="K24" i="4" s="1"/>
  <c r="K26" i="4" s="1"/>
  <c r="Q22" i="4"/>
  <c r="Q24" i="4" s="1"/>
  <c r="Q26" i="4" s="1"/>
  <c r="O22" i="4"/>
  <c r="O24" i="4" s="1"/>
  <c r="O26" i="4" s="1"/>
  <c r="E22" i="4"/>
  <c r="E24" i="4" s="1"/>
  <c r="E26" i="4" s="1"/>
  <c r="AD26" i="4"/>
  <c r="U23" i="3"/>
  <c r="AD25" i="3"/>
  <c r="R23" i="3"/>
  <c r="S23" i="3" s="1"/>
  <c r="E25" i="3" l="1"/>
  <c r="AA25" i="3"/>
  <c r="W25" i="3"/>
  <c r="S25" i="3"/>
  <c r="Q25" i="3"/>
  <c r="O25" i="3"/>
  <c r="M25" i="3"/>
  <c r="K25" i="3"/>
  <c r="I25" i="3"/>
  <c r="G25" i="3"/>
  <c r="F25" i="3"/>
  <c r="AE24" i="3"/>
  <c r="AE26" i="3" s="1"/>
  <c r="AF22" i="3"/>
  <c r="AF24" i="3" s="1"/>
  <c r="AF26" i="3" s="1"/>
  <c r="AE22" i="3"/>
  <c r="AD22" i="3"/>
  <c r="AD24" i="3" s="1"/>
  <c r="AD26" i="3" s="1"/>
  <c r="AC22" i="3"/>
  <c r="AC24" i="3" s="1"/>
  <c r="AC26" i="3" s="1"/>
  <c r="AB22" i="3"/>
  <c r="AB24" i="3" s="1"/>
  <c r="AB26" i="3" s="1"/>
  <c r="AA22" i="3"/>
  <c r="AA24" i="3" s="1"/>
  <c r="Z22" i="3"/>
  <c r="Z24" i="3" s="1"/>
  <c r="Z26" i="3" s="1"/>
  <c r="Y22" i="3"/>
  <c r="Y24" i="3" s="1"/>
  <c r="Y26" i="3" s="1"/>
  <c r="X22" i="3"/>
  <c r="X24" i="3" s="1"/>
  <c r="X26" i="3" s="1"/>
  <c r="W22" i="3"/>
  <c r="W24" i="3" s="1"/>
  <c r="V22" i="3"/>
  <c r="V24" i="3" s="1"/>
  <c r="V26" i="3" s="1"/>
  <c r="U22" i="3"/>
  <c r="U24" i="3" s="1"/>
  <c r="U26" i="3" s="1"/>
  <c r="R22" i="3"/>
  <c r="R24" i="3" s="1"/>
  <c r="R26" i="3" s="1"/>
  <c r="P22" i="3"/>
  <c r="P24" i="3" s="1"/>
  <c r="P26" i="3" s="1"/>
  <c r="N22" i="3"/>
  <c r="N24" i="3" s="1"/>
  <c r="N26" i="3" s="1"/>
  <c r="J22" i="3"/>
  <c r="J24" i="3" s="1"/>
  <c r="J26" i="3" s="1"/>
  <c r="H22" i="3"/>
  <c r="H24" i="3" s="1"/>
  <c r="H26" i="3" s="1"/>
  <c r="D22" i="3"/>
  <c r="D24" i="3" s="1"/>
  <c r="D26" i="3" s="1"/>
  <c r="S21" i="3"/>
  <c r="Q21" i="3"/>
  <c r="O21" i="3"/>
  <c r="M21" i="3"/>
  <c r="L21" i="3"/>
  <c r="K21" i="3"/>
  <c r="I21" i="3"/>
  <c r="E21" i="3"/>
  <c r="V20" i="3"/>
  <c r="T20" i="3"/>
  <c r="T22" i="3" s="1"/>
  <c r="T24" i="3" s="1"/>
  <c r="T26" i="3" s="1"/>
  <c r="S20" i="3"/>
  <c r="Q20" i="3"/>
  <c r="O20" i="3"/>
  <c r="M20" i="3"/>
  <c r="M22" i="3" s="1"/>
  <c r="M24" i="3" s="1"/>
  <c r="L20" i="3"/>
  <c r="L22" i="3" s="1"/>
  <c r="L24" i="3" s="1"/>
  <c r="L26" i="3" s="1"/>
  <c r="K20" i="3"/>
  <c r="I20" i="3"/>
  <c r="I22" i="3" s="1"/>
  <c r="I24" i="3" s="1"/>
  <c r="G20" i="3"/>
  <c r="G22" i="3" s="1"/>
  <c r="G24" i="3" s="1"/>
  <c r="F20" i="3"/>
  <c r="F22" i="3" s="1"/>
  <c r="F24" i="3" s="1"/>
  <c r="E20" i="3"/>
  <c r="S21" i="1"/>
  <c r="Q21" i="1"/>
  <c r="O21" i="1"/>
  <c r="M21" i="1"/>
  <c r="L21" i="1"/>
  <c r="K21" i="1"/>
  <c r="I21" i="1"/>
  <c r="E21" i="1"/>
  <c r="AB20" i="1"/>
  <c r="V20" i="1"/>
  <c r="T20" i="1"/>
  <c r="S20" i="1"/>
  <c r="Q20" i="1"/>
  <c r="O20" i="1"/>
  <c r="M20" i="1"/>
  <c r="L20" i="1"/>
  <c r="K20" i="1"/>
  <c r="I20" i="1"/>
  <c r="G20" i="1"/>
  <c r="F20" i="1"/>
  <c r="E20" i="1"/>
  <c r="Q22" i="3" l="1"/>
  <c r="Q24" i="3" s="1"/>
  <c r="Q26" i="3" s="1"/>
  <c r="M26" i="3"/>
  <c r="K22" i="3"/>
  <c r="K24" i="3" s="1"/>
  <c r="I26" i="3"/>
  <c r="K26" i="3"/>
  <c r="F26" i="3"/>
  <c r="G26" i="3"/>
  <c r="O22" i="3"/>
  <c r="O24" i="3" s="1"/>
  <c r="O26" i="3" s="1"/>
  <c r="E22" i="3"/>
  <c r="E24" i="3" s="1"/>
  <c r="E26" i="3" s="1"/>
  <c r="S22" i="3"/>
  <c r="S24" i="3" s="1"/>
  <c r="S26" i="3" s="1"/>
  <c r="AA26" i="3"/>
  <c r="W26" i="3"/>
  <c r="AA25" i="1"/>
  <c r="AD25" i="1" l="1"/>
  <c r="W25" i="2"/>
  <c r="S25" i="2"/>
  <c r="Q25" i="2"/>
  <c r="O25" i="2"/>
  <c r="M25" i="2"/>
  <c r="K25" i="2"/>
  <c r="I25" i="2"/>
  <c r="G25" i="2"/>
  <c r="F25" i="2"/>
  <c r="E25" i="2"/>
  <c r="H24" i="2"/>
  <c r="H26" i="2" s="1"/>
  <c r="AF22" i="2"/>
  <c r="AF24" i="2" s="1"/>
  <c r="AF26" i="2" s="1"/>
  <c r="AE22" i="2"/>
  <c r="AE24" i="2" s="1"/>
  <c r="AE26" i="2" s="1"/>
  <c r="AD22" i="2"/>
  <c r="AD24" i="2" s="1"/>
  <c r="AD26" i="2" s="1"/>
  <c r="AC22" i="2"/>
  <c r="AC24" i="2" s="1"/>
  <c r="AC26" i="2" s="1"/>
  <c r="AA22" i="2"/>
  <c r="AA24" i="2" s="1"/>
  <c r="AA26" i="2" s="1"/>
  <c r="Z22" i="2"/>
  <c r="Z24" i="2" s="1"/>
  <c r="Z26" i="2" s="1"/>
  <c r="Y22" i="2"/>
  <c r="Y24" i="2" s="1"/>
  <c r="Y26" i="2" s="1"/>
  <c r="X22" i="2"/>
  <c r="X24" i="2" s="1"/>
  <c r="X26" i="2" s="1"/>
  <c r="W22" i="2"/>
  <c r="W24" i="2" s="1"/>
  <c r="U22" i="2"/>
  <c r="U24" i="2" s="1"/>
  <c r="U26" i="2" s="1"/>
  <c r="R22" i="2"/>
  <c r="R24" i="2" s="1"/>
  <c r="R26" i="2" s="1"/>
  <c r="P22" i="2"/>
  <c r="P24" i="2" s="1"/>
  <c r="P26" i="2" s="1"/>
  <c r="N22" i="2"/>
  <c r="N24" i="2" s="1"/>
  <c r="N26" i="2" s="1"/>
  <c r="J22" i="2"/>
  <c r="J24" i="2" s="1"/>
  <c r="J26" i="2" s="1"/>
  <c r="H22" i="2"/>
  <c r="F22" i="2"/>
  <c r="F24" i="2" s="1"/>
  <c r="D22" i="2"/>
  <c r="D24" i="2" s="1"/>
  <c r="D26" i="2" s="1"/>
  <c r="S21" i="2"/>
  <c r="S22" i="2" s="1"/>
  <c r="S24" i="2" s="1"/>
  <c r="S26" i="2" s="1"/>
  <c r="Q21" i="2"/>
  <c r="O21" i="2"/>
  <c r="M21" i="2"/>
  <c r="L21" i="2"/>
  <c r="K21" i="2"/>
  <c r="I21" i="2"/>
  <c r="E21" i="2"/>
  <c r="AB20" i="2"/>
  <c r="AB22" i="2" s="1"/>
  <c r="AB24" i="2" s="1"/>
  <c r="AB26" i="2" s="1"/>
  <c r="V20" i="2"/>
  <c r="V22" i="2" s="1"/>
  <c r="V24" i="2" s="1"/>
  <c r="V26" i="2" s="1"/>
  <c r="T20" i="2"/>
  <c r="T22" i="2" s="1"/>
  <c r="T24" i="2" s="1"/>
  <c r="T26" i="2" s="1"/>
  <c r="S20" i="2"/>
  <c r="Q20" i="2"/>
  <c r="O20" i="2"/>
  <c r="M20" i="2"/>
  <c r="M22" i="2" s="1"/>
  <c r="M24" i="2" s="1"/>
  <c r="M26" i="2" s="1"/>
  <c r="L20" i="2"/>
  <c r="L22" i="2" s="1"/>
  <c r="L24" i="2" s="1"/>
  <c r="L26" i="2" s="1"/>
  <c r="K20" i="2"/>
  <c r="I20" i="2"/>
  <c r="G20" i="2"/>
  <c r="G22" i="2" s="1"/>
  <c r="G24" i="2" s="1"/>
  <c r="G26" i="2" s="1"/>
  <c r="F20" i="2"/>
  <c r="E20" i="2"/>
  <c r="E22" i="2" s="1"/>
  <c r="E24" i="2" s="1"/>
  <c r="W25" i="1"/>
  <c r="S25" i="1"/>
  <c r="Q25" i="1"/>
  <c r="O25" i="1"/>
  <c r="M25" i="1"/>
  <c r="K25" i="1"/>
  <c r="I25" i="1"/>
  <c r="G25" i="1"/>
  <c r="F25" i="1"/>
  <c r="E25" i="1"/>
  <c r="AF22" i="1"/>
  <c r="AF24" i="1" s="1"/>
  <c r="AF26" i="1" s="1"/>
  <c r="AE22" i="1"/>
  <c r="AE24" i="1" s="1"/>
  <c r="AE26" i="1" s="1"/>
  <c r="AD22" i="1"/>
  <c r="AD24" i="1" s="1"/>
  <c r="AC22" i="1"/>
  <c r="AC24" i="1" s="1"/>
  <c r="AC26" i="1" s="1"/>
  <c r="AA22" i="1"/>
  <c r="AA24" i="1" s="1"/>
  <c r="Z22" i="1"/>
  <c r="Z24" i="1" s="1"/>
  <c r="Z26" i="1" s="1"/>
  <c r="Y22" i="1"/>
  <c r="Y24" i="1" s="1"/>
  <c r="Y26" i="1" s="1"/>
  <c r="X22" i="1"/>
  <c r="X24" i="1" s="1"/>
  <c r="X26" i="1" s="1"/>
  <c r="W22" i="1"/>
  <c r="W24" i="1" s="1"/>
  <c r="U22" i="1"/>
  <c r="U24" i="1" s="1"/>
  <c r="U26" i="1" s="1"/>
  <c r="S22" i="1"/>
  <c r="S24" i="1" s="1"/>
  <c r="R22" i="1"/>
  <c r="R24" i="1" s="1"/>
  <c r="R26" i="1" s="1"/>
  <c r="P22" i="1"/>
  <c r="P24" i="1" s="1"/>
  <c r="P26" i="1" s="1"/>
  <c r="N22" i="1"/>
  <c r="N24" i="1" s="1"/>
  <c r="N26" i="1" s="1"/>
  <c r="J22" i="1"/>
  <c r="J24" i="1" s="1"/>
  <c r="J26" i="1" s="1"/>
  <c r="H22" i="1"/>
  <c r="H24" i="1" s="1"/>
  <c r="H26" i="1" s="1"/>
  <c r="G22" i="1"/>
  <c r="G24" i="1" s="1"/>
  <c r="F22" i="1"/>
  <c r="F24" i="1" s="1"/>
  <c r="D22" i="1"/>
  <c r="D24" i="1" s="1"/>
  <c r="D26" i="1" s="1"/>
  <c r="O22" i="1"/>
  <c r="O24" i="1" s="1"/>
  <c r="AB22" i="1"/>
  <c r="AB24" i="1" s="1"/>
  <c r="AB26" i="1" s="1"/>
  <c r="V22" i="1"/>
  <c r="V24" i="1" s="1"/>
  <c r="V26" i="1" s="1"/>
  <c r="T22" i="1"/>
  <c r="T24" i="1" s="1"/>
  <c r="T26" i="1" s="1"/>
  <c r="Q22" i="1"/>
  <c r="Q24" i="1" s="1"/>
  <c r="M22" i="1"/>
  <c r="M24" i="1" s="1"/>
  <c r="L22" i="1"/>
  <c r="L24" i="1" s="1"/>
  <c r="L26" i="1" s="1"/>
  <c r="K22" i="1"/>
  <c r="K24" i="1" s="1"/>
  <c r="I22" i="1"/>
  <c r="I24" i="1" s="1"/>
  <c r="E22" i="1"/>
  <c r="E24" i="1" s="1"/>
  <c r="G26" i="1" l="1"/>
  <c r="F26" i="2"/>
  <c r="F26" i="1"/>
  <c r="Q22" i="2"/>
  <c r="Q24" i="2" s="1"/>
  <c r="Q26" i="2" s="1"/>
  <c r="E26" i="1"/>
  <c r="I26" i="1"/>
  <c r="K26" i="1"/>
  <c r="Q26" i="1"/>
  <c r="M26" i="1"/>
  <c r="I22" i="2"/>
  <c r="I24" i="2" s="1"/>
  <c r="I26" i="2" s="1"/>
  <c r="W26" i="1"/>
  <c r="K22" i="2"/>
  <c r="K24" i="2" s="1"/>
  <c r="K26" i="2" s="1"/>
  <c r="W26" i="2"/>
  <c r="O22" i="2"/>
  <c r="O24" i="2" s="1"/>
  <c r="O26" i="2" s="1"/>
  <c r="AD26" i="1"/>
  <c r="AA26" i="1"/>
  <c r="O26" i="1"/>
  <c r="E26" i="2"/>
  <c r="S26" i="1"/>
</calcChain>
</file>

<file path=xl/comments1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5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6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7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8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9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4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5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6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7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8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9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0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1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2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3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4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5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6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7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8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9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0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1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gekuhaan nkog 4k ge add nko sa UG kai short na.</t>
        </r>
      </text>
    </comment>
  </commentList>
</comments>
</file>

<file path=xl/comments122.xml><?xml version="1.0" encoding="utf-8"?>
<comments xmlns="http://schemas.openxmlformats.org/spreadsheetml/2006/main">
  <authors>
    <author>Venos L. Mandabon</author>
    <author>Airene B. Tabotabo</author>
  </authors>
  <commentLis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gekuhaan nkog 4k ge add nko sa UG kai short na.</t>
        </r>
      </text>
    </comment>
  </commentList>
</comments>
</file>

<file path=xl/comments123.xml><?xml version="1.0" encoding="utf-8"?>
<comments xmlns="http://schemas.openxmlformats.org/spreadsheetml/2006/main">
  <authors>
    <author>Venos L. Mandabon</author>
    <author>Airene B. Tabotabo</author>
  </authors>
  <commentList>
    <comment ref="T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1K KAI SHORT NA ANG UG</t>
        </r>
      </text>
    </commen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600 add nko sa UG stock kai negative nata.. 
12-30-24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gekuhaan nkog 4k ge add nko sa UG kai short na.</t>
        </r>
      </text>
    </comment>
  </commentList>
</comments>
</file>

<file path=xl/comments124.xml><?xml version="1.0" encoding="utf-8"?>
<comments xmlns="http://schemas.openxmlformats.org/spreadsheetml/2006/main">
  <authors>
    <author>Venos L. Mandabon</author>
    <author>Airene B. Tabotabo</author>
  </authors>
  <commentList>
    <comment ref="T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16k  KAI SHORT NA ANG UG</t>
        </r>
      </text>
    </comment>
    <comment ref="W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nkog 2k kai short na ang UG</t>
        </r>
      </text>
    </commen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669 add nko sa UG stock kai negative nata.. 
</t>
        </r>
      </text>
    </comment>
    <comment ref="Z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700 KAI SHORT NATA SA UG STOCK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gekuhaan nkog 4k ge add nko sa UG kai short na.</t>
        </r>
      </text>
    </comment>
  </commentList>
</comments>
</file>

<file path=xl/comments125.xml><?xml version="1.0" encoding="utf-8"?>
<comments xmlns="http://schemas.openxmlformats.org/spreadsheetml/2006/main">
  <authors>
    <author>Venos L. Mandabon</author>
    <author>Airene B. Tabotabo</author>
  </authors>
  <commentList>
    <comment ref="T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7k  KAI SHORT NA ANG UG</t>
        </r>
      </text>
    </comment>
    <comment ref="W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nkog 1k kai short na ang UG</t>
        </r>
      </text>
    </commen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1k add nko sa UG stock kai negative nata.. 
</t>
        </r>
      </text>
    </comment>
    <comment ref="Z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700 KAI SHORT NATA SA UG STOCK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16"/>
            <color indexed="81"/>
            <rFont val="Tahoma"/>
            <family val="2"/>
          </rPr>
          <t>Venos L. Mandabon:</t>
        </r>
        <r>
          <rPr>
            <sz val="16"/>
            <color indexed="81"/>
            <rFont val="Tahoma"/>
            <family val="2"/>
          </rPr>
          <t xml:space="preserve">
gekuhaan nkog 2k ge add nko sa UG kai short na.</t>
        </r>
      </text>
    </comment>
  </commentList>
</comments>
</file>

<file path=xl/comments126.xml><?xml version="1.0" encoding="utf-8"?>
<comments xmlns="http://schemas.openxmlformats.org/spreadsheetml/2006/main">
  <authors>
    <author>Venos L. Mandabon</author>
    <author>Airene B. Tabotabo</author>
  </authors>
  <commentList>
    <comment ref="T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11k  KAI SHORT NA ANG UG</t>
        </r>
      </text>
    </comment>
    <comment ref="W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nkog 2k kai short na ang UG</t>
        </r>
      </text>
    </commen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3k add nko sa UG stock kai negative nata.. 
</t>
        </r>
      </text>
    </comment>
    <comment ref="Z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 200 KAI SHORT NATA SA UG STOCK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16"/>
            <color indexed="81"/>
            <rFont val="Tahoma"/>
            <family val="2"/>
          </rPr>
          <t>Venos L. Mandabon:</t>
        </r>
        <r>
          <rPr>
            <sz val="16"/>
            <color indexed="81"/>
            <rFont val="Tahoma"/>
            <family val="2"/>
          </rPr>
          <t xml:space="preserve">
gekuhaan nkog 2k ge add nko sa UG kai short na.</t>
        </r>
      </text>
    </comment>
  </commentList>
</comments>
</file>

<file path=xl/comments127.xml><?xml version="1.0" encoding="utf-8"?>
<comments xmlns="http://schemas.openxmlformats.org/spreadsheetml/2006/main">
  <authors>
    <author>Venos L. Mandabon</author>
    <author>Airene B. Tabotabo</author>
  </authors>
  <commentList>
    <comment ref="T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9k  KAI SHORT NA ANG UG</t>
        </r>
      </text>
    </comment>
    <comment ref="W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nkog 2k kai short na ang UG</t>
        </r>
      </text>
    </commen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3k add nko sa UG stock kai negative nata.. 
</t>
        </r>
      </text>
    </comment>
    <comment ref="Z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 200 KAI SHORT NATA SA UG STOCK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16"/>
            <color indexed="81"/>
            <rFont val="Tahoma"/>
            <family val="2"/>
          </rPr>
          <t>Venos L. Mandabon:</t>
        </r>
        <r>
          <rPr>
            <sz val="16"/>
            <color indexed="81"/>
            <rFont val="Tahoma"/>
            <family val="2"/>
          </rPr>
          <t xml:space="preserve">
gekuhaan nkog 2k ge add nko sa UG kai short na.</t>
        </r>
      </text>
    </comment>
  </commentList>
</comments>
</file>

<file path=xl/comments128.xml><?xml version="1.0" encoding="utf-8"?>
<comments xmlns="http://schemas.openxmlformats.org/spreadsheetml/2006/main">
  <authors>
    <author>Venos L. Mandabon</author>
    <author>Airene B. Tabotabo</author>
  </authors>
  <commentList>
    <comment ref="T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9k  KAI SHORT NA ANG UG</t>
        </r>
      </text>
    </comment>
    <comment ref="W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nkog 2k kai short na ang UG</t>
        </r>
      </text>
    </commen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3k add nko sa UG stock kai negative nata.. 
</t>
        </r>
      </text>
    </comment>
    <comment ref="Z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 200 KAI SHORT NATA SA UG STOCK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16"/>
            <color indexed="81"/>
            <rFont val="Tahoma"/>
            <family val="2"/>
          </rPr>
          <t>Venos L. Mandabon:</t>
        </r>
        <r>
          <rPr>
            <sz val="16"/>
            <color indexed="81"/>
            <rFont val="Tahoma"/>
            <family val="2"/>
          </rPr>
          <t xml:space="preserve">
gekuhaan nkog 2k ge add nko sa UG kai short na.</t>
        </r>
      </text>
    </comment>
  </commentList>
</comments>
</file>

<file path=xl/comments129.xml><?xml version="1.0" encoding="utf-8"?>
<comments xmlns="http://schemas.openxmlformats.org/spreadsheetml/2006/main">
  <authors>
    <author>Venos L. Mandabon</author>
    <author>Airene B. Tabotabo</author>
  </authors>
  <commentList>
    <comment ref="T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9k  KAI SHORT NA ANG UG</t>
        </r>
      </text>
    </comment>
    <comment ref="W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nkog 2k kai short na ang UG</t>
        </r>
      </text>
    </commen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3k add nko sa UG stock kai negative nata.. 
</t>
        </r>
      </text>
    </comment>
    <comment ref="Z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 200 KAI SHORT NATA SA UG STOCK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16"/>
            <color indexed="81"/>
            <rFont val="Tahoma"/>
            <family val="2"/>
          </rPr>
          <t>Venos L. Mandabon:</t>
        </r>
        <r>
          <rPr>
            <sz val="16"/>
            <color indexed="81"/>
            <rFont val="Tahoma"/>
            <family val="2"/>
          </rPr>
          <t xml:space="preserve">
gekuhaan nkog 2k ge add nko sa UG kai short na.</t>
        </r>
      </text>
    </comment>
  </commentList>
</comments>
</file>

<file path=xl/comments130.xml><?xml version="1.0" encoding="utf-8"?>
<comments xmlns="http://schemas.openxmlformats.org/spreadsheetml/2006/main">
  <authors>
    <author>Venos L. Mandabon</author>
    <author>Airene B. Tabotabo</author>
  </authors>
  <commentList>
    <comment ref="T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KUHAA NKOG 9k  KAI SHORT NA ANG UG</t>
        </r>
      </text>
    </comment>
    <comment ref="W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nkog 2k kai short na ang UG</t>
        </r>
      </text>
    </comment>
    <comment ref="Y20" authorId="0" shapeId="0">
      <text>
        <r>
          <rPr>
            <b/>
            <sz val="20"/>
            <color indexed="81"/>
            <rFont val="Tahoma"/>
            <family val="2"/>
          </rPr>
          <t>Venos L. Mandabon:</t>
        </r>
        <r>
          <rPr>
            <sz val="20"/>
            <color indexed="81"/>
            <rFont val="Tahoma"/>
            <family val="2"/>
          </rPr>
          <t xml:space="preserve">
nagdeduct kog 3k add nko sa UG stock kai negative nata.. 
</t>
        </r>
      </text>
    </comment>
    <comment ref="Z20" authorId="0" shapeId="0">
      <text>
        <r>
          <rPr>
            <b/>
            <sz val="9"/>
            <color indexed="81"/>
            <rFont val="Tahoma"/>
            <family val="2"/>
          </rPr>
          <t>Venos L. Mandabon: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KUHAAN NKO 200 KAI SHORT NATA SA UG STOCK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  <comment ref="AD20" authorId="0" shapeId="0">
      <text>
        <r>
          <rPr>
            <b/>
            <sz val="16"/>
            <color indexed="81"/>
            <rFont val="Tahoma"/>
            <family val="2"/>
          </rPr>
          <t>Venos L. Mandabon:</t>
        </r>
        <r>
          <rPr>
            <sz val="16"/>
            <color indexed="81"/>
            <rFont val="Tahoma"/>
            <family val="2"/>
          </rPr>
          <t xml:space="preserve">
gekuhaan nkog 2k ge add nko sa UG kai short na.</t>
        </r>
      </text>
    </comment>
  </commentList>
</comments>
</file>

<file path=xl/sharedStrings.xml><?xml version="1.0" encoding="utf-8"?>
<sst xmlns="http://schemas.openxmlformats.org/spreadsheetml/2006/main" count="20100" uniqueCount="277">
  <si>
    <t>EXPLOSIVES WEEKLY CONSUMPTION</t>
  </si>
  <si>
    <t>SUPPLIER</t>
  </si>
  <si>
    <t>MT. ROCK</t>
  </si>
  <si>
    <t>EXPEDITION</t>
  </si>
  <si>
    <t>MT ROCK</t>
  </si>
  <si>
    <t>MT. ROCK/EXPEDITION</t>
  </si>
  <si>
    <t>MT. ROCK EXPEDITION</t>
  </si>
  <si>
    <t>DATE</t>
  </si>
  <si>
    <t>DESCRIPTION</t>
  </si>
  <si>
    <t>EMULSION</t>
  </si>
  <si>
    <t>Dyna</t>
  </si>
  <si>
    <t>Pentex</t>
  </si>
  <si>
    <t>Anfo</t>
  </si>
  <si>
    <t>S/Fuse</t>
  </si>
  <si>
    <t>OBC</t>
  </si>
  <si>
    <t xml:space="preserve">FUSE </t>
  </si>
  <si>
    <t>NONEL</t>
  </si>
  <si>
    <t>EXEL</t>
  </si>
  <si>
    <t>SUPREME</t>
  </si>
  <si>
    <t>SHOCKSTAR</t>
  </si>
  <si>
    <t>Cordtex</t>
  </si>
  <si>
    <t>Billwire</t>
  </si>
  <si>
    <t>EBC</t>
  </si>
  <si>
    <t>Spider</t>
  </si>
  <si>
    <t>(savings)</t>
  </si>
  <si>
    <t>LIGHTER</t>
  </si>
  <si>
    <t>2.4/3.6</t>
  </si>
  <si>
    <t>2.4/3.6/4.9</t>
  </si>
  <si>
    <t>2.4</t>
  </si>
  <si>
    <t>5/10/6/40</t>
  </si>
  <si>
    <t>Super Power</t>
  </si>
  <si>
    <t>Superdyne</t>
  </si>
  <si>
    <t>EMULEX</t>
  </si>
  <si>
    <t>Senatel/Pulsar</t>
  </si>
  <si>
    <t>Pcs</t>
  </si>
  <si>
    <t>Kls</t>
  </si>
  <si>
    <t>Mtrs</t>
  </si>
  <si>
    <t xml:space="preserve">Beginning Balance </t>
  </si>
  <si>
    <t>Surface</t>
  </si>
  <si>
    <t>Underground</t>
  </si>
  <si>
    <t>-</t>
  </si>
  <si>
    <t>TOTAL</t>
  </si>
  <si>
    <t xml:space="preserve">Entry From Consignee Magazine </t>
  </si>
  <si>
    <t>Total Stock On Hand</t>
  </si>
  <si>
    <t>Less: Total Weekly Consumption</t>
  </si>
  <si>
    <t>Remaining Stock Balance</t>
  </si>
  <si>
    <t>Prepared by:</t>
  </si>
  <si>
    <t>Checked by:</t>
  </si>
  <si>
    <t>Certified correct by:</t>
  </si>
  <si>
    <t>Noted by:</t>
  </si>
  <si>
    <t>MR. JONATHAN T. JADUCAN</t>
  </si>
  <si>
    <t>MR. NHOLL GREAL O. LOZADA</t>
  </si>
  <si>
    <t>ENGR. EDWIN B. BATAL</t>
  </si>
  <si>
    <t>ENGR. EARL M. SON</t>
  </si>
  <si>
    <t>Foreman Blaster</t>
  </si>
  <si>
    <t>Inventory/Warehouseman Supervisor</t>
  </si>
  <si>
    <t>Mine Explosive Asst. Manager</t>
  </si>
  <si>
    <t>RAFFY D. TORRES</t>
  </si>
  <si>
    <t xml:space="preserve">Mines Manager </t>
  </si>
  <si>
    <t>Mount Rock Powder Corp.</t>
  </si>
  <si>
    <t>Mine Explosive</t>
  </si>
  <si>
    <t>Mine Explosives Manager</t>
  </si>
  <si>
    <t>Blaster Foreman Expedition</t>
  </si>
  <si>
    <t>Expedition MBDInc</t>
  </si>
  <si>
    <t>JANUARY 1-7,2023</t>
  </si>
  <si>
    <t>JANUARY 8-14,2023</t>
  </si>
  <si>
    <t>ENGR. RAFFY D. TORRES</t>
  </si>
  <si>
    <t>Mine Explosive Manager</t>
  </si>
  <si>
    <t>MR. DENNIS C. GELLA</t>
  </si>
  <si>
    <t>JANUARY 15-21,2023</t>
  </si>
  <si>
    <t>JANUARY 22-28,2023</t>
  </si>
  <si>
    <t>JANUARY 29 - FEBRUARY 4,2023</t>
  </si>
  <si>
    <t>FEBRUARY 5-11,2023</t>
  </si>
  <si>
    <t>MR. MARJUN T. ANTIPUESTO</t>
  </si>
  <si>
    <t>FEBRUARY 12-18,2023</t>
  </si>
  <si>
    <t>FEBRUARY 19-25,2023</t>
  </si>
  <si>
    <t>FEBRUARY 26 - MARCH 4,2023</t>
  </si>
  <si>
    <t>MARCH 5-11,2023</t>
  </si>
  <si>
    <t>MARCH 12-18,2023</t>
  </si>
  <si>
    <t>MARCH 19-25,2023</t>
  </si>
  <si>
    <t>MARCH 26 - APRIL 1,2023</t>
  </si>
  <si>
    <t>APRIL 2-8,2023</t>
  </si>
  <si>
    <t>APRIL 9-15,2023</t>
  </si>
  <si>
    <t>APRIL 16-22,2023</t>
  </si>
  <si>
    <t>APRIL 23-29,2023</t>
  </si>
  <si>
    <t>APRIL 30 - MAY 6,2023</t>
  </si>
  <si>
    <t>MAY 7-13,2023</t>
  </si>
  <si>
    <t>MAY 14-20,2023</t>
  </si>
  <si>
    <t>Austin</t>
  </si>
  <si>
    <t>MAY 21-27,2023</t>
  </si>
  <si>
    <t>0</t>
  </si>
  <si>
    <t>MAY 28 - JUNE 3,2023</t>
  </si>
  <si>
    <t>JUNE 4-10,2023</t>
  </si>
  <si>
    <t>JUNE 11-17,2023</t>
  </si>
  <si>
    <t>JUNE 18-24,2023</t>
  </si>
  <si>
    <t>JUNE 25-JULY1,2023</t>
  </si>
  <si>
    <t>JULY2-8,2023</t>
  </si>
  <si>
    <t>JULY 9-15,2023</t>
  </si>
  <si>
    <t>JULY 16-22,2023</t>
  </si>
  <si>
    <t>JULY 23-29,2023</t>
  </si>
  <si>
    <t>JULY 31-AUGUST 5,2023</t>
  </si>
  <si>
    <t>AUGUST 6-12,2023</t>
  </si>
  <si>
    <t>AUGUST 13-19,2023</t>
  </si>
  <si>
    <t>AUGUST 20-26,2023</t>
  </si>
  <si>
    <t>AUGUST 27 - SEPTEMBER 2,2023</t>
  </si>
  <si>
    <t>SEPTEMBER 3-9,2023</t>
  </si>
  <si>
    <t>SEPTEMBER 10-16,2023</t>
  </si>
  <si>
    <t>SEPTEMBER 17-23,2023</t>
  </si>
  <si>
    <t>SEPTEMBER 24-30,2023</t>
  </si>
  <si>
    <t>OCTOBER 1-7,2023</t>
  </si>
  <si>
    <t>OCTOBER 8-14,2023</t>
  </si>
  <si>
    <t>OCTOBER 15-21,2023</t>
  </si>
  <si>
    <t>OCTOBER 22-31,2023</t>
  </si>
  <si>
    <t>NOVEMBER 1-5,2023</t>
  </si>
  <si>
    <t>NOVEMBER 6-12,2023</t>
  </si>
  <si>
    <t>NOVEMBER 13-19,2023</t>
  </si>
  <si>
    <t>NOVEMBER 20-26,2023</t>
  </si>
  <si>
    <t>NOVEMBER 27-DECEMBER 3,2023</t>
  </si>
  <si>
    <t>DECEMBER 4-10,2023</t>
  </si>
  <si>
    <t>DECEMBER 11-17,2023</t>
  </si>
  <si>
    <t>DECEMBER 18-24,2023</t>
  </si>
  <si>
    <t>DECEMBER 25-31,2023</t>
  </si>
  <si>
    <t>JANUARY 1-7,2024</t>
  </si>
  <si>
    <t>JANUARY 8-14,2024</t>
  </si>
  <si>
    <t>JANUARY 15-21,2024</t>
  </si>
  <si>
    <t>JANUARY 22-28,2024</t>
  </si>
  <si>
    <t>JANUARY 29 - FEBRUARY 4,2024</t>
  </si>
  <si>
    <t>FEBRUARY 5-11,2024</t>
  </si>
  <si>
    <t>FEBRUARY 12-18,2024</t>
  </si>
  <si>
    <t>FEBRUARY 19-25,2024</t>
  </si>
  <si>
    <t>FEBRUARY 26 - MARCH 3,2024</t>
  </si>
  <si>
    <t>MARCH 4-10,2024</t>
  </si>
  <si>
    <t>MARCH 11-17,2024</t>
  </si>
  <si>
    <t>MARCH 18-24,2024</t>
  </si>
  <si>
    <t>ENGR. JOHN PAUHL T. NAVARRO</t>
  </si>
  <si>
    <t xml:space="preserve">Tigerway Project Manager/Asst. Mines Manager </t>
  </si>
  <si>
    <t>MARCH 25-31,2024</t>
  </si>
  <si>
    <t>APRIL 1-7,2024</t>
  </si>
  <si>
    <t>Mine Asst. Explosive Manager</t>
  </si>
  <si>
    <t>APRIL 8-14,2024</t>
  </si>
  <si>
    <t>APRIL 15-21,2024</t>
  </si>
  <si>
    <t>APRIL 22-28,2024</t>
  </si>
  <si>
    <t>APRIL 29 - MAY 5,2024</t>
  </si>
  <si>
    <t>MAY 6-12,2024</t>
  </si>
  <si>
    <t>MAY 13-19,2024</t>
  </si>
  <si>
    <t>MAY 27-JUNE 2 ,2024</t>
  </si>
  <si>
    <t>MAY 20-26 ,2024</t>
  </si>
  <si>
    <t>JUNE 3-9, 2024</t>
  </si>
  <si>
    <t>JUNE 10-16, 2024</t>
  </si>
  <si>
    <t xml:space="preserve">Mine Manager </t>
  </si>
  <si>
    <t>JUNE 17-23, 2024</t>
  </si>
  <si>
    <t>JUNE 24-30, 2024</t>
  </si>
  <si>
    <t>JULY 1-7,2024</t>
  </si>
  <si>
    <t>JULY 8-14,2024</t>
  </si>
  <si>
    <t>JULY 15-21,2024</t>
  </si>
  <si>
    <t>MR. RONALD V. BATERNA</t>
  </si>
  <si>
    <t>JULY 22-28,2024</t>
  </si>
  <si>
    <t>JULY 29 - AUGUST 4,2024</t>
  </si>
  <si>
    <t>5/10/5/40</t>
  </si>
  <si>
    <t>AUGUST 5-11,2024</t>
  </si>
  <si>
    <t>AUGUST 12-18,2024</t>
  </si>
  <si>
    <t>AUGUST 19-25,2024</t>
  </si>
  <si>
    <t>AUGUST 26-SEPTEMBER 1,2024</t>
  </si>
  <si>
    <t>SEPTEMBER 2-8,2024</t>
  </si>
  <si>
    <t>SEPTEMBER 9-15,2024</t>
  </si>
  <si>
    <t>SEPTEMBER 16-22,2024</t>
  </si>
  <si>
    <t>SEPTEMBER 23-29,2024</t>
  </si>
  <si>
    <t>SEPTEMBER 30-OCTOBER 6, 2024</t>
  </si>
  <si>
    <t>SHOCK STAR</t>
  </si>
  <si>
    <t>OCTOBER 7-13, 2024</t>
  </si>
  <si>
    <t>OCTOBER 14-20, 2024</t>
  </si>
  <si>
    <t>OCTOBER 21-27, 2024</t>
  </si>
  <si>
    <t>OCTOBER 28-NOVEMBER 3, 2024</t>
  </si>
  <si>
    <t>NOVEMBER 4-10, 2024</t>
  </si>
  <si>
    <t>NOVEMBER 11-17, 2024</t>
  </si>
  <si>
    <t>NOVEMBER 18-24, 2024</t>
  </si>
  <si>
    <t>NOVEMBER 25-DECEMBER 1, 2024</t>
  </si>
  <si>
    <t>DECEMBER 2-8, 2024</t>
  </si>
  <si>
    <t>DECEMBER 9-15, 2024</t>
  </si>
  <si>
    <t>DECEMBER 16-22, 2024</t>
  </si>
  <si>
    <t>DECEMBER 23-29, 2024</t>
  </si>
  <si>
    <t>DECEMBER 30-JANUARY 5, 2025</t>
  </si>
  <si>
    <t>JANUARY 6-12, 2025</t>
  </si>
  <si>
    <t>JANUARY 13-19, 2025</t>
  </si>
  <si>
    <t>Mine Explosive  Asst. Manager</t>
  </si>
  <si>
    <t>JANUARY 20-26, 2025</t>
  </si>
  <si>
    <t>JANUARY 27-FEBRUARY 2, 2025</t>
  </si>
  <si>
    <t>BORROWED MT ROCK</t>
  </si>
  <si>
    <t>FEBRUARY 3-9, 2025</t>
  </si>
  <si>
    <t>FEBRUARY 10-16, 2025</t>
  </si>
  <si>
    <t>FEBRUARY 17-23, 2025</t>
  </si>
  <si>
    <t>FEBRUARY 24-MARCH 2, 2025</t>
  </si>
  <si>
    <t>MARCH 3-9, 2025</t>
  </si>
  <si>
    <t>MARCH 10-16 2025</t>
  </si>
  <si>
    <t>MARCH 17-23, 2025</t>
  </si>
  <si>
    <t>MARCH 24-30, 2025</t>
  </si>
  <si>
    <t>MARCH 30-APRIL 6, 2025</t>
  </si>
  <si>
    <t>APRIL 7-13, 2025</t>
  </si>
  <si>
    <t>APRIL 14-20, 2025</t>
  </si>
  <si>
    <t>APRIL 21-27, 2025</t>
  </si>
  <si>
    <t>APRIL 28-MAY 4, 2025</t>
  </si>
  <si>
    <t>MAY 5-11, 2025</t>
  </si>
  <si>
    <t>NEOGEL</t>
  </si>
  <si>
    <t>200</t>
  </si>
  <si>
    <t>MAY 12-18, 2025</t>
  </si>
  <si>
    <t>MAY 19-25, 2025</t>
  </si>
  <si>
    <t>MAY 26-JUNE 1, 2025</t>
  </si>
  <si>
    <t>JUNE 2-8, 2025</t>
  </si>
  <si>
    <t>Mine Explosives</t>
  </si>
  <si>
    <t>MR. NIÑO KALR B. TABACON</t>
  </si>
  <si>
    <t>JUNE 9-15, 2025</t>
  </si>
  <si>
    <t>MR. NIÑO KARL B. TABACON</t>
  </si>
  <si>
    <t>Mine Explosives Asst. Manager</t>
  </si>
  <si>
    <t>JUNE 16-22, 2025</t>
  </si>
  <si>
    <t>JUNE 23-29, 2025</t>
  </si>
  <si>
    <t>ENGR. EDWIN. BATAL</t>
  </si>
  <si>
    <t>JUNE 30-JULY 6, 2025</t>
  </si>
  <si>
    <t>JULY 7-13, 2025</t>
  </si>
  <si>
    <t>JULY 14-20, 2025</t>
  </si>
  <si>
    <t>JULY 21-27, 2025</t>
  </si>
  <si>
    <t>JULY 28-AUGUST 3, 2025</t>
  </si>
  <si>
    <t>AUGUST 4-10, 2025</t>
  </si>
  <si>
    <t>AUGUST 11-17, 2025</t>
  </si>
  <si>
    <t>AUGUST 18-24, 2025</t>
  </si>
  <si>
    <t>AUGUST 25-31, 2025</t>
  </si>
  <si>
    <t xml:space="preserve">Neogel </t>
  </si>
  <si>
    <t>SEPTEMBER 1-7, 2025</t>
  </si>
  <si>
    <t>SEPTEMBER 8-14, 2025</t>
  </si>
  <si>
    <t>BARROWED MT ROCK</t>
  </si>
  <si>
    <t>SEPTEMBER 15-21, 2025</t>
  </si>
  <si>
    <t xml:space="preserve">Mine Division Manager </t>
  </si>
  <si>
    <t>SEPTEMBER 22-28, 2025</t>
  </si>
  <si>
    <t>Blaster Foreman</t>
  </si>
  <si>
    <t>SEPTEMBER 29-OCTOBER 5, 2025</t>
  </si>
  <si>
    <t>OCTOBER 6-12, 2025</t>
  </si>
  <si>
    <t>OCTOBER 13-19, 2025</t>
  </si>
  <si>
    <t>OCTOBER 20-26, 2025</t>
  </si>
  <si>
    <t>OCTOBER 27-NOVEMBER 2, 2025</t>
  </si>
  <si>
    <t>NOVEMBER 3-9, 2025</t>
  </si>
  <si>
    <t>NOVEMBER 10-16, 2025</t>
  </si>
  <si>
    <t>NOVEMBER 17-23, 2025</t>
  </si>
  <si>
    <t>NOVEMBER 24-30, 2025</t>
  </si>
  <si>
    <t>DECEMBER 1-7, 2025</t>
  </si>
  <si>
    <t>DECEMBER 8-14, 2025</t>
  </si>
  <si>
    <t>DECEMBER 15-21, 2025</t>
  </si>
  <si>
    <t>DECEMBER 22-28, 2025</t>
  </si>
  <si>
    <t>DECEMBER 29-JANUARY 4, 2026</t>
  </si>
  <si>
    <t>Consumption</t>
  </si>
  <si>
    <t>Deliver to Underground 01-02-2025</t>
  </si>
  <si>
    <t xml:space="preserve">Less: Total Weekly Consumption      </t>
  </si>
  <si>
    <t>Transfer to Surface 12-24-2025</t>
  </si>
  <si>
    <t>JANUARY 5-11, 2026</t>
  </si>
  <si>
    <t>JANUARY 12-18, 2026</t>
  </si>
  <si>
    <t>JANUARY 19-25, 2026</t>
  </si>
  <si>
    <t>JANUARY 26-FEBRUARY 1, 2026</t>
  </si>
  <si>
    <t>FEBRUARY 2-8, 2026</t>
  </si>
  <si>
    <t>MR. ELMER L. GANZON</t>
  </si>
  <si>
    <t>FEBRUARY 9-15, 2026</t>
  </si>
  <si>
    <t>FEBRUARY 16-22, 2026</t>
  </si>
  <si>
    <t>FEBRUARY 23-MARCH 1, 2026</t>
  </si>
  <si>
    <t>MR. JOHN XERCES C. ANTIPUESTO</t>
  </si>
  <si>
    <t>MARCH 2-8, 2026</t>
  </si>
  <si>
    <t>MARCH 9-15, 2026</t>
  </si>
  <si>
    <t>MARCH 16-22, 2026</t>
  </si>
  <si>
    <t>MARCH 23-29, 2026</t>
  </si>
  <si>
    <t>MR. JOHNNY U. GALENG</t>
  </si>
  <si>
    <t>MARCH 30-APRIL 5, 2026</t>
  </si>
  <si>
    <t>APRIL 6-12, 2026</t>
  </si>
  <si>
    <t>Emulex</t>
  </si>
  <si>
    <t>APRIL 13-19, 2026</t>
  </si>
  <si>
    <t>APRIL 20-26, 2026</t>
  </si>
  <si>
    <t>APRIL 27-MAY 3, 2026</t>
  </si>
  <si>
    <t>MAY 4-10, 2026</t>
  </si>
  <si>
    <t>MAY 11-17, 2026</t>
  </si>
  <si>
    <t>MAY 18-24, 2026</t>
  </si>
  <si>
    <t>MAY 25-31, 2026</t>
  </si>
  <si>
    <t>JUNE 1-7,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</si>
</sst>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#,##0.0;\-#,##0.0"/>
    <numFmt numFmtId="167" formatCode="#,##0.0_ ;\-#,##0.0\ "/>
    <numFmt numFmtId="168" formatCode="#,##0.00;[Red]#,##0.00"/>
    <numFmt numFmtId="169" formatCode="#,##0.0;[Red]#,##0.0"/>
    <numFmt numFmtId="170" formatCode="#,##0;[Red]#,##0"/>
    <numFmt numFmtId="171" formatCode="[$-409]dd\-mmm\-yy;@"/>
    <numFmt numFmtId="172" formatCode="#,##0.00_ ;\-#,##0.00\ "/>
    <numFmt numFmtId="173" formatCode="_(* #,##0_);_(* \(#,##0\);_(* &quot;-&quot;??_);_(@_)"/>
    <numFmt numFmtId="174" formatCode="#,##0_ ;\-#,##0\ "/>
  </numFmts>
  <fonts count="22" x14ac:knownFonts="1">
    <font>
      <sz val="10"/>
      <name val="Arial"/>
    </font>
    <font>
      <b/>
      <sz val="28"/>
      <name val="Times New Roman"/>
      <family val="1"/>
    </font>
    <font>
      <b/>
      <sz val="17"/>
      <name val="Times New Roman"/>
      <family val="1"/>
    </font>
    <font>
      <sz val="10"/>
      <name val="Arial"/>
      <family val="2"/>
    </font>
    <font>
      <b/>
      <sz val="19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u/>
      <sz val="18"/>
      <name val="Times New Roman"/>
      <family val="1"/>
    </font>
    <font>
      <u/>
      <sz val="18"/>
      <name val="Times New Roman"/>
      <family val="1"/>
    </font>
    <font>
      <sz val="17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name val="Times New Roman"/>
      <family val="1"/>
    </font>
    <font>
      <sz val="10"/>
      <name val="Arial"/>
      <family val="2"/>
    </font>
    <font>
      <b/>
      <sz val="16"/>
      <name val="Times New Roman"/>
      <family val="1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b/>
      <sz val="12"/>
      <color indexed="81"/>
      <name val="Tahoma"/>
      <family val="2"/>
    </font>
    <font>
      <b/>
      <sz val="18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45">
    <xf numFmtId="0" fontId="0" fillId="0" borderId="0" xfId="0"/>
    <xf numFmtId="0" fontId="2" fillId="0" borderId="0" xfId="0" applyFont="1"/>
    <xf numFmtId="15" fontId="2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23" xfId="0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4" fillId="0" borderId="26" xfId="1" applyFont="1" applyBorder="1" applyAlignment="1">
      <alignment horizontal="left" vertical="center" wrapText="1"/>
    </xf>
    <xf numFmtId="37" fontId="2" fillId="0" borderId="26" xfId="1" applyNumberFormat="1" applyFont="1" applyBorder="1" applyAlignment="1">
      <alignment horizontal="center" vertical="center"/>
    </xf>
    <xf numFmtId="39" fontId="2" fillId="0" borderId="27" xfId="1" applyNumberFormat="1" applyFont="1" applyBorder="1" applyAlignment="1">
      <alignment horizontal="center" vertical="center"/>
    </xf>
    <xf numFmtId="166" fontId="2" fillId="0" borderId="26" xfId="1" applyNumberFormat="1" applyFont="1" applyBorder="1" applyAlignment="1">
      <alignment horizontal="center" vertical="center"/>
    </xf>
    <xf numFmtId="166" fontId="2" fillId="0" borderId="27" xfId="1" applyNumberFormat="1" applyFont="1" applyBorder="1" applyAlignment="1">
      <alignment horizontal="center" vertical="center"/>
    </xf>
    <xf numFmtId="39" fontId="2" fillId="0" borderId="26" xfId="1" applyNumberFormat="1" applyFont="1" applyBorder="1" applyAlignment="1">
      <alignment horizontal="center" vertical="center"/>
    </xf>
    <xf numFmtId="166" fontId="2" fillId="3" borderId="42" xfId="1" applyNumberFormat="1" applyFont="1" applyFill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 wrapText="1"/>
    </xf>
    <xf numFmtId="37" fontId="2" fillId="0" borderId="27" xfId="1" applyNumberFormat="1" applyFont="1" applyBorder="1" applyAlignment="1">
      <alignment horizontal="center" vertical="center"/>
    </xf>
    <xf numFmtId="166" fontId="2" fillId="3" borderId="28" xfId="1" applyNumberFormat="1" applyFont="1" applyFill="1" applyBorder="1" applyAlignment="1">
      <alignment horizontal="center" vertical="center"/>
    </xf>
    <xf numFmtId="167" fontId="2" fillId="0" borderId="0" xfId="0" applyNumberFormat="1" applyFont="1"/>
    <xf numFmtId="164" fontId="4" fillId="4" borderId="27" xfId="1" applyFont="1" applyFill="1" applyBorder="1" applyAlignment="1">
      <alignment horizontal="left" vertical="center" wrapText="1"/>
    </xf>
    <xf numFmtId="37" fontId="2" fillId="4" borderId="27" xfId="1" applyNumberFormat="1" applyFont="1" applyFill="1" applyBorder="1" applyAlignment="1">
      <alignment horizontal="center" vertical="center"/>
    </xf>
    <xf numFmtId="168" fontId="2" fillId="4" borderId="27" xfId="1" applyNumberFormat="1" applyFont="1" applyFill="1" applyBorder="1" applyAlignment="1">
      <alignment horizontal="center" vertical="center"/>
    </xf>
    <xf numFmtId="169" fontId="2" fillId="4" borderId="27" xfId="1" applyNumberFormat="1" applyFont="1" applyFill="1" applyBorder="1" applyAlignment="1">
      <alignment horizontal="center" vertical="center"/>
    </xf>
    <xf numFmtId="39" fontId="2" fillId="4" borderId="27" xfId="1" applyNumberFormat="1" applyFont="1" applyFill="1" applyBorder="1" applyAlignment="1">
      <alignment horizontal="center" vertical="center"/>
    </xf>
    <xf numFmtId="37" fontId="2" fillId="4" borderId="28" xfId="1" applyNumberFormat="1" applyFont="1" applyFill="1" applyBorder="1" applyAlignment="1">
      <alignment horizontal="center" vertical="center"/>
    </xf>
    <xf numFmtId="170" fontId="2" fillId="0" borderId="27" xfId="1" applyNumberFormat="1" applyFont="1" applyBorder="1" applyAlignment="1">
      <alignment horizontal="center" vertical="center"/>
    </xf>
    <xf numFmtId="37" fontId="2" fillId="3" borderId="26" xfId="1" applyNumberFormat="1" applyFont="1" applyFill="1" applyBorder="1" applyAlignment="1">
      <alignment horizontal="center" vertical="center"/>
    </xf>
    <xf numFmtId="37" fontId="2" fillId="3" borderId="42" xfId="1" applyNumberFormat="1" applyFont="1" applyFill="1" applyBorder="1" applyAlignment="1">
      <alignment horizontal="center" vertical="center"/>
    </xf>
    <xf numFmtId="168" fontId="2" fillId="0" borderId="0" xfId="0" applyNumberFormat="1" applyFont="1"/>
    <xf numFmtId="37" fontId="2" fillId="5" borderId="26" xfId="1" applyNumberFormat="1" applyFont="1" applyFill="1" applyBorder="1" applyAlignment="1">
      <alignment horizontal="center" vertical="center"/>
    </xf>
    <xf numFmtId="39" fontId="2" fillId="5" borderId="26" xfId="1" applyNumberFormat="1" applyFont="1" applyFill="1" applyBorder="1" applyAlignment="1">
      <alignment horizontal="center" vertical="center"/>
    </xf>
    <xf numFmtId="37" fontId="2" fillId="5" borderId="42" xfId="1" applyNumberFormat="1" applyFont="1" applyFill="1" applyBorder="1" applyAlignment="1">
      <alignment horizontal="center" vertical="center"/>
    </xf>
    <xf numFmtId="169" fontId="2" fillId="0" borderId="27" xfId="1" applyNumberFormat="1" applyFont="1" applyBorder="1" applyAlignment="1">
      <alignment horizontal="center" vertical="center"/>
    </xf>
    <xf numFmtId="168" fontId="2" fillId="0" borderId="27" xfId="1" applyNumberFormat="1" applyFont="1" applyBorder="1" applyAlignment="1">
      <alignment horizontal="center" vertical="center"/>
    </xf>
    <xf numFmtId="37" fontId="2" fillId="0" borderId="28" xfId="1" applyNumberFormat="1" applyFont="1" applyBorder="1" applyAlignment="1">
      <alignment horizontal="center" vertical="center"/>
    </xf>
    <xf numFmtId="171" fontId="4" fillId="2" borderId="11" xfId="1" applyNumberFormat="1" applyFont="1" applyFill="1" applyBorder="1" applyAlignment="1">
      <alignment horizontal="center" vertical="center"/>
    </xf>
    <xf numFmtId="37" fontId="2" fillId="2" borderId="12" xfId="1" applyNumberFormat="1" applyFont="1" applyFill="1" applyBorder="1" applyAlignment="1">
      <alignment horizontal="center" vertical="center"/>
    </xf>
    <xf numFmtId="39" fontId="2" fillId="2" borderId="12" xfId="1" applyNumberFormat="1" applyFont="1" applyFill="1" applyBorder="1" applyAlignment="1">
      <alignment horizontal="center" vertical="center"/>
    </xf>
    <xf numFmtId="166" fontId="2" fillId="2" borderId="12" xfId="1" applyNumberFormat="1" applyFont="1" applyFill="1" applyBorder="1" applyAlignment="1">
      <alignment horizontal="center" vertical="center"/>
    </xf>
    <xf numFmtId="39" fontId="2" fillId="2" borderId="12" xfId="1" applyNumberFormat="1" applyFont="1" applyFill="1" applyBorder="1" applyAlignment="1">
      <alignment vertical="center"/>
    </xf>
    <xf numFmtId="166" fontId="2" fillId="2" borderId="13" xfId="1" applyNumberFormat="1" applyFont="1" applyFill="1" applyBorder="1" applyAlignment="1">
      <alignment horizontal="center" vertical="center"/>
    </xf>
    <xf numFmtId="37" fontId="2" fillId="0" borderId="0" xfId="0" applyNumberFormat="1" applyFont="1"/>
    <xf numFmtId="0" fontId="5" fillId="0" borderId="0" xfId="0" applyFont="1"/>
    <xf numFmtId="0" fontId="6" fillId="0" borderId="0" xfId="0" applyFont="1"/>
    <xf numFmtId="2" fontId="5" fillId="0" borderId="0" xfId="0" applyNumberFormat="1" applyFont="1"/>
    <xf numFmtId="37" fontId="5" fillId="0" borderId="0" xfId="0" applyNumberFormat="1" applyFont="1"/>
    <xf numFmtId="0" fontId="6" fillId="0" borderId="0" xfId="0" applyFont="1" applyAlignment="1">
      <alignment vertical="center"/>
    </xf>
    <xf numFmtId="169" fontId="5" fillId="0" borderId="0" xfId="0" applyNumberFormat="1" applyFont="1"/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2" fontId="6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9" fillId="0" borderId="0" xfId="0" applyFont="1"/>
    <xf numFmtId="172" fontId="2" fillId="0" borderId="0" xfId="0" applyNumberFormat="1" applyFont="1"/>
    <xf numFmtId="39" fontId="2" fillId="0" borderId="0" xfId="0" applyNumberFormat="1" applyFont="1"/>
    <xf numFmtId="164" fontId="4" fillId="0" borderId="31" xfId="1" applyFont="1" applyBorder="1" applyAlignment="1">
      <alignment horizontal="left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173" fontId="4" fillId="0" borderId="26" xfId="1" applyNumberFormat="1" applyFont="1" applyBorder="1" applyAlignment="1">
      <alignment horizontal="left" vertical="center" wrapText="1"/>
    </xf>
    <xf numFmtId="170" fontId="2" fillId="4" borderId="27" xfId="1" applyNumberFormat="1" applyFont="1" applyFill="1" applyBorder="1" applyAlignment="1">
      <alignment horizontal="center" vertical="center"/>
    </xf>
    <xf numFmtId="3" fontId="4" fillId="0" borderId="31" xfId="1" applyNumberFormat="1" applyFont="1" applyBorder="1" applyAlignment="1">
      <alignment horizontal="center" vertical="center" wrapText="1"/>
    </xf>
    <xf numFmtId="174" fontId="4" fillId="0" borderId="26" xfId="2" applyNumberFormat="1" applyFont="1" applyBorder="1" applyAlignment="1">
      <alignment horizontal="center" vertical="center" wrapText="1"/>
    </xf>
    <xf numFmtId="174" fontId="4" fillId="0" borderId="27" xfId="2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39" fontId="5" fillId="0" borderId="0" xfId="0" applyNumberFormat="1" applyFont="1"/>
    <xf numFmtId="166" fontId="2" fillId="0" borderId="0" xfId="0" applyNumberFormat="1" applyFont="1"/>
    <xf numFmtId="0" fontId="12" fillId="0" borderId="2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3" fontId="4" fillId="0" borderId="46" xfId="1" applyNumberFormat="1" applyFont="1" applyBorder="1" applyAlignment="1">
      <alignment horizontal="center" vertical="center" wrapText="1"/>
    </xf>
    <xf numFmtId="37" fontId="2" fillId="0" borderId="44" xfId="1" applyNumberFormat="1" applyFont="1" applyBorder="1" applyAlignment="1">
      <alignment horizontal="center" vertical="center"/>
    </xf>
    <xf numFmtId="39" fontId="2" fillId="0" borderId="47" xfId="1" applyNumberFormat="1" applyFont="1" applyBorder="1" applyAlignment="1">
      <alignment horizontal="center" vertical="center"/>
    </xf>
    <xf numFmtId="170" fontId="2" fillId="0" borderId="47" xfId="1" applyNumberFormat="1" applyFont="1" applyBorder="1" applyAlignment="1">
      <alignment horizontal="center" vertical="center"/>
    </xf>
    <xf numFmtId="37" fontId="2" fillId="0" borderId="47" xfId="1" applyNumberFormat="1" applyFont="1" applyBorder="1" applyAlignment="1">
      <alignment horizontal="center" vertical="center"/>
    </xf>
    <xf numFmtId="39" fontId="2" fillId="0" borderId="44" xfId="1" applyNumberFormat="1" applyFont="1" applyBorder="1" applyAlignment="1">
      <alignment horizontal="center" vertical="center"/>
    </xf>
    <xf numFmtId="168" fontId="2" fillId="0" borderId="47" xfId="1" applyNumberFormat="1" applyFont="1" applyBorder="1" applyAlignment="1">
      <alignment horizontal="center" vertical="center"/>
    </xf>
    <xf numFmtId="37" fontId="2" fillId="0" borderId="48" xfId="1" applyNumberFormat="1" applyFont="1" applyBorder="1" applyAlignment="1">
      <alignment horizontal="center" vertical="center"/>
    </xf>
    <xf numFmtId="37" fontId="2" fillId="3" borderId="49" xfId="1" applyNumberFormat="1" applyFont="1" applyFill="1" applyBorder="1" applyAlignment="1">
      <alignment horizontal="center" vertical="center"/>
    </xf>
    <xf numFmtId="39" fontId="2" fillId="3" borderId="26" xfId="1" applyNumberFormat="1" applyFont="1" applyFill="1" applyBorder="1" applyAlignment="1">
      <alignment horizontal="center" vertical="center"/>
    </xf>
    <xf numFmtId="37" fontId="2" fillId="6" borderId="26" xfId="1" applyNumberFormat="1" applyFont="1" applyFill="1" applyBorder="1" applyAlignment="1">
      <alignment horizontal="center" vertical="center"/>
    </xf>
    <xf numFmtId="170" fontId="2" fillId="6" borderId="27" xfId="1" applyNumberFormat="1" applyFont="1" applyFill="1" applyBorder="1" applyAlignment="1">
      <alignment horizontal="center" vertical="center"/>
    </xf>
    <xf numFmtId="37" fontId="2" fillId="6" borderId="27" xfId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37" fontId="2" fillId="6" borderId="28" xfId="1" applyNumberFormat="1" applyFont="1" applyFill="1" applyBorder="1" applyAlignment="1">
      <alignment horizontal="center" vertical="center"/>
    </xf>
    <xf numFmtId="37" fontId="2" fillId="2" borderId="13" xfId="1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4" fillId="0" borderId="36" xfId="1" applyFont="1" applyBorder="1" applyAlignment="1">
      <alignment horizontal="left" vertical="center" wrapText="1"/>
    </xf>
    <xf numFmtId="164" fontId="4" fillId="0" borderId="33" xfId="1" applyFont="1" applyBorder="1" applyAlignment="1">
      <alignment horizontal="left" vertical="center" wrapText="1"/>
    </xf>
    <xf numFmtId="164" fontId="4" fillId="0" borderId="31" xfId="1" applyFont="1" applyBorder="1" applyAlignment="1">
      <alignment horizontal="left" vertical="center" wrapText="1"/>
    </xf>
    <xf numFmtId="164" fontId="4" fillId="2" borderId="38" xfId="1" applyFont="1" applyFill="1" applyBorder="1" applyAlignment="1">
      <alignment horizontal="center" vertical="center"/>
    </xf>
    <xf numFmtId="164" fontId="4" fillId="2" borderId="37" xfId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5" fontId="4" fillId="0" borderId="40" xfId="1" applyNumberFormat="1" applyFont="1" applyBorder="1" applyAlignment="1">
      <alignment horizontal="center" vertical="center"/>
    </xf>
    <xf numFmtId="165" fontId="4" fillId="0" borderId="43" xfId="1" applyNumberFormat="1" applyFont="1" applyBorder="1" applyAlignment="1">
      <alignment horizontal="center" vertical="center"/>
    </xf>
    <xf numFmtId="165" fontId="4" fillId="0" borderId="45" xfId="1" applyNumberFormat="1" applyFont="1" applyBorder="1" applyAlignment="1">
      <alignment horizontal="center" vertical="center"/>
    </xf>
    <xf numFmtId="164" fontId="4" fillId="0" borderId="41" xfId="1" applyFont="1" applyBorder="1" applyAlignment="1">
      <alignment horizontal="center" vertical="center" wrapText="1"/>
    </xf>
    <xf numFmtId="164" fontId="4" fillId="0" borderId="44" xfId="1" applyFont="1" applyBorder="1" applyAlignment="1">
      <alignment horizontal="center" vertical="center" wrapText="1"/>
    </xf>
    <xf numFmtId="164" fontId="4" fillId="0" borderId="26" xfId="1" applyFont="1" applyBorder="1" applyAlignment="1">
      <alignment horizontal="center" vertical="center" wrapText="1"/>
    </xf>
    <xf numFmtId="165" fontId="4" fillId="0" borderId="36" xfId="1" applyNumberFormat="1" applyFont="1" applyBorder="1" applyAlignment="1">
      <alignment horizontal="center" vertical="center" wrapText="1"/>
    </xf>
    <xf numFmtId="165" fontId="4" fillId="0" borderId="33" xfId="1" applyNumberFormat="1" applyFont="1" applyBorder="1" applyAlignment="1">
      <alignment horizontal="center" vertical="center" wrapText="1"/>
    </xf>
    <xf numFmtId="165" fontId="4" fillId="0" borderId="31" xfId="1" applyNumberFormat="1" applyFont="1" applyBorder="1" applyAlignment="1">
      <alignment horizontal="center" vertical="center" wrapText="1"/>
    </xf>
    <xf numFmtId="165" fontId="4" fillId="5" borderId="36" xfId="1" applyNumberFormat="1" applyFont="1" applyFill="1" applyBorder="1" applyAlignment="1">
      <alignment horizontal="center" vertical="center"/>
    </xf>
    <xf numFmtId="165" fontId="4" fillId="5" borderId="33" xfId="1" applyNumberFormat="1" applyFont="1" applyFill="1" applyBorder="1" applyAlignment="1">
      <alignment horizontal="center" vertical="center"/>
    </xf>
    <xf numFmtId="165" fontId="4" fillId="5" borderId="31" xfId="1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4" fontId="2" fillId="0" borderId="29" xfId="1" applyFont="1" applyBorder="1" applyAlignment="1">
      <alignment horizontal="center" vertical="center"/>
    </xf>
    <xf numFmtId="164" fontId="2" fillId="0" borderId="8" xfId="1" applyFont="1" applyBorder="1" applyAlignment="1">
      <alignment horizontal="center" vertical="center"/>
    </xf>
    <xf numFmtId="164" fontId="2" fillId="0" borderId="5" xfId="1" applyFont="1" applyBorder="1" applyAlignment="1">
      <alignment horizontal="center" vertical="center"/>
    </xf>
    <xf numFmtId="164" fontId="2" fillId="0" borderId="27" xfId="1" applyFont="1" applyBorder="1" applyAlignment="1">
      <alignment horizontal="center" vertical="center"/>
    </xf>
    <xf numFmtId="164" fontId="2" fillId="0" borderId="12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164" fontId="2" fillId="2" borderId="1" xfId="1" applyFont="1" applyFill="1" applyBorder="1" applyAlignment="1">
      <alignment horizontal="center" vertical="center"/>
    </xf>
    <xf numFmtId="164" fontId="2" fillId="2" borderId="2" xfId="1" applyFont="1" applyFill="1" applyBorder="1" applyAlignment="1">
      <alignment horizontal="center" vertical="center"/>
    </xf>
    <xf numFmtId="164" fontId="2" fillId="2" borderId="3" xfId="1" applyFont="1" applyFill="1" applyBorder="1" applyAlignment="1">
      <alignment horizontal="center" vertical="center"/>
    </xf>
    <xf numFmtId="164" fontId="2" fillId="2" borderId="8" xfId="1" applyFont="1" applyFill="1" applyBorder="1" applyAlignment="1">
      <alignment horizontal="center" vertical="center"/>
    </xf>
    <xf numFmtId="164" fontId="2" fillId="2" borderId="9" xfId="1" applyFont="1" applyFill="1" applyBorder="1" applyAlignment="1">
      <alignment horizontal="center" vertical="center"/>
    </xf>
    <xf numFmtId="164" fontId="2" fillId="2" borderId="1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4" fontId="12" fillId="0" borderId="36" xfId="1" applyFont="1" applyBorder="1" applyAlignment="1">
      <alignment horizontal="center" vertical="center" wrapText="1"/>
    </xf>
    <xf numFmtId="164" fontId="12" fillId="0" borderId="33" xfId="1" applyFont="1" applyBorder="1" applyAlignment="1">
      <alignment horizontal="center" vertical="center" wrapText="1"/>
    </xf>
    <xf numFmtId="164" fontId="12" fillId="0" borderId="31" xfId="1" applyFont="1" applyBorder="1" applyAlignment="1">
      <alignment horizontal="center" vertical="center" wrapText="1"/>
    </xf>
    <xf numFmtId="165" fontId="4" fillId="3" borderId="36" xfId="1" applyNumberFormat="1" applyFont="1" applyFill="1" applyBorder="1" applyAlignment="1">
      <alignment horizontal="center" vertical="center"/>
    </xf>
    <xf numFmtId="165" fontId="4" fillId="3" borderId="33" xfId="1" applyNumberFormat="1" applyFont="1" applyFill="1" applyBorder="1" applyAlignment="1">
      <alignment horizontal="center" vertical="center"/>
    </xf>
    <xf numFmtId="165" fontId="4" fillId="3" borderId="31" xfId="1" applyNumberFormat="1" applyFont="1" applyFill="1" applyBorder="1" applyAlignment="1">
      <alignment horizontal="center" vertical="center"/>
    </xf>
    <xf numFmtId="164" fontId="4" fillId="0" borderId="36" xfId="1" applyFont="1" applyBorder="1" applyAlignment="1">
      <alignment horizontal="center" vertical="center" wrapText="1"/>
    </xf>
    <xf numFmtId="164" fontId="4" fillId="0" borderId="33" xfId="1" applyFont="1" applyBorder="1" applyAlignment="1">
      <alignment horizontal="center" vertical="center" wrapText="1"/>
    </xf>
    <xf numFmtId="164" fontId="4" fillId="0" borderId="31" xfId="1" applyFont="1" applyBorder="1" applyAlignment="1">
      <alignment horizontal="center" vertical="center" wrapText="1"/>
    </xf>
    <xf numFmtId="165" fontId="4" fillId="6" borderId="36" xfId="1" applyNumberFormat="1" applyFont="1" applyFill="1" applyBorder="1" applyAlignment="1">
      <alignment horizontal="center" vertical="center"/>
    </xf>
    <xf numFmtId="165" fontId="4" fillId="6" borderId="33" xfId="1" applyNumberFormat="1" applyFont="1" applyFill="1" applyBorder="1" applyAlignment="1">
      <alignment horizontal="center" vertical="center"/>
    </xf>
    <xf numFmtId="165" fontId="4" fillId="6" borderId="31" xfId="1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2" borderId="29" xfId="1" applyFont="1" applyFill="1" applyBorder="1" applyAlignment="1">
      <alignment horizontal="center" vertical="center"/>
    </xf>
    <xf numFmtId="164" fontId="2" fillId="2" borderId="0" xfId="1" applyFont="1" applyFill="1" applyBorder="1" applyAlignment="1">
      <alignment horizontal="center" vertical="center"/>
    </xf>
    <xf numFmtId="164" fontId="2" fillId="2" borderId="50" xfId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</cellXfs>
  <cellStyles count="4">
    <cellStyle name="Comma" xfId="2" builtinId="3"/>
    <cellStyle name="Comma 2" xfId="1"/>
    <cellStyle name="Comma 2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worksheet" Target="worksheets/sheet172.xml"/><Relationship Id="rId180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488461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293077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0237" cy="188472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293077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4878" cy="18847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293077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4878" cy="18847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293077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4878" cy="18847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293077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4878" cy="188472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293077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4878" cy="188472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293077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4878" cy="188472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183174</xdr:colOff>
      <xdr:row>0</xdr:row>
      <xdr:rowOff>232019</xdr:rowOff>
    </xdr:from>
    <xdr:to>
      <xdr:col>31</xdr:col>
      <xdr:colOff>293077</xdr:colOff>
      <xdr:row>7</xdr:row>
      <xdr:rowOff>183173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4" y="232019"/>
          <a:ext cx="20864878" cy="188472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464039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89326" cy="191721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464039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6138" cy="188472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464039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6138" cy="188472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6138" cy="188472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219808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85481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79557" cy="188472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85481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88105" cy="188472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85481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88105" cy="188472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85481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88105" cy="188472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32</xdr:col>
      <xdr:colOff>781539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88105" cy="188472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280865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98363" cy="188472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280865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092989" cy="188472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34</xdr:col>
      <xdr:colOff>0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394614" cy="191721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561730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374099" cy="188472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561730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373854" cy="188472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33</xdr:col>
      <xdr:colOff>561730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21373854" cy="188472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525096</xdr:colOff>
      <xdr:row>7</xdr:row>
      <xdr:rowOff>173326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2A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865"/>
          <a:ext cx="21357981" cy="185851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525096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7221" cy="183067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525096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7221" cy="183067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525096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7221" cy="183067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525096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7221" cy="183067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7221" cy="183067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305289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146539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6489" cy="1830676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146539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9664" cy="1830676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146539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9664" cy="1830676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146539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9664" cy="1830676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146539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9664" cy="1830676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34</xdr:col>
      <xdr:colOff>12212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9664" cy="1830676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34</xdr:col>
      <xdr:colOff>12212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8687" cy="1830676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34</xdr:col>
      <xdr:colOff>12212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8687" cy="1830676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34</xdr:col>
      <xdr:colOff>12212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8687" cy="1830676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34</xdr:col>
      <xdr:colOff>12212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8687" cy="1830676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529283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38687" cy="1830676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529283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41408" cy="1830676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529283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41408" cy="1830676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529283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41408" cy="1830676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529283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21341408" cy="1830676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2143"/>
          <a:ext cx="18369642" cy="180618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6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285751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68036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1953" cy="1830676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68036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3313" cy="1830676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68036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3313" cy="1830676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68036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3313" cy="1830676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68036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8353313" cy="1830676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7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2143"/>
          <a:ext cx="19539856" cy="180618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35</xdr:col>
      <xdr:colOff>13608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7610" cy="1830676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2143"/>
          <a:ext cx="19539856" cy="1806183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8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693965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830036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522167" cy="1830676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2143"/>
          <a:ext cx="19975284" cy="1806183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33</xdr:col>
      <xdr:colOff>435428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8955" cy="1830676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40823</xdr:colOff>
      <xdr:row>1</xdr:row>
      <xdr:rowOff>0</xdr:rowOff>
    </xdr:from>
    <xdr:to>
      <xdr:col>34</xdr:col>
      <xdr:colOff>884464</xdr:colOff>
      <xdr:row>7</xdr:row>
      <xdr:rowOff>173326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3" y="276225"/>
          <a:ext cx="19950791" cy="18306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.MINE%20EXPLOSIVES%20REPORTS/13.WEEKLY%20REPORT/2025/Explosives%20Weekly%20Consumption%20-%20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-31,2023-01-06,2024"/>
      <sheetName val="1-7-13,2024"/>
      <sheetName val="1-14-20,2024"/>
      <sheetName val="1-21-27,2024"/>
      <sheetName val="1-28-FEB.3,2024"/>
      <sheetName val="2-4-10,2024"/>
      <sheetName val="2-11-17,2024"/>
      <sheetName val="2-18-24,2024"/>
      <sheetName val="2- 25-MAR. 2,2024"/>
      <sheetName val="3-2-9,2024"/>
      <sheetName val="3-10-16,2024"/>
      <sheetName val="3-17-23,2024"/>
      <sheetName val="3-24-30-2024"/>
      <sheetName val="3-31, APRIL 1-6, 2024"/>
      <sheetName val="4-7-13,2024"/>
      <sheetName val="4-14-20,202"/>
      <sheetName val="4-21-27, 24"/>
      <sheetName val="4-28-MAY 4, 2024"/>
      <sheetName val="5-5-11-2024"/>
      <sheetName val="5-12-18-2024"/>
      <sheetName val="5-19-25-24"/>
      <sheetName val="5-26-JUNE 1, 2024"/>
      <sheetName val="6-2-8, 2024"/>
      <sheetName val="6-9-15-24"/>
      <sheetName val="6-16-22,2024"/>
      <sheetName val="6-23-29,2024"/>
      <sheetName val="6-30-7-6,2024"/>
      <sheetName val="7-7-13,2024"/>
      <sheetName val="7-14-20, 2024"/>
      <sheetName val="7-21-27,2024"/>
      <sheetName val="7-28-8-3, 2024"/>
      <sheetName val="8-4-10,2024"/>
      <sheetName val="8-11-17, 2024"/>
      <sheetName val="8-18-24, 2024"/>
      <sheetName val="8-25-31,2024"/>
      <sheetName val="9-1-7,2024"/>
      <sheetName val="9-8-14, 2024"/>
      <sheetName val="9-15-21, 2024"/>
      <sheetName val="9-22-28, 2024"/>
      <sheetName val="9-29-10-5,2024"/>
      <sheetName val="10-6-12, 2024"/>
      <sheetName val="10-13-19,2024"/>
      <sheetName val="10-20-26, 2024"/>
      <sheetName val="10-27-11-2, 2024"/>
      <sheetName val="11-3-9, 2024"/>
      <sheetName val="11-10-17, 2024"/>
      <sheetName val="11-18-24, 2024"/>
      <sheetName val="11-24-30, 2024"/>
      <sheetName val="12-1-7, 2024"/>
      <sheetName val="12-8-14, 2024"/>
      <sheetName val="12-15-22, 2024"/>
      <sheetName val="12-22-28, 2024"/>
      <sheetName val="12-29-1-4, 2025"/>
      <sheetName val="1-5-11,2025"/>
      <sheetName val="1-12-18, 2025"/>
      <sheetName val="1-19-25, 2025"/>
      <sheetName val="1-26-FEB-1,2025"/>
      <sheetName val="2-2-8, 2025"/>
      <sheetName val="2-9-15, 2025"/>
      <sheetName val="2-16-22, 2025"/>
      <sheetName val="2-23-03-1, 2025"/>
      <sheetName val="3-2-8, 2025"/>
      <sheetName val="3-9-16, 2025"/>
      <sheetName val="3-17-22, 2025"/>
      <sheetName val="3-23-29, 2025"/>
      <sheetName val="3-30-4-5,2025"/>
      <sheetName val="4-6-12, 2025"/>
      <sheetName val="4-13-19, 2025"/>
      <sheetName val="4-20-26, 2025"/>
      <sheetName val="4-27-MAY 3, 2025"/>
      <sheetName val="5-4-10, 2025"/>
      <sheetName val="5-11-17, 2025"/>
      <sheetName val="5-18-24, 2025"/>
      <sheetName val="5-25-31, 2025"/>
      <sheetName val="6-1-7, 2025"/>
      <sheetName val="6-8-14, 2025"/>
      <sheetName val="6-15-21, 2025"/>
      <sheetName val="6-22-28,2025"/>
      <sheetName val="6-29-7-5, 2025"/>
      <sheetName val="7-6-12, 2025"/>
      <sheetName val="7-13-19, 2025"/>
      <sheetName val="7-20-26, 2025"/>
      <sheetName val="7-27-8-2, 2025"/>
      <sheetName val="8-3-9, 2025"/>
      <sheetName val="8-10-16, 2025"/>
      <sheetName val="8-17-23,2025"/>
      <sheetName val="8-24-30, 2025"/>
      <sheetName val="8-31-9-6, 2025"/>
      <sheetName val="9-7-13, 2025"/>
      <sheetName val="9-14-20, 2025"/>
      <sheetName val="9-21-27, 2025"/>
      <sheetName val="9-28-10-4, 2025"/>
      <sheetName val="10-5-11, 2025"/>
      <sheetName val="10-12-18, 2025"/>
      <sheetName val="10-19-25, 2025"/>
      <sheetName val="10-26-11-1, 2025"/>
      <sheetName val="11-2-8, 2025"/>
      <sheetName val="11-9-15, 2025"/>
      <sheetName val="11-16-22, 2025"/>
      <sheetName val="11-23-29, 2025"/>
      <sheetName val="11-30-12-6, 2025"/>
      <sheetName val="12-7-13, 2025"/>
      <sheetName val="12-14-20,2025"/>
      <sheetName val="12-21-27, 2025"/>
      <sheetName val="WEEKLY rcsu"/>
      <sheetName val="16-31"/>
      <sheetName val="1-15"/>
      <sheetName val="DECEMBER 1-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>
        <row r="15">
          <cell r="P15">
            <v>542.79999999999995</v>
          </cell>
          <cell r="S15">
            <v>548</v>
          </cell>
          <cell r="W15">
            <v>281</v>
          </cell>
          <cell r="Y15">
            <v>91</v>
          </cell>
          <cell r="AA15">
            <v>330</v>
          </cell>
          <cell r="AE15">
            <v>221.13000000000002</v>
          </cell>
        </row>
      </sheetData>
      <sheetData sheetId="69"/>
      <sheetData sheetId="70">
        <row r="15">
          <cell r="F15">
            <v>640</v>
          </cell>
          <cell r="P15">
            <v>156.80000000000001</v>
          </cell>
          <cell r="Y15">
            <v>40</v>
          </cell>
          <cell r="AE15">
            <v>97.2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4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4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9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5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5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5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5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7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8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9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60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6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62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63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64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5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6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7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8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9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70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71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72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73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74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5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6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7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8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9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80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81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82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83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84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5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6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7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8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9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90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91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92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93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4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5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96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97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98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99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100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101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102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103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4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5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06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07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08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09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10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11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12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13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4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5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16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17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18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19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20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21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22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23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4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125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126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Relationship Id="rId4" Type="http://schemas.openxmlformats.org/officeDocument/2006/relationships/comments" Target="../comments127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8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Relationship Id="rId4" Type="http://schemas.openxmlformats.org/officeDocument/2006/relationships/comments" Target="../comments128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9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Relationship Id="rId4" Type="http://schemas.openxmlformats.org/officeDocument/2006/relationships/comments" Target="../comments129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0.vml"/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Relationship Id="rId4" Type="http://schemas.openxmlformats.org/officeDocument/2006/relationships/comments" Target="../comments130.x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20" zoomScale="78" zoomScaleNormal="78" workbookViewId="0">
      <selection activeCell="N39" sqref="N39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9.140625" style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64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44927</v>
      </c>
      <c r="B20" s="168" t="s">
        <v>37</v>
      </c>
      <c r="C20" s="30" t="s">
        <v>38</v>
      </c>
      <c r="D20" s="31">
        <v>48796</v>
      </c>
      <c r="E20" s="32">
        <f>D20/208*25</f>
        <v>5864.9038461538457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810</v>
      </c>
      <c r="O20" s="34">
        <f>N20/38*25</f>
        <v>532.8947368421052</v>
      </c>
      <c r="P20" s="33">
        <v>0</v>
      </c>
      <c r="Q20" s="34">
        <f>P20/135*25</f>
        <v>0</v>
      </c>
      <c r="R20" s="31">
        <v>79550</v>
      </c>
      <c r="S20" s="34">
        <f>R20/215*25</f>
        <v>9250</v>
      </c>
      <c r="T20" s="33" t="e">
        <f>#REF!</f>
        <v>#REF!</v>
      </c>
      <c r="U20" s="33">
        <v>46723</v>
      </c>
      <c r="V20" s="33" t="e">
        <f>#REF!</f>
        <v>#REF!</v>
      </c>
      <c r="W20" s="35">
        <v>63126.87</v>
      </c>
      <c r="X20" s="31">
        <v>9947</v>
      </c>
      <c r="Y20" s="31">
        <v>70</v>
      </c>
      <c r="Z20" s="33">
        <v>743</v>
      </c>
      <c r="AA20" s="31">
        <v>23508</v>
      </c>
      <c r="AB20" s="33">
        <f>61271+30</f>
        <v>61301</v>
      </c>
      <c r="AC20" s="33">
        <v>6581</v>
      </c>
      <c r="AD20" s="33">
        <v>30991</v>
      </c>
      <c r="AE20" s="31">
        <v>465</v>
      </c>
      <c r="AF20" s="36">
        <v>212</v>
      </c>
    </row>
    <row r="21" spans="1:34" ht="45" customHeight="1" x14ac:dyDescent="0.3">
      <c r="A21" s="166"/>
      <c r="B21" s="169"/>
      <c r="C21" s="37" t="s">
        <v>39</v>
      </c>
      <c r="D21" s="38">
        <v>0</v>
      </c>
      <c r="E21" s="32">
        <f>D21/208*25</f>
        <v>0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609</v>
      </c>
      <c r="O21" s="32">
        <f>N21/38*25</f>
        <v>400.65789473684214</v>
      </c>
      <c r="P21" s="38">
        <v>0</v>
      </c>
      <c r="Q21" s="32">
        <f>P21/135*25</f>
        <v>0</v>
      </c>
      <c r="R21" s="38">
        <v>11617</v>
      </c>
      <c r="S21" s="32">
        <f>R21/215*25</f>
        <v>1350.8139534883721</v>
      </c>
      <c r="T21" s="34"/>
      <c r="U21" s="34">
        <v>1651</v>
      </c>
      <c r="V21" s="34">
        <v>0</v>
      </c>
      <c r="W21" s="32">
        <v>827.9299999999987</v>
      </c>
      <c r="X21" s="38">
        <v>213</v>
      </c>
      <c r="Y21" s="38">
        <v>22</v>
      </c>
      <c r="Z21" s="34">
        <v>368</v>
      </c>
      <c r="AA21" s="38">
        <v>8152</v>
      </c>
      <c r="AB21" s="34">
        <v>3163</v>
      </c>
      <c r="AC21" s="34">
        <v>0</v>
      </c>
      <c r="AD21" s="34">
        <v>3284</v>
      </c>
      <c r="AE21" s="38">
        <v>150</v>
      </c>
      <c r="AF21" s="39">
        <v>35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48796</v>
      </c>
      <c r="E22" s="43">
        <f>SUM(E20:E21)</f>
        <v>5864.9038461538457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1419</v>
      </c>
      <c r="O22" s="43">
        <f t="shared" si="0"/>
        <v>933.55263157894728</v>
      </c>
      <c r="P22" s="42">
        <f t="shared" si="0"/>
        <v>0</v>
      </c>
      <c r="Q22" s="43">
        <f t="shared" si="0"/>
        <v>0</v>
      </c>
      <c r="R22" s="42">
        <f t="shared" si="0"/>
        <v>91167</v>
      </c>
      <c r="S22" s="43">
        <f t="shared" si="0"/>
        <v>10600.813953488372</v>
      </c>
      <c r="T22" s="44" t="e">
        <f t="shared" si="0"/>
        <v>#REF!</v>
      </c>
      <c r="U22" s="44">
        <f t="shared" si="0"/>
        <v>48374</v>
      </c>
      <c r="V22" s="44" t="e">
        <f t="shared" si="0"/>
        <v>#REF!</v>
      </c>
      <c r="W22" s="43">
        <f>SUM(W20:W21)</f>
        <v>63954.8</v>
      </c>
      <c r="X22" s="42">
        <f t="shared" si="0"/>
        <v>10160</v>
      </c>
      <c r="Y22" s="42">
        <f>SUM(Y20:Y21)</f>
        <v>92</v>
      </c>
      <c r="Z22" s="44">
        <f t="shared" si="0"/>
        <v>1111</v>
      </c>
      <c r="AA22" s="42">
        <f>SUM(AA20:AA21)</f>
        <v>31660</v>
      </c>
      <c r="AB22" s="44">
        <f>SUM(AB20:AB21)</f>
        <v>64464</v>
      </c>
      <c r="AC22" s="44">
        <f t="shared" si="0"/>
        <v>6581</v>
      </c>
      <c r="AD22" s="44">
        <f t="shared" si="0"/>
        <v>34275</v>
      </c>
      <c r="AE22" s="42">
        <f t="shared" si="0"/>
        <v>615</v>
      </c>
      <c r="AF22" s="46">
        <f>SUM(AF20:AF21)</f>
        <v>247</v>
      </c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48796</v>
      </c>
      <c r="E24" s="51">
        <f t="shared" si="1"/>
        <v>5864.9038461538457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1419</v>
      </c>
      <c r="O24" s="52">
        <f t="shared" si="1"/>
        <v>933.55263157894728</v>
      </c>
      <c r="P24" s="51">
        <f t="shared" si="1"/>
        <v>0</v>
      </c>
      <c r="Q24" s="51">
        <f t="shared" si="1"/>
        <v>0</v>
      </c>
      <c r="R24" s="51">
        <f t="shared" si="1"/>
        <v>91167</v>
      </c>
      <c r="S24" s="52">
        <f t="shared" si="1"/>
        <v>10600.813953488372</v>
      </c>
      <c r="T24" s="51" t="e">
        <f t="shared" si="1"/>
        <v>#REF!</v>
      </c>
      <c r="U24" s="51">
        <f t="shared" si="1"/>
        <v>48374</v>
      </c>
      <c r="V24" s="51" t="e">
        <f t="shared" si="1"/>
        <v>#REF!</v>
      </c>
      <c r="W24" s="52">
        <f t="shared" si="1"/>
        <v>63954.8</v>
      </c>
      <c r="X24" s="51">
        <f t="shared" si="1"/>
        <v>10160</v>
      </c>
      <c r="Y24" s="51">
        <f t="shared" si="1"/>
        <v>92</v>
      </c>
      <c r="Z24" s="51">
        <f t="shared" si="1"/>
        <v>1111</v>
      </c>
      <c r="AA24" s="51">
        <f t="shared" si="1"/>
        <v>31660</v>
      </c>
      <c r="AB24" s="51">
        <f t="shared" si="1"/>
        <v>64464</v>
      </c>
      <c r="AC24" s="51">
        <f t="shared" si="1"/>
        <v>6581</v>
      </c>
      <c r="AD24" s="51">
        <f t="shared" si="1"/>
        <v>34275</v>
      </c>
      <c r="AE24" s="51">
        <f t="shared" si="1"/>
        <v>615</v>
      </c>
      <c r="AF24" s="53">
        <f t="shared" si="1"/>
        <v>247</v>
      </c>
    </row>
    <row r="25" spans="1:34" ht="75.75" customHeight="1" x14ac:dyDescent="0.3">
      <c r="A25" s="158" t="s">
        <v>44</v>
      </c>
      <c r="B25" s="159"/>
      <c r="C25" s="160"/>
      <c r="D25" s="38">
        <v>0</v>
      </c>
      <c r="E25" s="32">
        <f>D25/208*25</f>
        <v>0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412</v>
      </c>
      <c r="O25" s="32">
        <f>N25/38*25</f>
        <v>271.0526315789474</v>
      </c>
      <c r="P25" s="38">
        <v>0</v>
      </c>
      <c r="Q25" s="32">
        <f>P25/135*25</f>
        <v>0</v>
      </c>
      <c r="R25" s="38">
        <v>158</v>
      </c>
      <c r="S25" s="32">
        <f>R25/215*25</f>
        <v>18.372093023255815</v>
      </c>
      <c r="T25" s="47" t="s">
        <v>40</v>
      </c>
      <c r="U25" s="54">
        <v>30</v>
      </c>
      <c r="V25" s="47"/>
      <c r="W25" s="55">
        <f>X25*2.43</f>
        <v>46.17</v>
      </c>
      <c r="X25" s="38">
        <v>19</v>
      </c>
      <c r="Y25" s="38">
        <v>3</v>
      </c>
      <c r="Z25" s="47">
        <v>0</v>
      </c>
      <c r="AA25" s="38">
        <f>451+54</f>
        <v>505</v>
      </c>
      <c r="AB25" s="47">
        <v>0</v>
      </c>
      <c r="AC25" s="47">
        <v>0</v>
      </c>
      <c r="AD25" s="47">
        <f>164</f>
        <v>164</v>
      </c>
      <c r="AE25" s="38">
        <v>0</v>
      </c>
      <c r="AF25" s="56">
        <v>0</v>
      </c>
    </row>
    <row r="26" spans="1:34" s="4" customFormat="1" ht="100.5" customHeight="1" thickBot="1" x14ac:dyDescent="0.25">
      <c r="A26" s="57">
        <v>44933</v>
      </c>
      <c r="B26" s="161" t="s">
        <v>45</v>
      </c>
      <c r="C26" s="162"/>
      <c r="D26" s="58">
        <f>D24-D25</f>
        <v>48796</v>
      </c>
      <c r="E26" s="59">
        <f t="shared" ref="E26:Y26" si="2">E24-E25</f>
        <v>5864.9038461538457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1007</v>
      </c>
      <c r="O26" s="59">
        <f t="shared" si="4"/>
        <v>662.49999999999989</v>
      </c>
      <c r="P26" s="58">
        <f>P24-P25</f>
        <v>0</v>
      </c>
      <c r="Q26" s="59">
        <f t="shared" ref="Q26" si="5">Q24-Q25</f>
        <v>0</v>
      </c>
      <c r="R26" s="58">
        <f>R24-R25</f>
        <v>91009</v>
      </c>
      <c r="S26" s="59">
        <f t="shared" si="2"/>
        <v>10582.441860465116</v>
      </c>
      <c r="T26" s="60" t="e">
        <f t="shared" si="2"/>
        <v>#REF!</v>
      </c>
      <c r="U26" s="60">
        <f t="shared" si="2"/>
        <v>48344</v>
      </c>
      <c r="V26" s="60" t="e">
        <f t="shared" si="2"/>
        <v>#REF!</v>
      </c>
      <c r="W26" s="61">
        <f>W24-W25</f>
        <v>63908.630000000005</v>
      </c>
      <c r="X26" s="58">
        <f>X24-X25</f>
        <v>10141</v>
      </c>
      <c r="Y26" s="58">
        <f t="shared" si="2"/>
        <v>89</v>
      </c>
      <c r="Z26" s="60">
        <f>Z24-Z25</f>
        <v>1111</v>
      </c>
      <c r="AA26" s="58">
        <f>AA24-AA25</f>
        <v>31155</v>
      </c>
      <c r="AB26" s="60">
        <f>AB24-AB25</f>
        <v>64464</v>
      </c>
      <c r="AC26" s="60">
        <f>AC24-AC25</f>
        <v>6581</v>
      </c>
      <c r="AD26" s="60">
        <f>AD24-AD25</f>
        <v>34111</v>
      </c>
      <c r="AE26" s="58">
        <f t="shared" ref="AE26" si="6">AE24-AE25</f>
        <v>615</v>
      </c>
      <c r="AF26" s="62">
        <f>AF24-AF25</f>
        <v>247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25" zoomScale="78" zoomScaleNormal="78" workbookViewId="0">
      <selection activeCell="A36" sqref="A36:A38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9.140625" style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65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44934</v>
      </c>
      <c r="B20" s="168" t="s">
        <v>37</v>
      </c>
      <c r="C20" s="30" t="s">
        <v>38</v>
      </c>
      <c r="D20" s="31">
        <v>44636</v>
      </c>
      <c r="E20" s="32">
        <f>D20/208*25</f>
        <v>5364.9038461538457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810</v>
      </c>
      <c r="O20" s="34">
        <f>N20/38*25</f>
        <v>532.8947368421052</v>
      </c>
      <c r="P20" s="33">
        <v>0</v>
      </c>
      <c r="Q20" s="34">
        <f>P20/135*25</f>
        <v>0</v>
      </c>
      <c r="R20" s="31">
        <v>79550</v>
      </c>
      <c r="S20" s="34">
        <f>R20/215*25</f>
        <v>9250</v>
      </c>
      <c r="T20" s="33" t="e">
        <f>#REF!</f>
        <v>#REF!</v>
      </c>
      <c r="U20" s="33">
        <v>46723</v>
      </c>
      <c r="V20" s="33" t="e">
        <f>#REF!</f>
        <v>#REF!</v>
      </c>
      <c r="W20" s="35">
        <v>61126.87</v>
      </c>
      <c r="X20" s="31">
        <v>8947</v>
      </c>
      <c r="Y20" s="31">
        <v>70</v>
      </c>
      <c r="Z20" s="33">
        <v>743</v>
      </c>
      <c r="AA20" s="31">
        <v>23508</v>
      </c>
      <c r="AB20" s="33">
        <f>61271+30</f>
        <v>61301</v>
      </c>
      <c r="AC20" s="33">
        <v>6221</v>
      </c>
      <c r="AD20" s="33">
        <v>30991</v>
      </c>
      <c r="AE20" s="31">
        <v>465</v>
      </c>
      <c r="AF20" s="36">
        <v>212</v>
      </c>
    </row>
    <row r="21" spans="1:34" ht="45" customHeight="1" x14ac:dyDescent="0.3">
      <c r="A21" s="166"/>
      <c r="B21" s="169"/>
      <c r="C21" s="37" t="s">
        <v>39</v>
      </c>
      <c r="D21" s="38">
        <v>4160</v>
      </c>
      <c r="E21" s="32">
        <f>D21/208*25</f>
        <v>500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197</v>
      </c>
      <c r="O21" s="32">
        <f>N21/38*25</f>
        <v>129.60526315789474</v>
      </c>
      <c r="P21" s="38">
        <v>0</v>
      </c>
      <c r="Q21" s="32">
        <f>P21/135*25</f>
        <v>0</v>
      </c>
      <c r="R21" s="38">
        <v>11459</v>
      </c>
      <c r="S21" s="32">
        <f>R21/215*25</f>
        <v>1332.4418604651162</v>
      </c>
      <c r="T21" s="34"/>
      <c r="U21" s="34">
        <v>1621</v>
      </c>
      <c r="V21" s="34">
        <v>0</v>
      </c>
      <c r="W21" s="32">
        <v>2781.76</v>
      </c>
      <c r="X21" s="38">
        <v>1194</v>
      </c>
      <c r="Y21" s="38">
        <v>19</v>
      </c>
      <c r="Z21" s="34">
        <v>368</v>
      </c>
      <c r="AA21" s="38">
        <v>7647</v>
      </c>
      <c r="AB21" s="34">
        <v>3163</v>
      </c>
      <c r="AC21" s="34">
        <v>360</v>
      </c>
      <c r="AD21" s="34">
        <v>3120</v>
      </c>
      <c r="AE21" s="38">
        <v>150</v>
      </c>
      <c r="AF21" s="39">
        <v>35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48796</v>
      </c>
      <c r="E22" s="43">
        <f>SUM(E20:E21)</f>
        <v>5864.9038461538457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1007</v>
      </c>
      <c r="O22" s="43">
        <f t="shared" si="0"/>
        <v>662.5</v>
      </c>
      <c r="P22" s="42">
        <f t="shared" si="0"/>
        <v>0</v>
      </c>
      <c r="Q22" s="43">
        <f t="shared" si="0"/>
        <v>0</v>
      </c>
      <c r="R22" s="42">
        <f t="shared" si="0"/>
        <v>91009</v>
      </c>
      <c r="S22" s="43">
        <f t="shared" si="0"/>
        <v>10582.441860465116</v>
      </c>
      <c r="T22" s="44" t="e">
        <f t="shared" si="0"/>
        <v>#REF!</v>
      </c>
      <c r="U22" s="44">
        <f t="shared" si="0"/>
        <v>48344</v>
      </c>
      <c r="V22" s="44" t="e">
        <f t="shared" si="0"/>
        <v>#REF!</v>
      </c>
      <c r="W22" s="43">
        <f>SUM(W20:W21)</f>
        <v>63908.630000000005</v>
      </c>
      <c r="X22" s="42">
        <f t="shared" si="0"/>
        <v>10141</v>
      </c>
      <c r="Y22" s="42">
        <f>SUM(Y20:Y21)</f>
        <v>89</v>
      </c>
      <c r="Z22" s="44">
        <f t="shared" si="0"/>
        <v>1111</v>
      </c>
      <c r="AA22" s="42">
        <f>SUM(AA20:AA21)</f>
        <v>31155</v>
      </c>
      <c r="AB22" s="44">
        <f>SUM(AB20:AB21)</f>
        <v>64464</v>
      </c>
      <c r="AC22" s="44">
        <f t="shared" si="0"/>
        <v>6581</v>
      </c>
      <c r="AD22" s="44">
        <f t="shared" si="0"/>
        <v>34111</v>
      </c>
      <c r="AE22" s="42">
        <f t="shared" si="0"/>
        <v>615</v>
      </c>
      <c r="AF22" s="46">
        <f>SUM(AF20:AF21)</f>
        <v>247</v>
      </c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48796</v>
      </c>
      <c r="E24" s="51">
        <f t="shared" si="1"/>
        <v>5864.9038461538457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1007</v>
      </c>
      <c r="O24" s="52">
        <f t="shared" si="1"/>
        <v>662.5</v>
      </c>
      <c r="P24" s="51">
        <f t="shared" si="1"/>
        <v>0</v>
      </c>
      <c r="Q24" s="51">
        <f t="shared" si="1"/>
        <v>0</v>
      </c>
      <c r="R24" s="51">
        <f t="shared" si="1"/>
        <v>91009</v>
      </c>
      <c r="S24" s="52">
        <f t="shared" si="1"/>
        <v>10582.441860465116</v>
      </c>
      <c r="T24" s="51" t="e">
        <f t="shared" si="1"/>
        <v>#REF!</v>
      </c>
      <c r="U24" s="51">
        <f t="shared" si="1"/>
        <v>48344</v>
      </c>
      <c r="V24" s="51" t="e">
        <f t="shared" si="1"/>
        <v>#REF!</v>
      </c>
      <c r="W24" s="52">
        <f t="shared" si="1"/>
        <v>63908.630000000005</v>
      </c>
      <c r="X24" s="51">
        <f t="shared" si="1"/>
        <v>10141</v>
      </c>
      <c r="Y24" s="51">
        <f t="shared" si="1"/>
        <v>89</v>
      </c>
      <c r="Z24" s="51">
        <f t="shared" si="1"/>
        <v>1111</v>
      </c>
      <c r="AA24" s="51">
        <f t="shared" si="1"/>
        <v>31155</v>
      </c>
      <c r="AB24" s="51">
        <f t="shared" si="1"/>
        <v>64464</v>
      </c>
      <c r="AC24" s="51">
        <f t="shared" si="1"/>
        <v>6581</v>
      </c>
      <c r="AD24" s="51">
        <f t="shared" si="1"/>
        <v>34111</v>
      </c>
      <c r="AE24" s="51">
        <f t="shared" si="1"/>
        <v>615</v>
      </c>
      <c r="AF24" s="53">
        <f t="shared" si="1"/>
        <v>247</v>
      </c>
    </row>
    <row r="25" spans="1:34" ht="75.75" customHeight="1" x14ac:dyDescent="0.3">
      <c r="A25" s="158" t="s">
        <v>44</v>
      </c>
      <c r="B25" s="159"/>
      <c r="C25" s="160"/>
      <c r="D25" s="38">
        <v>4442</v>
      </c>
      <c r="E25" s="32">
        <f>D25/208*25</f>
        <v>533.89423076923072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32</v>
      </c>
      <c r="O25" s="32">
        <f>N25/38*25</f>
        <v>21.052631578947366</v>
      </c>
      <c r="P25" s="38">
        <v>0</v>
      </c>
      <c r="Q25" s="32">
        <f>P25/135*25</f>
        <v>0</v>
      </c>
      <c r="R25" s="38">
        <v>8943</v>
      </c>
      <c r="S25" s="32">
        <f>R25/215*25</f>
        <v>1039.8837209302326</v>
      </c>
      <c r="T25" s="47" t="s">
        <v>40</v>
      </c>
      <c r="U25" s="54">
        <v>4558</v>
      </c>
      <c r="V25" s="47"/>
      <c r="W25" s="55">
        <f>X25*2.43</f>
        <v>2823.6600000000003</v>
      </c>
      <c r="X25" s="38">
        <v>1162</v>
      </c>
      <c r="Y25" s="38">
        <v>2</v>
      </c>
      <c r="Z25" s="47">
        <v>0</v>
      </c>
      <c r="AA25" s="38">
        <v>4906</v>
      </c>
      <c r="AB25" s="47">
        <v>1810</v>
      </c>
      <c r="AC25" s="47">
        <v>168</v>
      </c>
      <c r="AD25" s="47">
        <v>3053</v>
      </c>
      <c r="AE25" s="38">
        <v>0</v>
      </c>
      <c r="AF25" s="56">
        <v>4</v>
      </c>
    </row>
    <row r="26" spans="1:34" s="4" customFormat="1" ht="100.5" customHeight="1" thickBot="1" x14ac:dyDescent="0.25">
      <c r="A26" s="57">
        <v>44940</v>
      </c>
      <c r="B26" s="161" t="s">
        <v>45</v>
      </c>
      <c r="C26" s="162"/>
      <c r="D26" s="58">
        <f>D24-D25</f>
        <v>44354</v>
      </c>
      <c r="E26" s="59">
        <f t="shared" ref="E26:Y26" si="2">E24-E25</f>
        <v>5331.0096153846152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975</v>
      </c>
      <c r="O26" s="59">
        <f t="shared" si="4"/>
        <v>641.4473684210526</v>
      </c>
      <c r="P26" s="58">
        <f>P24-P25</f>
        <v>0</v>
      </c>
      <c r="Q26" s="59">
        <f t="shared" ref="Q26" si="5">Q24-Q25</f>
        <v>0</v>
      </c>
      <c r="R26" s="58">
        <f>R24-R25</f>
        <v>82066</v>
      </c>
      <c r="S26" s="59">
        <f t="shared" si="2"/>
        <v>9542.5581395348836</v>
      </c>
      <c r="T26" s="60" t="e">
        <f t="shared" si="2"/>
        <v>#REF!</v>
      </c>
      <c r="U26" s="60">
        <f t="shared" si="2"/>
        <v>43786</v>
      </c>
      <c r="V26" s="60" t="e">
        <f t="shared" si="2"/>
        <v>#REF!</v>
      </c>
      <c r="W26" s="61">
        <f>W24-W25</f>
        <v>61084.97</v>
      </c>
      <c r="X26" s="58">
        <f>X24-X25</f>
        <v>8979</v>
      </c>
      <c r="Y26" s="58">
        <f t="shared" si="2"/>
        <v>87</v>
      </c>
      <c r="Z26" s="60">
        <f>Z24-Z25</f>
        <v>1111</v>
      </c>
      <c r="AA26" s="58">
        <f>AA24-AA25</f>
        <v>26249</v>
      </c>
      <c r="AB26" s="60">
        <f>AB24-AB25</f>
        <v>62654</v>
      </c>
      <c r="AC26" s="60">
        <f>AC24-AC25</f>
        <v>6413</v>
      </c>
      <c r="AD26" s="60">
        <f>AD24-AD25</f>
        <v>31058</v>
      </c>
      <c r="AE26" s="58">
        <f t="shared" ref="AE26" si="6">AE24-AE25</f>
        <v>615</v>
      </c>
      <c r="AF26" s="62">
        <f>AF24-AF25</f>
        <v>243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22" zoomScale="78" zoomScaleNormal="78" workbookViewId="0">
      <selection activeCell="R23" sqref="R23:AF23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9.140625" style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69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44941</v>
      </c>
      <c r="B20" s="168" t="s">
        <v>37</v>
      </c>
      <c r="C20" s="30" t="s">
        <v>38</v>
      </c>
      <c r="D20" s="31">
        <v>37356</v>
      </c>
      <c r="E20" s="32">
        <f>D20/208*25</f>
        <v>4489.9038461538457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810</v>
      </c>
      <c r="O20" s="34">
        <f>N20/38*25</f>
        <v>532.8947368421052</v>
      </c>
      <c r="P20" s="33">
        <v>0</v>
      </c>
      <c r="Q20" s="34">
        <f>P20/135*25</f>
        <v>0</v>
      </c>
      <c r="R20" s="31">
        <v>63425</v>
      </c>
      <c r="S20" s="34">
        <f>R20/215*25</f>
        <v>7375</v>
      </c>
      <c r="T20" s="33" t="e">
        <f>#REF!</f>
        <v>#REF!</v>
      </c>
      <c r="U20" s="33">
        <v>32973</v>
      </c>
      <c r="V20" s="33" t="e">
        <f>#REF!</f>
        <v>#REF!</v>
      </c>
      <c r="W20" s="35">
        <v>55051.87</v>
      </c>
      <c r="X20" s="31">
        <v>6447</v>
      </c>
      <c r="Y20" s="31">
        <v>70</v>
      </c>
      <c r="Z20" s="33">
        <v>743</v>
      </c>
      <c r="AA20" s="31">
        <v>20853</v>
      </c>
      <c r="AB20" s="33">
        <v>60217</v>
      </c>
      <c r="AC20" s="33">
        <v>6221</v>
      </c>
      <c r="AD20" s="33">
        <v>27191</v>
      </c>
      <c r="AE20" s="31">
        <v>465</v>
      </c>
      <c r="AF20" s="36">
        <v>212</v>
      </c>
    </row>
    <row r="21" spans="1:34" ht="45" customHeight="1" x14ac:dyDescent="0.3">
      <c r="A21" s="166"/>
      <c r="B21" s="169"/>
      <c r="C21" s="37" t="s">
        <v>39</v>
      </c>
      <c r="D21" s="38">
        <v>6998</v>
      </c>
      <c r="E21" s="32">
        <f>D21/208*25</f>
        <v>841.10576923076917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165</v>
      </c>
      <c r="O21" s="32">
        <f>N21/38*25</f>
        <v>108.55263157894737</v>
      </c>
      <c r="P21" s="38">
        <v>0</v>
      </c>
      <c r="Q21" s="32">
        <f>P21/135*25</f>
        <v>0</v>
      </c>
      <c r="R21" s="38">
        <v>18641</v>
      </c>
      <c r="S21" s="32">
        <f>R21/215*25</f>
        <v>2167.5581395348836</v>
      </c>
      <c r="T21" s="34"/>
      <c r="U21" s="34">
        <v>10813</v>
      </c>
      <c r="V21" s="34">
        <v>0</v>
      </c>
      <c r="W21" s="32">
        <v>6033.0999999999904</v>
      </c>
      <c r="X21" s="38">
        <v>2532</v>
      </c>
      <c r="Y21" s="38">
        <v>17</v>
      </c>
      <c r="Z21" s="34">
        <v>368</v>
      </c>
      <c r="AA21" s="38">
        <v>5396</v>
      </c>
      <c r="AB21" s="34">
        <v>2437</v>
      </c>
      <c r="AC21" s="34">
        <v>192</v>
      </c>
      <c r="AD21" s="34">
        <v>3867</v>
      </c>
      <c r="AE21" s="38">
        <v>150</v>
      </c>
      <c r="AF21" s="39">
        <v>31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44354</v>
      </c>
      <c r="E22" s="43">
        <f>SUM(E20:E21)</f>
        <v>5331.0096153846152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975</v>
      </c>
      <c r="O22" s="43">
        <f t="shared" si="0"/>
        <v>641.4473684210526</v>
      </c>
      <c r="P22" s="42">
        <f t="shared" si="0"/>
        <v>0</v>
      </c>
      <c r="Q22" s="43">
        <f t="shared" si="0"/>
        <v>0</v>
      </c>
      <c r="R22" s="42">
        <f t="shared" si="0"/>
        <v>82066</v>
      </c>
      <c r="S22" s="43">
        <f t="shared" si="0"/>
        <v>9542.5581395348836</v>
      </c>
      <c r="T22" s="44" t="e">
        <f t="shared" si="0"/>
        <v>#REF!</v>
      </c>
      <c r="U22" s="44">
        <f t="shared" si="0"/>
        <v>43786</v>
      </c>
      <c r="V22" s="44" t="e">
        <f t="shared" si="0"/>
        <v>#REF!</v>
      </c>
      <c r="W22" s="43">
        <f>SUM(W20:W21)</f>
        <v>61084.969999999994</v>
      </c>
      <c r="X22" s="42">
        <f t="shared" si="0"/>
        <v>8979</v>
      </c>
      <c r="Y22" s="42">
        <f>SUM(Y20:Y21)</f>
        <v>87</v>
      </c>
      <c r="Z22" s="44">
        <f t="shared" si="0"/>
        <v>1111</v>
      </c>
      <c r="AA22" s="42">
        <f>SUM(AA20:AA21)</f>
        <v>26249</v>
      </c>
      <c r="AB22" s="44">
        <f>SUM(AB20:AB21)</f>
        <v>62654</v>
      </c>
      <c r="AC22" s="44">
        <f t="shared" si="0"/>
        <v>6413</v>
      </c>
      <c r="AD22" s="44">
        <f t="shared" si="0"/>
        <v>31058</v>
      </c>
      <c r="AE22" s="42">
        <f t="shared" si="0"/>
        <v>615</v>
      </c>
      <c r="AF22" s="46">
        <f>SUM(AF20:AF21)</f>
        <v>243</v>
      </c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>
        <f>200*215</f>
        <v>43000</v>
      </c>
      <c r="S23" s="32">
        <f>R23/215*25</f>
        <v>5000</v>
      </c>
      <c r="T23" s="31"/>
      <c r="U23" s="31">
        <f>532*25</f>
        <v>13300</v>
      </c>
      <c r="V23" s="31"/>
      <c r="W23" s="31"/>
      <c r="X23" s="31">
        <v>3000</v>
      </c>
      <c r="Y23" s="31"/>
      <c r="Z23" s="31">
        <v>0</v>
      </c>
      <c r="AA23" s="31">
        <v>15500</v>
      </c>
      <c r="AB23" s="31">
        <v>14400</v>
      </c>
      <c r="AC23" s="31">
        <v>1000</v>
      </c>
      <c r="AD23" s="48">
        <v>8500</v>
      </c>
      <c r="AE23" s="31">
        <v>0</v>
      </c>
      <c r="AF23" s="49">
        <v>0</v>
      </c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44354</v>
      </c>
      <c r="E24" s="51">
        <f t="shared" si="1"/>
        <v>5331.0096153846152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975</v>
      </c>
      <c r="O24" s="52">
        <f t="shared" si="1"/>
        <v>641.4473684210526</v>
      </c>
      <c r="P24" s="51">
        <f t="shared" si="1"/>
        <v>0</v>
      </c>
      <c r="Q24" s="51">
        <f t="shared" si="1"/>
        <v>0</v>
      </c>
      <c r="R24" s="51">
        <f t="shared" si="1"/>
        <v>125066</v>
      </c>
      <c r="S24" s="52">
        <f t="shared" si="1"/>
        <v>14542.558139534884</v>
      </c>
      <c r="T24" s="51" t="e">
        <f t="shared" si="1"/>
        <v>#REF!</v>
      </c>
      <c r="U24" s="51">
        <f t="shared" si="1"/>
        <v>57086</v>
      </c>
      <c r="V24" s="51" t="e">
        <f t="shared" si="1"/>
        <v>#REF!</v>
      </c>
      <c r="W24" s="52">
        <f t="shared" si="1"/>
        <v>61084.969999999994</v>
      </c>
      <c r="X24" s="51">
        <f t="shared" si="1"/>
        <v>11979</v>
      </c>
      <c r="Y24" s="51">
        <f t="shared" si="1"/>
        <v>87</v>
      </c>
      <c r="Z24" s="51">
        <f t="shared" si="1"/>
        <v>1111</v>
      </c>
      <c r="AA24" s="51">
        <f t="shared" si="1"/>
        <v>41749</v>
      </c>
      <c r="AB24" s="51">
        <f t="shared" si="1"/>
        <v>77054</v>
      </c>
      <c r="AC24" s="51">
        <f t="shared" si="1"/>
        <v>7413</v>
      </c>
      <c r="AD24" s="51">
        <f t="shared" si="1"/>
        <v>39558</v>
      </c>
      <c r="AE24" s="51">
        <f t="shared" si="1"/>
        <v>615</v>
      </c>
      <c r="AF24" s="53">
        <f t="shared" si="1"/>
        <v>243</v>
      </c>
    </row>
    <row r="25" spans="1:34" ht="75.75" customHeight="1" x14ac:dyDescent="0.3">
      <c r="A25" s="158" t="s">
        <v>44</v>
      </c>
      <c r="B25" s="159"/>
      <c r="C25" s="160"/>
      <c r="D25" s="38">
        <v>6883</v>
      </c>
      <c r="E25" s="32">
        <f>D25/208*25</f>
        <v>827.28365384615381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24</v>
      </c>
      <c r="O25" s="32">
        <f>N25/38*25</f>
        <v>15.789473684210526</v>
      </c>
      <c r="P25" s="38">
        <v>0</v>
      </c>
      <c r="Q25" s="32">
        <f>P25/135*25</f>
        <v>0</v>
      </c>
      <c r="R25" s="38">
        <v>12455</v>
      </c>
      <c r="S25" s="32">
        <f>R25/215*25</f>
        <v>1448.2558139534883</v>
      </c>
      <c r="T25" s="47" t="s">
        <v>40</v>
      </c>
      <c r="U25" s="54">
        <v>6782</v>
      </c>
      <c r="V25" s="47"/>
      <c r="W25" s="55">
        <f>X25*2.43</f>
        <v>4014.36</v>
      </c>
      <c r="X25" s="38">
        <v>1652</v>
      </c>
      <c r="Y25" s="38">
        <v>0</v>
      </c>
      <c r="Z25" s="47">
        <v>0</v>
      </c>
      <c r="AA25" s="38">
        <f>463+5996</f>
        <v>6459</v>
      </c>
      <c r="AB25" s="47">
        <v>2855</v>
      </c>
      <c r="AC25" s="47">
        <v>815</v>
      </c>
      <c r="AD25" s="47">
        <f>2602+1788</f>
        <v>4390</v>
      </c>
      <c r="AE25" s="38">
        <v>0</v>
      </c>
      <c r="AF25" s="56">
        <v>0</v>
      </c>
    </row>
    <row r="26" spans="1:34" s="4" customFormat="1" ht="100.5" customHeight="1" thickBot="1" x14ac:dyDescent="0.25">
      <c r="A26" s="57">
        <v>44947</v>
      </c>
      <c r="B26" s="161" t="s">
        <v>45</v>
      </c>
      <c r="C26" s="162"/>
      <c r="D26" s="58">
        <f>D24-D25</f>
        <v>37471</v>
      </c>
      <c r="E26" s="59">
        <f t="shared" ref="E26:Y26" si="2">E24-E25</f>
        <v>4503.725961538461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951</v>
      </c>
      <c r="O26" s="59">
        <f t="shared" si="4"/>
        <v>625.65789473684208</v>
      </c>
      <c r="P26" s="58">
        <f>P24-P25</f>
        <v>0</v>
      </c>
      <c r="Q26" s="59">
        <f t="shared" ref="Q26" si="5">Q24-Q25</f>
        <v>0</v>
      </c>
      <c r="R26" s="58">
        <f>R24-R25</f>
        <v>112611</v>
      </c>
      <c r="S26" s="59">
        <f t="shared" si="2"/>
        <v>13094.302325581395</v>
      </c>
      <c r="T26" s="60" t="e">
        <f t="shared" si="2"/>
        <v>#REF!</v>
      </c>
      <c r="U26" s="60">
        <f t="shared" si="2"/>
        <v>50304</v>
      </c>
      <c r="V26" s="60" t="e">
        <f t="shared" si="2"/>
        <v>#REF!</v>
      </c>
      <c r="W26" s="61">
        <f>W24-W25</f>
        <v>57070.609999999993</v>
      </c>
      <c r="X26" s="58">
        <f>X24-X25</f>
        <v>10327</v>
      </c>
      <c r="Y26" s="58">
        <f t="shared" si="2"/>
        <v>87</v>
      </c>
      <c r="Z26" s="60">
        <f>Z24-Z25</f>
        <v>1111</v>
      </c>
      <c r="AA26" s="58">
        <f>AA24-AA25</f>
        <v>35290</v>
      </c>
      <c r="AB26" s="60">
        <f>AB24-AB25</f>
        <v>74199</v>
      </c>
      <c r="AC26" s="60">
        <f>AC24-AC25</f>
        <v>6598</v>
      </c>
      <c r="AD26" s="60">
        <f>AD24-AD25</f>
        <v>35168</v>
      </c>
      <c r="AE26" s="58">
        <f t="shared" ref="AE26" si="6">AE24-AE25</f>
        <v>615</v>
      </c>
      <c r="AF26" s="62">
        <f>AF24-AF25</f>
        <v>243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52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56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  <mergeCell ref="J17:K17"/>
    <mergeCell ref="L17:M17"/>
    <mergeCell ref="N17:O17"/>
    <mergeCell ref="P17:Q17"/>
    <mergeCell ref="R17:S17"/>
    <mergeCell ref="J16:K16"/>
    <mergeCell ref="L16:M16"/>
    <mergeCell ref="N16:O16"/>
    <mergeCell ref="P16:Q16"/>
    <mergeCell ref="R16:S16"/>
    <mergeCell ref="D16:E16"/>
    <mergeCell ref="F16:G16"/>
    <mergeCell ref="H16:I16"/>
    <mergeCell ref="D17:E17"/>
    <mergeCell ref="F17:G17"/>
    <mergeCell ref="H17:I17"/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25" zoomScale="78" zoomScaleNormal="78" workbookViewId="0">
      <selection activeCell="E25" sqref="E25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9.140625" style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44948</v>
      </c>
      <c r="B20" s="168" t="s">
        <v>37</v>
      </c>
      <c r="C20" s="30" t="s">
        <v>38</v>
      </c>
      <c r="D20" s="31">
        <v>22796</v>
      </c>
      <c r="E20" s="32">
        <f>D20/208*25</f>
        <v>2739.9038461538462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810</v>
      </c>
      <c r="O20" s="34">
        <f>N20/38*25</f>
        <v>532.8947368421052</v>
      </c>
      <c r="P20" s="33">
        <v>0</v>
      </c>
      <c r="Q20" s="34">
        <f>P20/135*25</f>
        <v>0</v>
      </c>
      <c r="R20" s="31">
        <v>97825</v>
      </c>
      <c r="S20" s="34">
        <f>R20/215*25</f>
        <v>11375</v>
      </c>
      <c r="T20" s="33" t="e">
        <f>#REF!</f>
        <v>#REF!</v>
      </c>
      <c r="U20" s="33">
        <v>37648</v>
      </c>
      <c r="V20" s="33" t="e">
        <f>#REF!</f>
        <v>#REF!</v>
      </c>
      <c r="W20" s="35">
        <v>49948.87</v>
      </c>
      <c r="X20" s="31">
        <v>7347</v>
      </c>
      <c r="Y20" s="31">
        <v>0</v>
      </c>
      <c r="Z20" s="33">
        <v>743</v>
      </c>
      <c r="AA20" s="31">
        <v>27853</v>
      </c>
      <c r="AB20" s="33">
        <v>69937</v>
      </c>
      <c r="AC20" s="33">
        <v>4721</v>
      </c>
      <c r="AD20" s="33">
        <v>25891</v>
      </c>
      <c r="AE20" s="31">
        <v>465</v>
      </c>
      <c r="AF20" s="36">
        <v>212</v>
      </c>
    </row>
    <row r="21" spans="1:34" ht="45" customHeight="1" x14ac:dyDescent="0.3">
      <c r="A21" s="166"/>
      <c r="B21" s="169"/>
      <c r="C21" s="37" t="s">
        <v>39</v>
      </c>
      <c r="D21" s="38">
        <v>14675</v>
      </c>
      <c r="E21" s="32">
        <f>D21/208*25</f>
        <v>1763.8221153846152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141</v>
      </c>
      <c r="O21" s="32">
        <f>N21/38*25</f>
        <v>92.76315789473685</v>
      </c>
      <c r="P21" s="38">
        <v>0</v>
      </c>
      <c r="Q21" s="32">
        <f>P21/135*25</f>
        <v>0</v>
      </c>
      <c r="R21" s="38">
        <v>14786</v>
      </c>
      <c r="S21" s="32">
        <f>R21/215*25</f>
        <v>1719.3023255813955</v>
      </c>
      <c r="T21" s="34"/>
      <c r="U21" s="34">
        <v>12656</v>
      </c>
      <c r="V21" s="34">
        <v>0</v>
      </c>
      <c r="W21" s="32">
        <v>7121.7399999999898</v>
      </c>
      <c r="X21" s="38">
        <v>2980</v>
      </c>
      <c r="Y21" s="38">
        <v>87</v>
      </c>
      <c r="Z21" s="34">
        <v>368</v>
      </c>
      <c r="AA21" s="38">
        <v>7437</v>
      </c>
      <c r="AB21" s="34">
        <v>4262</v>
      </c>
      <c r="AC21" s="34">
        <v>1877</v>
      </c>
      <c r="AD21" s="34">
        <v>9277</v>
      </c>
      <c r="AE21" s="38">
        <v>150</v>
      </c>
      <c r="AF21" s="39">
        <v>31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37471</v>
      </c>
      <c r="E22" s="43">
        <f>SUM(E20:E21)</f>
        <v>4503.725961538461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951</v>
      </c>
      <c r="O22" s="43">
        <f t="shared" si="0"/>
        <v>625.65789473684208</v>
      </c>
      <c r="P22" s="42">
        <f t="shared" si="0"/>
        <v>0</v>
      </c>
      <c r="Q22" s="43">
        <f t="shared" si="0"/>
        <v>0</v>
      </c>
      <c r="R22" s="42">
        <f t="shared" si="0"/>
        <v>112611</v>
      </c>
      <c r="S22" s="43">
        <f t="shared" si="0"/>
        <v>13094.302325581395</v>
      </c>
      <c r="T22" s="44" t="e">
        <f t="shared" si="0"/>
        <v>#REF!</v>
      </c>
      <c r="U22" s="44">
        <f t="shared" si="0"/>
        <v>50304</v>
      </c>
      <c r="V22" s="44" t="e">
        <f t="shared" si="0"/>
        <v>#REF!</v>
      </c>
      <c r="W22" s="43">
        <f>SUM(W20:W21)</f>
        <v>57070.609999999993</v>
      </c>
      <c r="X22" s="42">
        <f t="shared" si="0"/>
        <v>10327</v>
      </c>
      <c r="Y22" s="42">
        <f>SUM(Y20:Y21)</f>
        <v>87</v>
      </c>
      <c r="Z22" s="44">
        <f t="shared" si="0"/>
        <v>1111</v>
      </c>
      <c r="AA22" s="42">
        <f>SUM(AA20:AA21)</f>
        <v>35290</v>
      </c>
      <c r="AB22" s="44">
        <f>SUM(AB20:AB21)</f>
        <v>74199</v>
      </c>
      <c r="AC22" s="44">
        <f t="shared" si="0"/>
        <v>6598</v>
      </c>
      <c r="AD22" s="44">
        <f t="shared" si="0"/>
        <v>35168</v>
      </c>
      <c r="AE22" s="42">
        <f t="shared" si="0"/>
        <v>615</v>
      </c>
      <c r="AF22" s="46">
        <f>SUM(AF20:AF21)</f>
        <v>243</v>
      </c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37471</v>
      </c>
      <c r="E24" s="51">
        <f t="shared" si="1"/>
        <v>4503.725961538461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951</v>
      </c>
      <c r="O24" s="52">
        <f t="shared" si="1"/>
        <v>625.65789473684208</v>
      </c>
      <c r="P24" s="51">
        <f t="shared" si="1"/>
        <v>0</v>
      </c>
      <c r="Q24" s="51">
        <f t="shared" si="1"/>
        <v>0</v>
      </c>
      <c r="R24" s="51">
        <f t="shared" si="1"/>
        <v>112611</v>
      </c>
      <c r="S24" s="52">
        <f t="shared" si="1"/>
        <v>13094.302325581395</v>
      </c>
      <c r="T24" s="51" t="e">
        <f t="shared" si="1"/>
        <v>#REF!</v>
      </c>
      <c r="U24" s="51">
        <f t="shared" si="1"/>
        <v>50304</v>
      </c>
      <c r="V24" s="51" t="e">
        <f t="shared" si="1"/>
        <v>#REF!</v>
      </c>
      <c r="W24" s="52">
        <f t="shared" si="1"/>
        <v>57070.609999999993</v>
      </c>
      <c r="X24" s="51">
        <f t="shared" si="1"/>
        <v>10327</v>
      </c>
      <c r="Y24" s="51">
        <f t="shared" si="1"/>
        <v>87</v>
      </c>
      <c r="Z24" s="51">
        <f t="shared" si="1"/>
        <v>1111</v>
      </c>
      <c r="AA24" s="51">
        <f t="shared" si="1"/>
        <v>35290</v>
      </c>
      <c r="AB24" s="51">
        <f t="shared" si="1"/>
        <v>74199</v>
      </c>
      <c r="AC24" s="51">
        <f t="shared" si="1"/>
        <v>6598</v>
      </c>
      <c r="AD24" s="51">
        <f t="shared" si="1"/>
        <v>35168</v>
      </c>
      <c r="AE24" s="51">
        <f t="shared" si="1"/>
        <v>615</v>
      </c>
      <c r="AF24" s="53">
        <f t="shared" si="1"/>
        <v>243</v>
      </c>
    </row>
    <row r="25" spans="1:34" ht="75.75" customHeight="1" x14ac:dyDescent="0.3">
      <c r="A25" s="158" t="s">
        <v>44</v>
      </c>
      <c r="B25" s="159"/>
      <c r="C25" s="160"/>
      <c r="D25" s="38">
        <v>9830</v>
      </c>
      <c r="E25" s="32">
        <f>D25/208*25</f>
        <v>1181.4903846153848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5</v>
      </c>
      <c r="O25" s="32">
        <f>N25/38*25</f>
        <v>3.2894736842105261</v>
      </c>
      <c r="P25" s="38">
        <v>0</v>
      </c>
      <c r="Q25" s="32">
        <f>P25/135*25</f>
        <v>0</v>
      </c>
      <c r="R25" s="38">
        <v>12246</v>
      </c>
      <c r="S25" s="32">
        <f>R25/215*25</f>
        <v>1423.953488372093</v>
      </c>
      <c r="T25" s="47" t="s">
        <v>40</v>
      </c>
      <c r="U25" s="54">
        <v>7721</v>
      </c>
      <c r="V25" s="47"/>
      <c r="W25" s="55">
        <f>X25*2.43</f>
        <v>4155.3</v>
      </c>
      <c r="X25" s="38">
        <v>1710</v>
      </c>
      <c r="Y25" s="38">
        <v>0</v>
      </c>
      <c r="Z25" s="47">
        <v>0</v>
      </c>
      <c r="AA25" s="38">
        <f>6651+728</f>
        <v>7379</v>
      </c>
      <c r="AB25" s="47">
        <v>3295</v>
      </c>
      <c r="AC25" s="47">
        <v>731</v>
      </c>
      <c r="AD25" s="47">
        <f>3540+1415</f>
        <v>4955</v>
      </c>
      <c r="AE25" s="38">
        <v>0</v>
      </c>
      <c r="AF25" s="56">
        <v>2</v>
      </c>
    </row>
    <row r="26" spans="1:34" s="4" customFormat="1" ht="100.5" customHeight="1" thickBot="1" x14ac:dyDescent="0.25">
      <c r="A26" s="57">
        <v>44954</v>
      </c>
      <c r="B26" s="161" t="s">
        <v>45</v>
      </c>
      <c r="C26" s="162"/>
      <c r="D26" s="58">
        <f>D24-D25</f>
        <v>27641</v>
      </c>
      <c r="E26" s="59">
        <f t="shared" ref="E26:Y26" si="2">E24-E25</f>
        <v>3322.2355769230762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946</v>
      </c>
      <c r="O26" s="59">
        <f t="shared" si="4"/>
        <v>622.36842105263156</v>
      </c>
      <c r="P26" s="58">
        <f>P24-P25</f>
        <v>0</v>
      </c>
      <c r="Q26" s="59">
        <f t="shared" ref="Q26" si="5">Q24-Q25</f>
        <v>0</v>
      </c>
      <c r="R26" s="58">
        <f>R24-R25</f>
        <v>100365</v>
      </c>
      <c r="S26" s="59">
        <f t="shared" si="2"/>
        <v>11670.348837209302</v>
      </c>
      <c r="T26" s="60" t="e">
        <f t="shared" si="2"/>
        <v>#REF!</v>
      </c>
      <c r="U26" s="60">
        <f t="shared" si="2"/>
        <v>42583</v>
      </c>
      <c r="V26" s="60" t="e">
        <f t="shared" si="2"/>
        <v>#REF!</v>
      </c>
      <c r="W26" s="61">
        <f>W24-W25</f>
        <v>52915.30999999999</v>
      </c>
      <c r="X26" s="58">
        <f>X24-X25</f>
        <v>8617</v>
      </c>
      <c r="Y26" s="58">
        <f t="shared" si="2"/>
        <v>87</v>
      </c>
      <c r="Z26" s="60">
        <f>Z24-Z25</f>
        <v>1111</v>
      </c>
      <c r="AA26" s="58">
        <f>AA24-AA25</f>
        <v>27911</v>
      </c>
      <c r="AB26" s="60">
        <f>AB24-AB25</f>
        <v>70904</v>
      </c>
      <c r="AC26" s="60">
        <f>AC24-AC25</f>
        <v>5867</v>
      </c>
      <c r="AD26" s="60">
        <f>AD24-AD25</f>
        <v>30213</v>
      </c>
      <c r="AE26" s="58">
        <f t="shared" ref="AE26" si="6">AE24-AE25</f>
        <v>615</v>
      </c>
      <c r="AF26" s="62">
        <f>AF24-AF25</f>
        <v>241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52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56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  <mergeCell ref="J17:K17"/>
    <mergeCell ref="L17:M17"/>
    <mergeCell ref="N17:O17"/>
    <mergeCell ref="P17:Q17"/>
    <mergeCell ref="R17:S17"/>
    <mergeCell ref="J16:K16"/>
    <mergeCell ref="L16:M16"/>
    <mergeCell ref="N16:O16"/>
    <mergeCell ref="P16:Q16"/>
    <mergeCell ref="R16:S16"/>
    <mergeCell ref="D16:E16"/>
    <mergeCell ref="F16:G16"/>
    <mergeCell ref="H16:I16"/>
    <mergeCell ref="D17:E17"/>
    <mergeCell ref="F17:G17"/>
    <mergeCell ref="H17:I17"/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3" zoomScale="78" zoomScaleNormal="78" workbookViewId="0">
      <selection activeCell="U31" sqref="U31:U32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9.140625" style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44955</v>
      </c>
      <c r="B20" s="168" t="s">
        <v>37</v>
      </c>
      <c r="C20" s="30" t="s">
        <v>38</v>
      </c>
      <c r="D20" s="31">
        <v>19716</v>
      </c>
      <c r="E20" s="32">
        <f>D20/208*25</f>
        <v>2369.7115384615381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810</v>
      </c>
      <c r="O20" s="34">
        <f>N20/38*25</f>
        <v>532.8947368421052</v>
      </c>
      <c r="P20" s="33">
        <v>0</v>
      </c>
      <c r="Q20" s="34">
        <f>P20/135*25</f>
        <v>0</v>
      </c>
      <c r="R20" s="31">
        <v>78475</v>
      </c>
      <c r="S20" s="34">
        <f>R20/215*25</f>
        <v>9125</v>
      </c>
      <c r="T20" s="33" t="e">
        <f>#REF!</f>
        <v>#REF!</v>
      </c>
      <c r="U20" s="33">
        <v>30148</v>
      </c>
      <c r="V20" s="33" t="e">
        <f>#REF!</f>
        <v>#REF!</v>
      </c>
      <c r="W20" s="35">
        <v>45817.87</v>
      </c>
      <c r="X20" s="31">
        <v>5647</v>
      </c>
      <c r="Y20" s="31">
        <v>0</v>
      </c>
      <c r="Z20" s="33">
        <v>743</v>
      </c>
      <c r="AA20" s="31">
        <v>19798</v>
      </c>
      <c r="AB20" s="33">
        <v>65617</v>
      </c>
      <c r="AC20" s="33">
        <v>4721</v>
      </c>
      <c r="AD20" s="33">
        <v>23091</v>
      </c>
      <c r="AE20" s="31">
        <v>465</v>
      </c>
      <c r="AF20" s="36">
        <v>212</v>
      </c>
    </row>
    <row r="21" spans="1:34" ht="45" customHeight="1" x14ac:dyDescent="0.3">
      <c r="A21" s="166"/>
      <c r="B21" s="169"/>
      <c r="C21" s="37" t="s">
        <v>39</v>
      </c>
      <c r="D21" s="38">
        <v>7925</v>
      </c>
      <c r="E21" s="32">
        <f>D21/208*25</f>
        <v>952.52403846153845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136</v>
      </c>
      <c r="O21" s="32">
        <f>N21/38*25</f>
        <v>89.473684210526315</v>
      </c>
      <c r="P21" s="38">
        <v>0</v>
      </c>
      <c r="Q21" s="32">
        <f>P21/135*25</f>
        <v>0</v>
      </c>
      <c r="R21" s="38">
        <v>21890</v>
      </c>
      <c r="S21" s="32">
        <f>R21/215*25</f>
        <v>2545.3488372093025</v>
      </c>
      <c r="T21" s="34"/>
      <c r="U21" s="34">
        <v>12435</v>
      </c>
      <c r="V21" s="34">
        <v>0</v>
      </c>
      <c r="W21" s="32">
        <v>7097.4399999999887</v>
      </c>
      <c r="X21" s="38">
        <v>2970</v>
      </c>
      <c r="Y21" s="38">
        <v>87</v>
      </c>
      <c r="Z21" s="34">
        <v>368</v>
      </c>
      <c r="AA21" s="38">
        <v>8113</v>
      </c>
      <c r="AB21" s="34">
        <v>5287</v>
      </c>
      <c r="AC21" s="34">
        <v>1146</v>
      </c>
      <c r="AD21" s="34">
        <v>7122</v>
      </c>
      <c r="AE21" s="38">
        <v>150</v>
      </c>
      <c r="AF21" s="39">
        <v>29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27641</v>
      </c>
      <c r="E22" s="43">
        <f>SUM(E20:E21)</f>
        <v>3322.2355769230767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946</v>
      </c>
      <c r="O22" s="43">
        <f t="shared" si="0"/>
        <v>622.36842105263156</v>
      </c>
      <c r="P22" s="42">
        <f t="shared" si="0"/>
        <v>0</v>
      </c>
      <c r="Q22" s="43">
        <f t="shared" si="0"/>
        <v>0</v>
      </c>
      <c r="R22" s="42">
        <f t="shared" si="0"/>
        <v>100365</v>
      </c>
      <c r="S22" s="43">
        <f t="shared" si="0"/>
        <v>11670.348837209302</v>
      </c>
      <c r="T22" s="44" t="e">
        <f t="shared" si="0"/>
        <v>#REF!</v>
      </c>
      <c r="U22" s="44">
        <f t="shared" si="0"/>
        <v>42583</v>
      </c>
      <c r="V22" s="44" t="e">
        <f t="shared" si="0"/>
        <v>#REF!</v>
      </c>
      <c r="W22" s="43">
        <f>SUM(W20:W21)</f>
        <v>52915.30999999999</v>
      </c>
      <c r="X22" s="42">
        <f t="shared" si="0"/>
        <v>8617</v>
      </c>
      <c r="Y22" s="42">
        <f>SUM(Y20:Y21)</f>
        <v>87</v>
      </c>
      <c r="Z22" s="44">
        <f t="shared" si="0"/>
        <v>1111</v>
      </c>
      <c r="AA22" s="42">
        <f>SUM(AA20:AA21)</f>
        <v>27911</v>
      </c>
      <c r="AB22" s="44">
        <f>SUM(AB20:AB21)</f>
        <v>70904</v>
      </c>
      <c r="AC22" s="44">
        <f t="shared" si="0"/>
        <v>5867</v>
      </c>
      <c r="AD22" s="44">
        <f t="shared" si="0"/>
        <v>30213</v>
      </c>
      <c r="AE22" s="42">
        <f t="shared" si="0"/>
        <v>615</v>
      </c>
      <c r="AF22" s="46">
        <f>SUM(AF20:AF21)</f>
        <v>241</v>
      </c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27641</v>
      </c>
      <c r="E24" s="51">
        <f t="shared" si="1"/>
        <v>3322.2355769230767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946</v>
      </c>
      <c r="O24" s="52">
        <f t="shared" si="1"/>
        <v>622.36842105263156</v>
      </c>
      <c r="P24" s="51">
        <f t="shared" si="1"/>
        <v>0</v>
      </c>
      <c r="Q24" s="51">
        <f t="shared" si="1"/>
        <v>0</v>
      </c>
      <c r="R24" s="51">
        <f t="shared" si="1"/>
        <v>100365</v>
      </c>
      <c r="S24" s="52">
        <f t="shared" si="1"/>
        <v>11670.348837209302</v>
      </c>
      <c r="T24" s="51" t="e">
        <f t="shared" si="1"/>
        <v>#REF!</v>
      </c>
      <c r="U24" s="51">
        <f t="shared" si="1"/>
        <v>42583</v>
      </c>
      <c r="V24" s="51" t="e">
        <f t="shared" si="1"/>
        <v>#REF!</v>
      </c>
      <c r="W24" s="52">
        <f t="shared" si="1"/>
        <v>52915.30999999999</v>
      </c>
      <c r="X24" s="51">
        <f t="shared" si="1"/>
        <v>8617</v>
      </c>
      <c r="Y24" s="51">
        <f t="shared" si="1"/>
        <v>87</v>
      </c>
      <c r="Z24" s="51">
        <f t="shared" si="1"/>
        <v>1111</v>
      </c>
      <c r="AA24" s="51">
        <f t="shared" si="1"/>
        <v>27911</v>
      </c>
      <c r="AB24" s="51">
        <f t="shared" si="1"/>
        <v>70904</v>
      </c>
      <c r="AC24" s="51">
        <f t="shared" si="1"/>
        <v>5867</v>
      </c>
      <c r="AD24" s="51">
        <f t="shared" si="1"/>
        <v>30213</v>
      </c>
      <c r="AE24" s="51">
        <f t="shared" si="1"/>
        <v>615</v>
      </c>
      <c r="AF24" s="53">
        <f t="shared" si="1"/>
        <v>241</v>
      </c>
    </row>
    <row r="25" spans="1:34" ht="75.75" customHeight="1" x14ac:dyDescent="0.3">
      <c r="A25" s="158" t="s">
        <v>44</v>
      </c>
      <c r="B25" s="159"/>
      <c r="C25" s="160"/>
      <c r="D25" s="38">
        <v>7441</v>
      </c>
      <c r="E25" s="32">
        <f>D25/208*25</f>
        <v>894.35096153846155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21</v>
      </c>
      <c r="O25" s="32">
        <f>N25/38*25</f>
        <v>13.815789473684212</v>
      </c>
      <c r="P25" s="38">
        <v>0</v>
      </c>
      <c r="Q25" s="32">
        <f>P25/135*25</f>
        <v>0</v>
      </c>
      <c r="R25" s="38">
        <v>15500</v>
      </c>
      <c r="S25" s="32">
        <f>R25/215*25</f>
        <v>1802.3255813953488</v>
      </c>
      <c r="T25" s="47" t="s">
        <v>40</v>
      </c>
      <c r="U25" s="54">
        <v>7598</v>
      </c>
      <c r="V25" s="47"/>
      <c r="W25" s="55">
        <f>X25*2.43</f>
        <v>4478.4900000000007</v>
      </c>
      <c r="X25" s="38">
        <v>1843</v>
      </c>
      <c r="Y25" s="38">
        <v>25</v>
      </c>
      <c r="Z25" s="47">
        <v>0</v>
      </c>
      <c r="AA25" s="38">
        <f>339+8120</f>
        <v>8459</v>
      </c>
      <c r="AB25" s="47">
        <v>2420</v>
      </c>
      <c r="AC25" s="47">
        <v>612</v>
      </c>
      <c r="AD25" s="47">
        <f>3672+1212</f>
        <v>4884</v>
      </c>
      <c r="AE25" s="38">
        <v>0</v>
      </c>
      <c r="AF25" s="56">
        <v>0</v>
      </c>
    </row>
    <row r="26" spans="1:34" s="4" customFormat="1" ht="100.5" customHeight="1" thickBot="1" x14ac:dyDescent="0.25">
      <c r="A26" s="57">
        <v>44961</v>
      </c>
      <c r="B26" s="161" t="s">
        <v>45</v>
      </c>
      <c r="C26" s="162"/>
      <c r="D26" s="58">
        <f>D24-D25</f>
        <v>20200</v>
      </c>
      <c r="E26" s="59">
        <f t="shared" ref="E26:Y26" si="2">E24-E25</f>
        <v>2427.8846153846152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925</v>
      </c>
      <c r="O26" s="59">
        <f t="shared" si="4"/>
        <v>608.5526315789474</v>
      </c>
      <c r="P26" s="58">
        <f>P24-P25</f>
        <v>0</v>
      </c>
      <c r="Q26" s="59">
        <f t="shared" ref="Q26" si="5">Q24-Q25</f>
        <v>0</v>
      </c>
      <c r="R26" s="58">
        <f>R24-R25</f>
        <v>84865</v>
      </c>
      <c r="S26" s="59">
        <f t="shared" si="2"/>
        <v>9868.0232558139523</v>
      </c>
      <c r="T26" s="60" t="e">
        <f t="shared" si="2"/>
        <v>#REF!</v>
      </c>
      <c r="U26" s="60">
        <f t="shared" si="2"/>
        <v>34985</v>
      </c>
      <c r="V26" s="60" t="e">
        <f t="shared" si="2"/>
        <v>#REF!</v>
      </c>
      <c r="W26" s="61">
        <f>W24-W25</f>
        <v>48436.819999999992</v>
      </c>
      <c r="X26" s="58">
        <f>X24-X25</f>
        <v>6774</v>
      </c>
      <c r="Y26" s="58">
        <f t="shared" si="2"/>
        <v>62</v>
      </c>
      <c r="Z26" s="60">
        <f>Z24-Z25</f>
        <v>1111</v>
      </c>
      <c r="AA26" s="58">
        <f>AA24-AA25</f>
        <v>19452</v>
      </c>
      <c r="AB26" s="60">
        <f>AB24-AB25</f>
        <v>68484</v>
      </c>
      <c r="AC26" s="60">
        <f>AC24-AC25</f>
        <v>5255</v>
      </c>
      <c r="AD26" s="60">
        <f>AD24-AD25</f>
        <v>25329</v>
      </c>
      <c r="AE26" s="58">
        <f t="shared" ref="AE26" si="6">AE24-AE25</f>
        <v>615</v>
      </c>
      <c r="AF26" s="62">
        <f>AF24-AF25</f>
        <v>241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3" zoomScale="78" zoomScaleNormal="78" workbookViewId="0">
      <selection activeCell="D23" sqref="D23:AF23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9.140625" style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44962</v>
      </c>
      <c r="B20" s="168" t="s">
        <v>37</v>
      </c>
      <c r="C20" s="30" t="s">
        <v>38</v>
      </c>
      <c r="D20" s="31">
        <v>10716</v>
      </c>
      <c r="E20" s="32">
        <f>D20/208*25</f>
        <v>1287.9807692307691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810</v>
      </c>
      <c r="O20" s="34">
        <f>N20/38*25</f>
        <v>532.8947368421052</v>
      </c>
      <c r="P20" s="33">
        <v>0</v>
      </c>
      <c r="Q20" s="34">
        <f>P20/135*25</f>
        <v>0</v>
      </c>
      <c r="R20" s="31">
        <v>58050</v>
      </c>
      <c r="S20" s="34">
        <f>R20/215*25</f>
        <v>6750</v>
      </c>
      <c r="T20" s="33" t="e">
        <f>#REF!</f>
        <v>#REF!</v>
      </c>
      <c r="U20" s="33">
        <v>23648</v>
      </c>
      <c r="V20" s="33" t="e">
        <f>#REF!</f>
        <v>#REF!</v>
      </c>
      <c r="W20" s="35">
        <v>42172.87</v>
      </c>
      <c r="X20" s="31">
        <v>4147</v>
      </c>
      <c r="Y20" s="31">
        <v>0</v>
      </c>
      <c r="Z20" s="33">
        <v>743</v>
      </c>
      <c r="AA20" s="31">
        <v>11661</v>
      </c>
      <c r="AB20" s="33">
        <v>61297</v>
      </c>
      <c r="AC20" s="33">
        <v>3721</v>
      </c>
      <c r="AD20" s="33">
        <v>19291</v>
      </c>
      <c r="AE20" s="31">
        <v>465</v>
      </c>
      <c r="AF20" s="36">
        <v>212</v>
      </c>
    </row>
    <row r="21" spans="1:34" ht="45" customHeight="1" x14ac:dyDescent="0.3">
      <c r="A21" s="166"/>
      <c r="B21" s="169"/>
      <c r="C21" s="37" t="s">
        <v>39</v>
      </c>
      <c r="D21" s="38">
        <v>9484</v>
      </c>
      <c r="E21" s="32">
        <f>D21/208*25</f>
        <v>1139.9038461538462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115</v>
      </c>
      <c r="O21" s="32">
        <f>N21/38*25</f>
        <v>75.657894736842096</v>
      </c>
      <c r="P21" s="38">
        <v>0</v>
      </c>
      <c r="Q21" s="32">
        <f>P21/135*25</f>
        <v>0</v>
      </c>
      <c r="R21" s="38">
        <v>26815</v>
      </c>
      <c r="S21" s="32">
        <f>R21/215*25</f>
        <v>3118.0232558139537</v>
      </c>
      <c r="T21" s="34"/>
      <c r="U21" s="34">
        <v>11337</v>
      </c>
      <c r="V21" s="34">
        <v>0</v>
      </c>
      <c r="W21" s="32">
        <v>6263.949999999988</v>
      </c>
      <c r="X21" s="38">
        <v>2627</v>
      </c>
      <c r="Y21" s="38">
        <v>62</v>
      </c>
      <c r="Z21" s="34">
        <v>368</v>
      </c>
      <c r="AA21" s="38">
        <v>7791</v>
      </c>
      <c r="AB21" s="34">
        <v>7187</v>
      </c>
      <c r="AC21" s="34">
        <v>1534</v>
      </c>
      <c r="AD21" s="34">
        <v>6038</v>
      </c>
      <c r="AE21" s="38">
        <v>150</v>
      </c>
      <c r="AF21" s="39">
        <v>29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20200</v>
      </c>
      <c r="E22" s="43">
        <f>SUM(E20:E21)</f>
        <v>2427.8846153846152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925</v>
      </c>
      <c r="O22" s="43">
        <f t="shared" si="0"/>
        <v>608.55263157894728</v>
      </c>
      <c r="P22" s="42">
        <f t="shared" si="0"/>
        <v>0</v>
      </c>
      <c r="Q22" s="43">
        <f t="shared" si="0"/>
        <v>0</v>
      </c>
      <c r="R22" s="42">
        <f t="shared" si="0"/>
        <v>84865</v>
      </c>
      <c r="S22" s="43">
        <f t="shared" si="0"/>
        <v>9868.0232558139542</v>
      </c>
      <c r="T22" s="44" t="e">
        <f t="shared" si="0"/>
        <v>#REF!</v>
      </c>
      <c r="U22" s="44">
        <f t="shared" si="0"/>
        <v>34985</v>
      </c>
      <c r="V22" s="44" t="e">
        <f t="shared" si="0"/>
        <v>#REF!</v>
      </c>
      <c r="W22" s="43">
        <f>SUM(W20:W21)</f>
        <v>48436.819999999992</v>
      </c>
      <c r="X22" s="42">
        <f t="shared" si="0"/>
        <v>6774</v>
      </c>
      <c r="Y22" s="42">
        <f>SUM(Y20:Y21)</f>
        <v>62</v>
      </c>
      <c r="Z22" s="44">
        <f t="shared" si="0"/>
        <v>1111</v>
      </c>
      <c r="AA22" s="42">
        <f>SUM(AA20:AA21)</f>
        <v>19452</v>
      </c>
      <c r="AB22" s="44">
        <f>SUM(AB20:AB21)</f>
        <v>68484</v>
      </c>
      <c r="AC22" s="44">
        <f t="shared" si="0"/>
        <v>5255</v>
      </c>
      <c r="AD22" s="44">
        <f t="shared" si="0"/>
        <v>25329</v>
      </c>
      <c r="AE22" s="42">
        <f t="shared" si="0"/>
        <v>615</v>
      </c>
      <c r="AF22" s="46">
        <f>SUM(AF20:AF21)</f>
        <v>241</v>
      </c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>
        <f>200*215</f>
        <v>43000</v>
      </c>
      <c r="S23" s="32">
        <f>R23/215*25</f>
        <v>5000</v>
      </c>
      <c r="T23" s="31"/>
      <c r="U23" s="31">
        <v>10000</v>
      </c>
      <c r="V23" s="31"/>
      <c r="W23" s="31"/>
      <c r="X23" s="31">
        <v>3000</v>
      </c>
      <c r="Y23" s="31">
        <v>200</v>
      </c>
      <c r="Z23" s="31">
        <v>0</v>
      </c>
      <c r="AA23" s="31">
        <f>10750+540+1540</f>
        <v>12830</v>
      </c>
      <c r="AB23" s="31">
        <v>11880</v>
      </c>
      <c r="AC23" s="31">
        <v>1200</v>
      </c>
      <c r="AD23" s="48">
        <v>9000</v>
      </c>
      <c r="AE23" s="31">
        <v>0</v>
      </c>
      <c r="AF23" s="49">
        <v>0</v>
      </c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20200</v>
      </c>
      <c r="E24" s="51">
        <f t="shared" si="1"/>
        <v>2427.8846153846152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925</v>
      </c>
      <c r="O24" s="52">
        <f t="shared" si="1"/>
        <v>608.55263157894728</v>
      </c>
      <c r="P24" s="51">
        <f t="shared" si="1"/>
        <v>0</v>
      </c>
      <c r="Q24" s="51">
        <f t="shared" si="1"/>
        <v>0</v>
      </c>
      <c r="R24" s="51">
        <f t="shared" si="1"/>
        <v>127865</v>
      </c>
      <c r="S24" s="52">
        <f t="shared" si="1"/>
        <v>14868.023255813954</v>
      </c>
      <c r="T24" s="51" t="e">
        <f t="shared" si="1"/>
        <v>#REF!</v>
      </c>
      <c r="U24" s="51">
        <f t="shared" si="1"/>
        <v>44985</v>
      </c>
      <c r="V24" s="51" t="e">
        <f t="shared" si="1"/>
        <v>#REF!</v>
      </c>
      <c r="W24" s="52">
        <f t="shared" si="1"/>
        <v>48436.819999999992</v>
      </c>
      <c r="X24" s="51">
        <f t="shared" si="1"/>
        <v>9774</v>
      </c>
      <c r="Y24" s="51">
        <f t="shared" si="1"/>
        <v>262</v>
      </c>
      <c r="Z24" s="51">
        <f t="shared" si="1"/>
        <v>1111</v>
      </c>
      <c r="AA24" s="51">
        <f t="shared" si="1"/>
        <v>32282</v>
      </c>
      <c r="AB24" s="51">
        <f t="shared" si="1"/>
        <v>80364</v>
      </c>
      <c r="AC24" s="51">
        <f t="shared" si="1"/>
        <v>6455</v>
      </c>
      <c r="AD24" s="51">
        <f t="shared" si="1"/>
        <v>34329</v>
      </c>
      <c r="AE24" s="51">
        <f t="shared" si="1"/>
        <v>615</v>
      </c>
      <c r="AF24" s="53">
        <f t="shared" si="1"/>
        <v>241</v>
      </c>
    </row>
    <row r="25" spans="1:34" ht="75.75" customHeight="1" x14ac:dyDescent="0.3">
      <c r="A25" s="158" t="s">
        <v>44</v>
      </c>
      <c r="B25" s="159"/>
      <c r="C25" s="160"/>
      <c r="D25" s="38">
        <v>8072</v>
      </c>
      <c r="E25" s="32">
        <f>D25/208*25</f>
        <v>970.19230769230762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4</v>
      </c>
      <c r="O25" s="32">
        <f>N25/38*25</f>
        <v>2.6315789473684208</v>
      </c>
      <c r="P25" s="38">
        <v>0</v>
      </c>
      <c r="Q25" s="32">
        <f>P25/135*25</f>
        <v>0</v>
      </c>
      <c r="R25" s="38">
        <v>15423</v>
      </c>
      <c r="S25" s="32">
        <f>R25/215*25</f>
        <v>1793.3720930232557</v>
      </c>
      <c r="T25" s="47" t="s">
        <v>40</v>
      </c>
      <c r="U25" s="54">
        <v>8391</v>
      </c>
      <c r="V25" s="47"/>
      <c r="W25" s="55">
        <f>X25*2.43</f>
        <v>4901.3100000000004</v>
      </c>
      <c r="X25" s="38">
        <v>2017</v>
      </c>
      <c r="Y25" s="38">
        <v>20</v>
      </c>
      <c r="Z25" s="47">
        <v>0</v>
      </c>
      <c r="AA25" s="38">
        <f>804+7839+406</f>
        <v>9049</v>
      </c>
      <c r="AB25" s="47">
        <v>2686</v>
      </c>
      <c r="AC25" s="47">
        <v>726</v>
      </c>
      <c r="AD25" s="47">
        <f>3927+1206</f>
        <v>5133</v>
      </c>
      <c r="AE25" s="38">
        <v>0</v>
      </c>
      <c r="AF25" s="56">
        <v>6</v>
      </c>
    </row>
    <row r="26" spans="1:34" s="4" customFormat="1" ht="100.5" customHeight="1" thickBot="1" x14ac:dyDescent="0.25">
      <c r="A26" s="57">
        <v>44968</v>
      </c>
      <c r="B26" s="161" t="s">
        <v>45</v>
      </c>
      <c r="C26" s="162"/>
      <c r="D26" s="58">
        <f>D24-D25</f>
        <v>12128</v>
      </c>
      <c r="E26" s="59">
        <f t="shared" ref="E26:Y26" si="2">E24-E25</f>
        <v>1457.6923076923076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921</v>
      </c>
      <c r="O26" s="59">
        <f t="shared" si="4"/>
        <v>605.92105263157885</v>
      </c>
      <c r="P26" s="58">
        <f>P24-P25</f>
        <v>0</v>
      </c>
      <c r="Q26" s="59">
        <f t="shared" ref="Q26" si="5">Q24-Q25</f>
        <v>0</v>
      </c>
      <c r="R26" s="58">
        <f>R24-R25</f>
        <v>112442</v>
      </c>
      <c r="S26" s="59">
        <f t="shared" si="2"/>
        <v>13074.651162790698</v>
      </c>
      <c r="T26" s="60" t="e">
        <f t="shared" si="2"/>
        <v>#REF!</v>
      </c>
      <c r="U26" s="60">
        <f t="shared" si="2"/>
        <v>36594</v>
      </c>
      <c r="V26" s="60" t="e">
        <f t="shared" si="2"/>
        <v>#REF!</v>
      </c>
      <c r="W26" s="61">
        <f>W24-W25</f>
        <v>43535.509999999995</v>
      </c>
      <c r="X26" s="58">
        <f>X24-X25</f>
        <v>7757</v>
      </c>
      <c r="Y26" s="58">
        <f t="shared" si="2"/>
        <v>242</v>
      </c>
      <c r="Z26" s="60">
        <f>Z24-Z25</f>
        <v>1111</v>
      </c>
      <c r="AA26" s="58">
        <f>AA24-AA25</f>
        <v>23233</v>
      </c>
      <c r="AB26" s="60">
        <f>AB24-AB25</f>
        <v>77678</v>
      </c>
      <c r="AC26" s="60">
        <f>AC24-AC25</f>
        <v>5729</v>
      </c>
      <c r="AD26" s="60">
        <f>AD24-AD25</f>
        <v>29196</v>
      </c>
      <c r="AE26" s="58">
        <f t="shared" ref="AE26" si="6">AE24-AE25</f>
        <v>615</v>
      </c>
      <c r="AF26" s="62">
        <f>AF24-AF25</f>
        <v>235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52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56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73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  <mergeCell ref="J17:K17"/>
    <mergeCell ref="L17:M17"/>
    <mergeCell ref="N17:O17"/>
    <mergeCell ref="P17:Q17"/>
    <mergeCell ref="R17:S17"/>
    <mergeCell ref="J16:K16"/>
    <mergeCell ref="L16:M16"/>
    <mergeCell ref="N16:O16"/>
    <mergeCell ref="P16:Q16"/>
    <mergeCell ref="R16:S16"/>
    <mergeCell ref="D16:E16"/>
    <mergeCell ref="F16:G16"/>
    <mergeCell ref="H16:I16"/>
    <mergeCell ref="D17:E17"/>
    <mergeCell ref="F17:G17"/>
    <mergeCell ref="H17:I17"/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3" zoomScale="78" zoomScaleNormal="78" workbookViewId="0">
      <selection activeCell="D26" sqref="D26:AF26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9.140625" style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44969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810</v>
      </c>
      <c r="O20" s="34">
        <f>N20/38*25</f>
        <v>532.8947368421052</v>
      </c>
      <c r="P20" s="33">
        <v>0</v>
      </c>
      <c r="Q20" s="34">
        <f>P20/135*25</f>
        <v>0</v>
      </c>
      <c r="R20" s="31">
        <v>73100</v>
      </c>
      <c r="S20" s="34">
        <f>R20/215*25</f>
        <v>8500</v>
      </c>
      <c r="T20" s="33" t="e">
        <f>#REF!</f>
        <v>#REF!</v>
      </c>
      <c r="U20" s="33">
        <v>24898</v>
      </c>
      <c r="V20" s="33" t="e">
        <f>#REF!</f>
        <v>#REF!</v>
      </c>
      <c r="W20" s="35">
        <v>37677.370000000003</v>
      </c>
      <c r="X20" s="31">
        <v>5297</v>
      </c>
      <c r="Y20" s="31">
        <v>200</v>
      </c>
      <c r="Z20" s="33">
        <v>743</v>
      </c>
      <c r="AA20" s="31">
        <v>14261</v>
      </c>
      <c r="AB20" s="33">
        <v>64537</v>
      </c>
      <c r="AC20" s="33">
        <v>4921</v>
      </c>
      <c r="AD20" s="33">
        <v>22791</v>
      </c>
      <c r="AE20" s="31">
        <v>465</v>
      </c>
      <c r="AF20" s="36">
        <v>212</v>
      </c>
    </row>
    <row r="21" spans="1:34" ht="45" customHeight="1" x14ac:dyDescent="0.3">
      <c r="A21" s="166"/>
      <c r="B21" s="169"/>
      <c r="C21" s="37" t="s">
        <v>39</v>
      </c>
      <c r="D21" s="38">
        <v>12128</v>
      </c>
      <c r="E21" s="32">
        <f>D21/208*25</f>
        <v>1457.6923076923076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111</v>
      </c>
      <c r="O21" s="32">
        <f>N21/38*25</f>
        <v>73.026315789473685</v>
      </c>
      <c r="P21" s="38">
        <v>0</v>
      </c>
      <c r="Q21" s="32">
        <f>P21/135*25</f>
        <v>0</v>
      </c>
      <c r="R21" s="38">
        <v>39342</v>
      </c>
      <c r="S21" s="32">
        <f>R21/215*25</f>
        <v>4574.6511627906975</v>
      </c>
      <c r="T21" s="34"/>
      <c r="U21" s="34">
        <v>11696</v>
      </c>
      <c r="V21" s="34">
        <v>0</v>
      </c>
      <c r="W21" s="32">
        <v>5858.1399999999885</v>
      </c>
      <c r="X21" s="38">
        <v>2460</v>
      </c>
      <c r="Y21" s="38">
        <v>42</v>
      </c>
      <c r="Z21" s="34">
        <v>368</v>
      </c>
      <c r="AA21" s="38">
        <v>8972</v>
      </c>
      <c r="AB21" s="34">
        <v>13141</v>
      </c>
      <c r="AC21" s="34">
        <v>808</v>
      </c>
      <c r="AD21" s="34">
        <v>6405</v>
      </c>
      <c r="AE21" s="38">
        <v>150</v>
      </c>
      <c r="AF21" s="39">
        <v>23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12128</v>
      </c>
      <c r="E22" s="43">
        <f>SUM(E20:E21)</f>
        <v>1457.6923076923076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921</v>
      </c>
      <c r="O22" s="43">
        <f t="shared" si="0"/>
        <v>605.92105263157885</v>
      </c>
      <c r="P22" s="42">
        <f t="shared" si="0"/>
        <v>0</v>
      </c>
      <c r="Q22" s="43">
        <f t="shared" si="0"/>
        <v>0</v>
      </c>
      <c r="R22" s="42">
        <f t="shared" si="0"/>
        <v>112442</v>
      </c>
      <c r="S22" s="43">
        <f t="shared" si="0"/>
        <v>13074.651162790698</v>
      </c>
      <c r="T22" s="44" t="e">
        <f t="shared" si="0"/>
        <v>#REF!</v>
      </c>
      <c r="U22" s="44">
        <f t="shared" si="0"/>
        <v>36594</v>
      </c>
      <c r="V22" s="44" t="e">
        <f t="shared" si="0"/>
        <v>#REF!</v>
      </c>
      <c r="W22" s="43">
        <f>SUM(W20:W21)</f>
        <v>43535.509999999995</v>
      </c>
      <c r="X22" s="42">
        <f t="shared" si="0"/>
        <v>7757</v>
      </c>
      <c r="Y22" s="42">
        <f>SUM(Y20:Y21)</f>
        <v>242</v>
      </c>
      <c r="Z22" s="44">
        <f t="shared" si="0"/>
        <v>1111</v>
      </c>
      <c r="AA22" s="42">
        <f>SUM(AA20:AA21)</f>
        <v>23233</v>
      </c>
      <c r="AB22" s="44">
        <f>SUM(AB20:AB21)</f>
        <v>77678</v>
      </c>
      <c r="AC22" s="44">
        <f t="shared" si="0"/>
        <v>5729</v>
      </c>
      <c r="AD22" s="44">
        <f t="shared" si="0"/>
        <v>29196</v>
      </c>
      <c r="AE22" s="42">
        <f t="shared" si="0"/>
        <v>615</v>
      </c>
      <c r="AF22" s="46">
        <f>SUM(AF20:AF21)</f>
        <v>235</v>
      </c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>
        <f>200*215</f>
        <v>43000</v>
      </c>
      <c r="S23" s="32">
        <f>R23/215*25</f>
        <v>5000</v>
      </c>
      <c r="T23" s="31"/>
      <c r="U23" s="31">
        <f>500*25</f>
        <v>12500</v>
      </c>
      <c r="V23" s="31"/>
      <c r="W23" s="31"/>
      <c r="X23" s="31">
        <v>3000</v>
      </c>
      <c r="Y23" s="31">
        <v>0</v>
      </c>
      <c r="Z23" s="31">
        <v>0</v>
      </c>
      <c r="AA23" s="31">
        <v>24250</v>
      </c>
      <c r="AB23" s="31">
        <v>24120</v>
      </c>
      <c r="AC23" s="31">
        <v>0</v>
      </c>
      <c r="AD23" s="48">
        <v>9000</v>
      </c>
      <c r="AE23" s="31">
        <v>0</v>
      </c>
      <c r="AF23" s="49">
        <v>0</v>
      </c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12128</v>
      </c>
      <c r="E24" s="51">
        <f t="shared" si="1"/>
        <v>1457.6923076923076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921</v>
      </c>
      <c r="O24" s="52">
        <f t="shared" si="1"/>
        <v>605.92105263157885</v>
      </c>
      <c r="P24" s="51">
        <f t="shared" si="1"/>
        <v>0</v>
      </c>
      <c r="Q24" s="51">
        <f t="shared" si="1"/>
        <v>0</v>
      </c>
      <c r="R24" s="51">
        <f t="shared" si="1"/>
        <v>155442</v>
      </c>
      <c r="S24" s="52">
        <f t="shared" si="1"/>
        <v>18074.651162790698</v>
      </c>
      <c r="T24" s="51" t="e">
        <f t="shared" si="1"/>
        <v>#REF!</v>
      </c>
      <c r="U24" s="51">
        <f t="shared" si="1"/>
        <v>49094</v>
      </c>
      <c r="V24" s="51" t="e">
        <f t="shared" si="1"/>
        <v>#REF!</v>
      </c>
      <c r="W24" s="52">
        <f t="shared" si="1"/>
        <v>43535.509999999995</v>
      </c>
      <c r="X24" s="51">
        <f t="shared" si="1"/>
        <v>10757</v>
      </c>
      <c r="Y24" s="51">
        <f t="shared" si="1"/>
        <v>242</v>
      </c>
      <c r="Z24" s="51">
        <f t="shared" si="1"/>
        <v>1111</v>
      </c>
      <c r="AA24" s="51">
        <f t="shared" si="1"/>
        <v>47483</v>
      </c>
      <c r="AB24" s="51">
        <f t="shared" si="1"/>
        <v>101798</v>
      </c>
      <c r="AC24" s="51">
        <f t="shared" si="1"/>
        <v>5729</v>
      </c>
      <c r="AD24" s="51">
        <f t="shared" si="1"/>
        <v>38196</v>
      </c>
      <c r="AE24" s="51">
        <f t="shared" si="1"/>
        <v>615</v>
      </c>
      <c r="AF24" s="53">
        <f t="shared" si="1"/>
        <v>235</v>
      </c>
    </row>
    <row r="25" spans="1:34" ht="75.75" customHeight="1" x14ac:dyDescent="0.3">
      <c r="A25" s="158" t="s">
        <v>44</v>
      </c>
      <c r="B25" s="159"/>
      <c r="C25" s="160"/>
      <c r="D25" s="38">
        <v>5529</v>
      </c>
      <c r="E25" s="32">
        <f>D25/208*25</f>
        <v>664.54326923076928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19</v>
      </c>
      <c r="O25" s="32">
        <f>N25/38*25</f>
        <v>12.5</v>
      </c>
      <c r="P25" s="38">
        <v>0</v>
      </c>
      <c r="Q25" s="32">
        <f>P25/135*25</f>
        <v>0</v>
      </c>
      <c r="R25" s="38">
        <v>17628</v>
      </c>
      <c r="S25" s="32">
        <f>R25/215*25</f>
        <v>2049.7674418604652</v>
      </c>
      <c r="T25" s="47" t="s">
        <v>40</v>
      </c>
      <c r="U25" s="54">
        <v>8075</v>
      </c>
      <c r="V25" s="47"/>
      <c r="W25" s="55">
        <f>X25*2.43</f>
        <v>4694.76</v>
      </c>
      <c r="X25" s="38">
        <v>1932</v>
      </c>
      <c r="Y25" s="38">
        <v>14</v>
      </c>
      <c r="Z25" s="47">
        <v>0</v>
      </c>
      <c r="AA25" s="38">
        <f>1278+7030+685</f>
        <v>8993</v>
      </c>
      <c r="AB25" s="47">
        <v>2399</v>
      </c>
      <c r="AC25" s="47">
        <v>772</v>
      </c>
      <c r="AD25" s="47">
        <f>3660+1310</f>
        <v>4970</v>
      </c>
      <c r="AE25" s="38">
        <v>0</v>
      </c>
      <c r="AF25" s="56">
        <v>4</v>
      </c>
    </row>
    <row r="26" spans="1:34" s="4" customFormat="1" ht="100.5" customHeight="1" thickBot="1" x14ac:dyDescent="0.25">
      <c r="A26" s="57">
        <v>44975</v>
      </c>
      <c r="B26" s="161" t="s">
        <v>45</v>
      </c>
      <c r="C26" s="162"/>
      <c r="D26" s="58">
        <f>D24-D25</f>
        <v>6599</v>
      </c>
      <c r="E26" s="59">
        <f t="shared" ref="E26:Y26" si="2">E24-E25</f>
        <v>793.14903846153834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902</v>
      </c>
      <c r="O26" s="59">
        <f t="shared" si="4"/>
        <v>593.42105263157885</v>
      </c>
      <c r="P26" s="58">
        <f>P24-P25</f>
        <v>0</v>
      </c>
      <c r="Q26" s="59">
        <f t="shared" ref="Q26" si="5">Q24-Q25</f>
        <v>0</v>
      </c>
      <c r="R26" s="58">
        <f>R24-R25</f>
        <v>137814</v>
      </c>
      <c r="S26" s="59">
        <f t="shared" si="2"/>
        <v>16024.883720930233</v>
      </c>
      <c r="T26" s="60" t="e">
        <f t="shared" si="2"/>
        <v>#REF!</v>
      </c>
      <c r="U26" s="60">
        <f t="shared" si="2"/>
        <v>41019</v>
      </c>
      <c r="V26" s="60" t="e">
        <f t="shared" si="2"/>
        <v>#REF!</v>
      </c>
      <c r="W26" s="61">
        <f>W24-W25</f>
        <v>38840.749999999993</v>
      </c>
      <c r="X26" s="58">
        <f>X24-X25</f>
        <v>8825</v>
      </c>
      <c r="Y26" s="58">
        <f t="shared" si="2"/>
        <v>228</v>
      </c>
      <c r="Z26" s="60">
        <f>Z24-Z25</f>
        <v>1111</v>
      </c>
      <c r="AA26" s="58">
        <f>AA24-AA25</f>
        <v>38490</v>
      </c>
      <c r="AB26" s="60">
        <f>AB24-AB25</f>
        <v>99399</v>
      </c>
      <c r="AC26" s="60">
        <f>AC24-AC25</f>
        <v>4957</v>
      </c>
      <c r="AD26" s="60">
        <f>AD24-AD25</f>
        <v>33226</v>
      </c>
      <c r="AE26" s="58">
        <f t="shared" ref="AE26" si="6">AE24-AE25</f>
        <v>615</v>
      </c>
      <c r="AF26" s="62">
        <f>AF24-AF25</f>
        <v>231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52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56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73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3" zoomScale="78" zoomScaleNormal="78" workbookViewId="0">
      <selection activeCell="AA22" sqref="AA22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44976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f>81700-11610</f>
        <v>70090</v>
      </c>
      <c r="S20" s="34">
        <f>R20/215*25</f>
        <v>8150</v>
      </c>
      <c r="T20" s="33" t="e">
        <f>#REF!</f>
        <v>#REF!</v>
      </c>
      <c r="U20" s="33">
        <f>28398-6172</f>
        <v>22226</v>
      </c>
      <c r="V20" s="33" t="e">
        <f>#REF!</f>
        <v>#REF!</v>
      </c>
      <c r="W20" s="35">
        <f>31359.37-1096.37</f>
        <v>30263</v>
      </c>
      <c r="X20" s="31">
        <f>5697-897</f>
        <v>4800</v>
      </c>
      <c r="Y20" s="31">
        <v>200</v>
      </c>
      <c r="Z20" s="33">
        <v>743</v>
      </c>
      <c r="AA20" s="31">
        <f>29261-8331</f>
        <v>20930</v>
      </c>
      <c r="AB20" s="33">
        <f>80017-32137</f>
        <v>47880</v>
      </c>
      <c r="AC20" s="33">
        <f>4321-2421</f>
        <v>1900</v>
      </c>
      <c r="AD20" s="33">
        <f>27091-13131</f>
        <v>13960</v>
      </c>
      <c r="AE20" s="31">
        <v>615</v>
      </c>
      <c r="AF20" s="36">
        <f>192-22</f>
        <v>170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6599</v>
      </c>
      <c r="E21" s="32">
        <f>D21/208*25</f>
        <v>793.14903846153845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f>810+92</f>
        <v>902</v>
      </c>
      <c r="O21" s="32">
        <f>N21/38*25</f>
        <v>593.42105263157896</v>
      </c>
      <c r="P21" s="38">
        <v>0</v>
      </c>
      <c r="Q21" s="32">
        <f>P21/135*25</f>
        <v>0</v>
      </c>
      <c r="R21" s="38">
        <f>56114+11610</f>
        <v>67724</v>
      </c>
      <c r="S21" s="32">
        <f>R21/215*25</f>
        <v>7874.8837209302319</v>
      </c>
      <c r="T21" s="34"/>
      <c r="U21" s="34">
        <f>12621+6172</f>
        <v>18793</v>
      </c>
      <c r="V21" s="34">
        <v>0</v>
      </c>
      <c r="W21" s="32">
        <f>7481.37999999999+1096.37</f>
        <v>8577.7499999999891</v>
      </c>
      <c r="X21" s="38">
        <f>3128+897</f>
        <v>4025</v>
      </c>
      <c r="Y21" s="38">
        <v>28</v>
      </c>
      <c r="Z21" s="34">
        <v>368</v>
      </c>
      <c r="AA21" s="38">
        <f>9229+8331</f>
        <v>17560</v>
      </c>
      <c r="AB21" s="34">
        <f>19382+32137</f>
        <v>51519</v>
      </c>
      <c r="AC21" s="34">
        <f>636+2421</f>
        <v>3057</v>
      </c>
      <c r="AD21" s="34">
        <f>6135+13131</f>
        <v>19266</v>
      </c>
      <c r="AE21" s="38">
        <v>0</v>
      </c>
      <c r="AF21" s="39">
        <f>39+22</f>
        <v>61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6599</v>
      </c>
      <c r="E22" s="43">
        <f>SUM(E20:E21)</f>
        <v>793.14903846153845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902</v>
      </c>
      <c r="O22" s="43">
        <f t="shared" si="0"/>
        <v>593.42105263157896</v>
      </c>
      <c r="P22" s="42">
        <f t="shared" si="0"/>
        <v>0</v>
      </c>
      <c r="Q22" s="43">
        <f t="shared" si="0"/>
        <v>0</v>
      </c>
      <c r="R22" s="42">
        <f t="shared" si="0"/>
        <v>137814</v>
      </c>
      <c r="S22" s="43">
        <f t="shared" si="0"/>
        <v>16024.883720930233</v>
      </c>
      <c r="T22" s="44" t="e">
        <f t="shared" si="0"/>
        <v>#REF!</v>
      </c>
      <c r="U22" s="44">
        <f t="shared" si="0"/>
        <v>41019</v>
      </c>
      <c r="V22" s="44" t="e">
        <f t="shared" si="0"/>
        <v>#REF!</v>
      </c>
      <c r="W22" s="43">
        <f>SUM(W20:W21)</f>
        <v>38840.749999999985</v>
      </c>
      <c r="X22" s="42">
        <f t="shared" si="0"/>
        <v>8825</v>
      </c>
      <c r="Y22" s="42">
        <f>SUM(Y20:Y21)</f>
        <v>228</v>
      </c>
      <c r="Z22" s="44">
        <f t="shared" si="0"/>
        <v>1111</v>
      </c>
      <c r="AA22" s="42">
        <f>SUM(AA20:AA21)</f>
        <v>38490</v>
      </c>
      <c r="AB22" s="44">
        <f>SUM(AB20:AB21)</f>
        <v>99399</v>
      </c>
      <c r="AC22" s="44">
        <f t="shared" si="0"/>
        <v>4957</v>
      </c>
      <c r="AD22" s="44">
        <f t="shared" si="0"/>
        <v>33226</v>
      </c>
      <c r="AE22" s="42">
        <f t="shared" si="0"/>
        <v>615</v>
      </c>
      <c r="AF22" s="46">
        <f>SUM(AF20:AF21)</f>
        <v>231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6599</v>
      </c>
      <c r="E24" s="51">
        <f t="shared" si="1"/>
        <v>793.14903846153845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902</v>
      </c>
      <c r="O24" s="52">
        <f t="shared" si="1"/>
        <v>593.42105263157896</v>
      </c>
      <c r="P24" s="51">
        <f t="shared" si="1"/>
        <v>0</v>
      </c>
      <c r="Q24" s="51">
        <f t="shared" si="1"/>
        <v>0</v>
      </c>
      <c r="R24" s="51">
        <f t="shared" si="1"/>
        <v>137814</v>
      </c>
      <c r="S24" s="52">
        <f t="shared" si="1"/>
        <v>16024.883720930233</v>
      </c>
      <c r="T24" s="51" t="e">
        <f t="shared" si="1"/>
        <v>#REF!</v>
      </c>
      <c r="U24" s="51">
        <f t="shared" si="1"/>
        <v>41019</v>
      </c>
      <c r="V24" s="51" t="e">
        <f t="shared" si="1"/>
        <v>#REF!</v>
      </c>
      <c r="W24" s="52">
        <f t="shared" si="1"/>
        <v>38840.749999999985</v>
      </c>
      <c r="X24" s="51">
        <f t="shared" si="1"/>
        <v>8825</v>
      </c>
      <c r="Y24" s="51">
        <f t="shared" si="1"/>
        <v>228</v>
      </c>
      <c r="Z24" s="51">
        <f t="shared" si="1"/>
        <v>1111</v>
      </c>
      <c r="AA24" s="51">
        <f t="shared" si="1"/>
        <v>38490</v>
      </c>
      <c r="AB24" s="51">
        <f t="shared" si="1"/>
        <v>99399</v>
      </c>
      <c r="AC24" s="51">
        <f t="shared" si="1"/>
        <v>4957</v>
      </c>
      <c r="AD24" s="51">
        <f t="shared" si="1"/>
        <v>33226</v>
      </c>
      <c r="AE24" s="51">
        <f t="shared" si="1"/>
        <v>615</v>
      </c>
      <c r="AF24" s="53">
        <f t="shared" si="1"/>
        <v>231</v>
      </c>
    </row>
    <row r="25" spans="1:34" ht="75.75" customHeight="1" x14ac:dyDescent="0.3">
      <c r="A25" s="158" t="s">
        <v>44</v>
      </c>
      <c r="B25" s="159"/>
      <c r="C25" s="160"/>
      <c r="D25" s="38">
        <v>2289</v>
      </c>
      <c r="E25" s="32">
        <f>D25/208*25</f>
        <v>275.12019230769226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48</v>
      </c>
      <c r="O25" s="32">
        <f>N25/38*25</f>
        <v>31.578947368421051</v>
      </c>
      <c r="P25" s="38">
        <v>0</v>
      </c>
      <c r="Q25" s="32">
        <f>P25/135*25</f>
        <v>0</v>
      </c>
      <c r="R25" s="38">
        <v>21942</v>
      </c>
      <c r="S25" s="32">
        <f>R25/215*25</f>
        <v>2551.395348837209</v>
      </c>
      <c r="T25" s="47" t="s">
        <v>40</v>
      </c>
      <c r="U25" s="54">
        <v>9490</v>
      </c>
      <c r="V25" s="47"/>
      <c r="W25" s="55">
        <f>X25*2.43</f>
        <v>4813.83</v>
      </c>
      <c r="X25" s="38">
        <v>1981</v>
      </c>
      <c r="Y25" s="38">
        <v>20</v>
      </c>
      <c r="Z25" s="47">
        <v>0</v>
      </c>
      <c r="AA25" s="38">
        <f>294+9653+868</f>
        <v>10815</v>
      </c>
      <c r="AB25" s="47">
        <f>2912</f>
        <v>2912</v>
      </c>
      <c r="AC25" s="47">
        <v>0</v>
      </c>
      <c r="AD25" s="47">
        <f>4171+1386</f>
        <v>5557</v>
      </c>
      <c r="AE25" s="38">
        <v>0</v>
      </c>
      <c r="AF25" s="56">
        <v>8</v>
      </c>
    </row>
    <row r="26" spans="1:34" s="4" customFormat="1" ht="100.5" customHeight="1" thickBot="1" x14ac:dyDescent="0.25">
      <c r="A26" s="57">
        <v>44982</v>
      </c>
      <c r="B26" s="161" t="s">
        <v>45</v>
      </c>
      <c r="C26" s="162"/>
      <c r="D26" s="58">
        <f>D24-D25</f>
        <v>4310</v>
      </c>
      <c r="E26" s="59">
        <f t="shared" ref="E26:Y26" si="2">E24-E25</f>
        <v>518.02884615384619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854</v>
      </c>
      <c r="O26" s="59">
        <f t="shared" si="4"/>
        <v>561.84210526315792</v>
      </c>
      <c r="P26" s="58">
        <f>P24-P25</f>
        <v>0</v>
      </c>
      <c r="Q26" s="59">
        <f t="shared" ref="Q26" si="5">Q24-Q25</f>
        <v>0</v>
      </c>
      <c r="R26" s="58">
        <f>R24-R25</f>
        <v>115872</v>
      </c>
      <c r="S26" s="59">
        <f t="shared" si="2"/>
        <v>13473.488372093023</v>
      </c>
      <c r="T26" s="60" t="e">
        <f t="shared" si="2"/>
        <v>#REF!</v>
      </c>
      <c r="U26" s="60">
        <f t="shared" si="2"/>
        <v>31529</v>
      </c>
      <c r="V26" s="60" t="e">
        <f t="shared" si="2"/>
        <v>#REF!</v>
      </c>
      <c r="W26" s="61">
        <f>W24-W25</f>
        <v>34026.919999999984</v>
      </c>
      <c r="X26" s="58">
        <f>X24-X25</f>
        <v>6844</v>
      </c>
      <c r="Y26" s="58">
        <f t="shared" si="2"/>
        <v>208</v>
      </c>
      <c r="Z26" s="60">
        <f>Z24-Z25</f>
        <v>1111</v>
      </c>
      <c r="AA26" s="58">
        <f>AA24-AA25</f>
        <v>27675</v>
      </c>
      <c r="AB26" s="60">
        <f>AB24-AB25</f>
        <v>96487</v>
      </c>
      <c r="AC26" s="60">
        <f>AC24-AC25</f>
        <v>4957</v>
      </c>
      <c r="AD26" s="60">
        <f>AD24-AD25</f>
        <v>27669</v>
      </c>
      <c r="AE26" s="58">
        <f t="shared" ref="AE26" si="6">AE24-AE25</f>
        <v>615</v>
      </c>
      <c r="AF26" s="62">
        <f>AF24-AF25</f>
        <v>223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52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56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73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  <mergeCell ref="J17:K17"/>
    <mergeCell ref="L17:M17"/>
    <mergeCell ref="N17:O17"/>
    <mergeCell ref="P17:Q17"/>
    <mergeCell ref="R17:S17"/>
    <mergeCell ref="J16:K16"/>
    <mergeCell ref="L16:M16"/>
    <mergeCell ref="N16:O16"/>
    <mergeCell ref="P16:Q16"/>
    <mergeCell ref="R16:S16"/>
    <mergeCell ref="D16:E16"/>
    <mergeCell ref="F16:G16"/>
    <mergeCell ref="H16:I16"/>
    <mergeCell ref="D17:E17"/>
    <mergeCell ref="F17:G17"/>
    <mergeCell ref="H17:I17"/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0" zoomScale="78" zoomScaleNormal="78" workbookViewId="0">
      <selection activeCell="O25" sqref="O25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44983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47515</v>
      </c>
      <c r="S20" s="34">
        <f>R20/215*25</f>
        <v>5525</v>
      </c>
      <c r="T20" s="33" t="e">
        <f>#REF!</f>
        <v>#REF!</v>
      </c>
      <c r="U20" s="33">
        <v>10851</v>
      </c>
      <c r="V20" s="33" t="e">
        <f>#REF!</f>
        <v>#REF!</v>
      </c>
      <c r="W20" s="35">
        <v>25403</v>
      </c>
      <c r="X20" s="31">
        <v>2800</v>
      </c>
      <c r="Y20" s="31">
        <v>180</v>
      </c>
      <c r="Z20" s="33">
        <v>743</v>
      </c>
      <c r="AA20" s="31">
        <v>6930</v>
      </c>
      <c r="AB20" s="33">
        <v>43560</v>
      </c>
      <c r="AC20" s="33">
        <f>4321-2421</f>
        <v>1900</v>
      </c>
      <c r="AD20" s="33">
        <v>8460</v>
      </c>
      <c r="AE20" s="31">
        <v>615</v>
      </c>
      <c r="AF20" s="36">
        <f>192-22</f>
        <v>170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4310</v>
      </c>
      <c r="E21" s="32">
        <f>D21/208*25</f>
        <v>518.02884615384619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854</v>
      </c>
      <c r="O21" s="32">
        <f>N21/38*25</f>
        <v>561.84210526315792</v>
      </c>
      <c r="P21" s="38">
        <v>0</v>
      </c>
      <c r="Q21" s="32">
        <f>P21/135*25</f>
        <v>0</v>
      </c>
      <c r="R21" s="38">
        <v>68357</v>
      </c>
      <c r="S21" s="32">
        <f>R21/215*25</f>
        <v>7948.4883720930229</v>
      </c>
      <c r="T21" s="34"/>
      <c r="U21" s="34">
        <v>20678</v>
      </c>
      <c r="V21" s="34">
        <v>0</v>
      </c>
      <c r="W21" s="32">
        <v>8623.92</v>
      </c>
      <c r="X21" s="38">
        <v>4044</v>
      </c>
      <c r="Y21" s="38">
        <v>28</v>
      </c>
      <c r="Z21" s="34">
        <v>368</v>
      </c>
      <c r="AA21" s="38">
        <v>20745</v>
      </c>
      <c r="AB21" s="34">
        <v>52927</v>
      </c>
      <c r="AC21" s="34">
        <f>636+2421</f>
        <v>3057</v>
      </c>
      <c r="AD21" s="34">
        <v>19209</v>
      </c>
      <c r="AE21" s="38">
        <v>0</v>
      </c>
      <c r="AF21" s="39">
        <v>53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4310</v>
      </c>
      <c r="E22" s="43">
        <f>SUM(E20:E21)</f>
        <v>518.02884615384619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854</v>
      </c>
      <c r="O22" s="43">
        <f t="shared" si="0"/>
        <v>561.84210526315792</v>
      </c>
      <c r="P22" s="42">
        <f t="shared" si="0"/>
        <v>0</v>
      </c>
      <c r="Q22" s="43">
        <f t="shared" si="0"/>
        <v>0</v>
      </c>
      <c r="R22" s="42">
        <f t="shared" si="0"/>
        <v>115872</v>
      </c>
      <c r="S22" s="43">
        <f t="shared" si="0"/>
        <v>13473.488372093023</v>
      </c>
      <c r="T22" s="44" t="e">
        <f t="shared" si="0"/>
        <v>#REF!</v>
      </c>
      <c r="U22" s="44">
        <f t="shared" si="0"/>
        <v>31529</v>
      </c>
      <c r="V22" s="44" t="e">
        <f t="shared" si="0"/>
        <v>#REF!</v>
      </c>
      <c r="W22" s="43">
        <f>SUM(W20:W21)</f>
        <v>34026.92</v>
      </c>
      <c r="X22" s="42">
        <f t="shared" si="0"/>
        <v>6844</v>
      </c>
      <c r="Y22" s="42">
        <f>SUM(Y20:Y21)</f>
        <v>208</v>
      </c>
      <c r="Z22" s="44">
        <f t="shared" si="0"/>
        <v>1111</v>
      </c>
      <c r="AA22" s="42">
        <f>SUM(AA20:AA21)</f>
        <v>27675</v>
      </c>
      <c r="AB22" s="44">
        <f>SUM(AB20:AB21)</f>
        <v>96487</v>
      </c>
      <c r="AC22" s="44">
        <f t="shared" si="0"/>
        <v>4957</v>
      </c>
      <c r="AD22" s="44">
        <f t="shared" si="0"/>
        <v>27669</v>
      </c>
      <c r="AE22" s="42">
        <f t="shared" si="0"/>
        <v>615</v>
      </c>
      <c r="AF22" s="46">
        <f>SUM(AF20:AF21)</f>
        <v>223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>
        <f>200*215</f>
        <v>43000</v>
      </c>
      <c r="S23" s="32">
        <f>R23/215*25</f>
        <v>5000</v>
      </c>
      <c r="T23" s="31"/>
      <c r="U23" s="31">
        <f>500*25</f>
        <v>12500</v>
      </c>
      <c r="V23" s="31"/>
      <c r="W23" s="31">
        <v>10000</v>
      </c>
      <c r="X23" s="31">
        <v>3000</v>
      </c>
      <c r="Y23" s="31"/>
      <c r="Z23" s="31"/>
      <c r="AA23" s="31">
        <v>8500</v>
      </c>
      <c r="AB23" s="31">
        <v>8640</v>
      </c>
      <c r="AC23" s="31"/>
      <c r="AD23" s="48">
        <v>9000</v>
      </c>
      <c r="AE23" s="31">
        <v>0</v>
      </c>
      <c r="AF23" s="49">
        <v>0</v>
      </c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4310</v>
      </c>
      <c r="E24" s="51">
        <f t="shared" si="1"/>
        <v>518.02884615384619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854</v>
      </c>
      <c r="O24" s="52">
        <f t="shared" si="1"/>
        <v>561.84210526315792</v>
      </c>
      <c r="P24" s="51">
        <f t="shared" si="1"/>
        <v>0</v>
      </c>
      <c r="Q24" s="51">
        <f t="shared" si="1"/>
        <v>0</v>
      </c>
      <c r="R24" s="51">
        <f t="shared" si="1"/>
        <v>158872</v>
      </c>
      <c r="S24" s="52">
        <f t="shared" si="1"/>
        <v>18473.488372093023</v>
      </c>
      <c r="T24" s="51" t="e">
        <f t="shared" si="1"/>
        <v>#REF!</v>
      </c>
      <c r="U24" s="51">
        <f t="shared" si="1"/>
        <v>44029</v>
      </c>
      <c r="V24" s="51" t="e">
        <f t="shared" si="1"/>
        <v>#REF!</v>
      </c>
      <c r="W24" s="52">
        <f t="shared" si="1"/>
        <v>44026.92</v>
      </c>
      <c r="X24" s="51">
        <f t="shared" si="1"/>
        <v>9844</v>
      </c>
      <c r="Y24" s="51">
        <f t="shared" si="1"/>
        <v>208</v>
      </c>
      <c r="Z24" s="51">
        <f t="shared" si="1"/>
        <v>1111</v>
      </c>
      <c r="AA24" s="51">
        <f t="shared" si="1"/>
        <v>36175</v>
      </c>
      <c r="AB24" s="51">
        <f t="shared" si="1"/>
        <v>105127</v>
      </c>
      <c r="AC24" s="51">
        <f t="shared" si="1"/>
        <v>4957</v>
      </c>
      <c r="AD24" s="51">
        <f t="shared" si="1"/>
        <v>36669</v>
      </c>
      <c r="AE24" s="51">
        <f t="shared" si="1"/>
        <v>615</v>
      </c>
      <c r="AF24" s="53">
        <f t="shared" si="1"/>
        <v>223</v>
      </c>
    </row>
    <row r="25" spans="1:34" ht="75.75" customHeight="1" x14ac:dyDescent="0.3">
      <c r="A25" s="158" t="s">
        <v>44</v>
      </c>
      <c r="B25" s="159"/>
      <c r="C25" s="160"/>
      <c r="D25" s="38">
        <v>1377</v>
      </c>
      <c r="E25" s="32">
        <f>D25/208*25</f>
        <v>165.50480769230768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79</v>
      </c>
      <c r="O25" s="32">
        <f>N25/38*25</f>
        <v>51.973684210526315</v>
      </c>
      <c r="P25" s="38">
        <v>0</v>
      </c>
      <c r="Q25" s="32">
        <f>P25/135*25</f>
        <v>0</v>
      </c>
      <c r="R25" s="38">
        <v>25432</v>
      </c>
      <c r="S25" s="32">
        <f>R25/215*25</f>
        <v>2957.2093023255816</v>
      </c>
      <c r="T25" s="47" t="s">
        <v>40</v>
      </c>
      <c r="U25" s="54">
        <v>11462</v>
      </c>
      <c r="V25" s="47"/>
      <c r="W25" s="55">
        <f>X25*2.43</f>
        <v>4446.9000000000005</v>
      </c>
      <c r="X25" s="38">
        <v>1830</v>
      </c>
      <c r="Y25" s="38">
        <v>10</v>
      </c>
      <c r="Z25" s="47">
        <v>0</v>
      </c>
      <c r="AA25" s="38">
        <f>8+8905+385</f>
        <v>9298</v>
      </c>
      <c r="AB25" s="47">
        <v>3676</v>
      </c>
      <c r="AC25" s="47">
        <v>0</v>
      </c>
      <c r="AD25" s="47">
        <f>3606+1762</f>
        <v>5368</v>
      </c>
      <c r="AE25" s="38">
        <v>0</v>
      </c>
      <c r="AF25" s="56">
        <v>6</v>
      </c>
    </row>
    <row r="26" spans="1:34" s="4" customFormat="1" ht="100.5" customHeight="1" thickBot="1" x14ac:dyDescent="0.25">
      <c r="A26" s="57">
        <v>44989</v>
      </c>
      <c r="B26" s="161" t="s">
        <v>45</v>
      </c>
      <c r="C26" s="162"/>
      <c r="D26" s="58">
        <f>D24-D25</f>
        <v>2933</v>
      </c>
      <c r="E26" s="59">
        <f t="shared" ref="E26:Y26" si="2">E24-E25</f>
        <v>352.52403846153851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775</v>
      </c>
      <c r="O26" s="59">
        <f t="shared" si="4"/>
        <v>509.86842105263162</v>
      </c>
      <c r="P26" s="58">
        <f>P24-P25</f>
        <v>0</v>
      </c>
      <c r="Q26" s="59">
        <f t="shared" ref="Q26" si="5">Q24-Q25</f>
        <v>0</v>
      </c>
      <c r="R26" s="58">
        <f>R24-R25</f>
        <v>133440</v>
      </c>
      <c r="S26" s="59">
        <f t="shared" si="2"/>
        <v>15516.279069767441</v>
      </c>
      <c r="T26" s="60" t="e">
        <f t="shared" si="2"/>
        <v>#REF!</v>
      </c>
      <c r="U26" s="60">
        <f t="shared" si="2"/>
        <v>32567</v>
      </c>
      <c r="V26" s="60" t="e">
        <f t="shared" si="2"/>
        <v>#REF!</v>
      </c>
      <c r="W26" s="61">
        <f>W24-W25</f>
        <v>39580.019999999997</v>
      </c>
      <c r="X26" s="58">
        <f>X24-X25</f>
        <v>8014</v>
      </c>
      <c r="Y26" s="58">
        <f t="shared" si="2"/>
        <v>198</v>
      </c>
      <c r="Z26" s="60">
        <f>Z24-Z25</f>
        <v>1111</v>
      </c>
      <c r="AA26" s="58">
        <f>AA24-AA25</f>
        <v>26877</v>
      </c>
      <c r="AB26" s="60">
        <f>AB24-AB25</f>
        <v>101451</v>
      </c>
      <c r="AC26" s="60">
        <f>AC24-AC25</f>
        <v>4957</v>
      </c>
      <c r="AD26" s="60">
        <f>AD24-AD25</f>
        <v>31301</v>
      </c>
      <c r="AE26" s="58">
        <f t="shared" ref="AE26" si="6">AE24-AE25</f>
        <v>615</v>
      </c>
      <c r="AF26" s="62">
        <f>AF24-AF25</f>
        <v>217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6" zoomScale="78" zoomScaleNormal="78" workbookViewId="0">
      <selection activeCell="R23" sqref="R23:AF23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44990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67940</v>
      </c>
      <c r="S20" s="34">
        <f>R20/215*25</f>
        <v>7900</v>
      </c>
      <c r="T20" s="33" t="e">
        <f>#REF!</f>
        <v>#REF!</v>
      </c>
      <c r="U20" s="33">
        <v>11976</v>
      </c>
      <c r="V20" s="33" t="e">
        <f>#REF!</f>
        <v>#REF!</v>
      </c>
      <c r="W20" s="35">
        <v>30543</v>
      </c>
      <c r="X20" s="31">
        <v>3800</v>
      </c>
      <c r="Y20" s="31">
        <v>180</v>
      </c>
      <c r="Z20" s="33">
        <v>743</v>
      </c>
      <c r="AA20" s="31">
        <v>1430</v>
      </c>
      <c r="AB20" s="33">
        <v>47880</v>
      </c>
      <c r="AC20" s="33">
        <f>4321-2421</f>
        <v>1900</v>
      </c>
      <c r="AD20" s="33">
        <v>11960</v>
      </c>
      <c r="AE20" s="31">
        <v>615</v>
      </c>
      <c r="AF20" s="36">
        <f>192-22</f>
        <v>170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2933</v>
      </c>
      <c r="E21" s="32">
        <f>D21/208*25</f>
        <v>352.52403846153845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775</v>
      </c>
      <c r="O21" s="32">
        <f>N21/38*25</f>
        <v>509.86842105263162</v>
      </c>
      <c r="P21" s="38">
        <v>0</v>
      </c>
      <c r="Q21" s="32">
        <f>P21/135*25</f>
        <v>0</v>
      </c>
      <c r="R21" s="38">
        <v>65500</v>
      </c>
      <c r="S21" s="32">
        <f>R21/215*25</f>
        <v>7616.2790697674427</v>
      </c>
      <c r="T21" s="34"/>
      <c r="U21" s="34">
        <v>20591</v>
      </c>
      <c r="V21" s="34">
        <v>0</v>
      </c>
      <c r="W21" s="32">
        <v>9037.02</v>
      </c>
      <c r="X21" s="38">
        <v>4214</v>
      </c>
      <c r="Y21" s="38">
        <v>18</v>
      </c>
      <c r="Z21" s="34">
        <v>368</v>
      </c>
      <c r="AA21" s="38">
        <v>25447</v>
      </c>
      <c r="AB21" s="34">
        <v>53571</v>
      </c>
      <c r="AC21" s="34">
        <v>3057</v>
      </c>
      <c r="AD21" s="34">
        <v>19341</v>
      </c>
      <c r="AE21" s="38">
        <v>0</v>
      </c>
      <c r="AF21" s="39">
        <v>47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2933</v>
      </c>
      <c r="E22" s="43">
        <f>SUM(E20:E21)</f>
        <v>352.52403846153845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775</v>
      </c>
      <c r="O22" s="43">
        <f t="shared" si="0"/>
        <v>509.86842105263162</v>
      </c>
      <c r="P22" s="42">
        <f t="shared" si="0"/>
        <v>0</v>
      </c>
      <c r="Q22" s="43">
        <f t="shared" si="0"/>
        <v>0</v>
      </c>
      <c r="R22" s="42">
        <f t="shared" si="0"/>
        <v>133440</v>
      </c>
      <c r="S22" s="43">
        <f t="shared" si="0"/>
        <v>15516.279069767443</v>
      </c>
      <c r="T22" s="44" t="e">
        <f t="shared" si="0"/>
        <v>#REF!</v>
      </c>
      <c r="U22" s="44">
        <f t="shared" si="0"/>
        <v>32567</v>
      </c>
      <c r="V22" s="44" t="e">
        <f t="shared" si="0"/>
        <v>#REF!</v>
      </c>
      <c r="W22" s="43">
        <f>SUM(W20:W21)</f>
        <v>39580.020000000004</v>
      </c>
      <c r="X22" s="42">
        <f t="shared" si="0"/>
        <v>8014</v>
      </c>
      <c r="Y22" s="42">
        <f>SUM(Y20:Y21)</f>
        <v>198</v>
      </c>
      <c r="Z22" s="44">
        <f t="shared" si="0"/>
        <v>1111</v>
      </c>
      <c r="AA22" s="42">
        <f>SUM(AA20:AA21)</f>
        <v>26877</v>
      </c>
      <c r="AB22" s="44">
        <f>SUM(AB20:AB21)</f>
        <v>101451</v>
      </c>
      <c r="AC22" s="44">
        <f t="shared" si="0"/>
        <v>4957</v>
      </c>
      <c r="AD22" s="44">
        <f t="shared" si="0"/>
        <v>31301</v>
      </c>
      <c r="AE22" s="42">
        <f t="shared" si="0"/>
        <v>615</v>
      </c>
      <c r="AF22" s="46">
        <f>SUM(AF20:AF21)</f>
        <v>217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>
        <f>250*215</f>
        <v>53750</v>
      </c>
      <c r="S23" s="32">
        <f>R23/215*25</f>
        <v>6250</v>
      </c>
      <c r="T23" s="31"/>
      <c r="U23" s="31">
        <v>20000</v>
      </c>
      <c r="V23" s="31"/>
      <c r="W23" s="31">
        <v>12000</v>
      </c>
      <c r="X23" s="31">
        <v>5000</v>
      </c>
      <c r="Y23" s="31"/>
      <c r="Z23" s="31"/>
      <c r="AA23" s="31">
        <f>16750+1800+1320</f>
        <v>19870</v>
      </c>
      <c r="AB23" s="31">
        <v>19800</v>
      </c>
      <c r="AC23" s="31"/>
      <c r="AD23" s="48">
        <v>13500</v>
      </c>
      <c r="AE23" s="31">
        <v>0</v>
      </c>
      <c r="AF23" s="49">
        <v>0</v>
      </c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2933</v>
      </c>
      <c r="E24" s="51">
        <f t="shared" si="1"/>
        <v>352.52403846153845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775</v>
      </c>
      <c r="O24" s="52">
        <f t="shared" si="1"/>
        <v>509.86842105263162</v>
      </c>
      <c r="P24" s="51">
        <f t="shared" si="1"/>
        <v>0</v>
      </c>
      <c r="Q24" s="51">
        <f t="shared" si="1"/>
        <v>0</v>
      </c>
      <c r="R24" s="51">
        <f t="shared" si="1"/>
        <v>187190</v>
      </c>
      <c r="S24" s="52">
        <f t="shared" si="1"/>
        <v>21766.279069767443</v>
      </c>
      <c r="T24" s="51" t="e">
        <f t="shared" si="1"/>
        <v>#REF!</v>
      </c>
      <c r="U24" s="51">
        <f t="shared" si="1"/>
        <v>52567</v>
      </c>
      <c r="V24" s="51" t="e">
        <f t="shared" si="1"/>
        <v>#REF!</v>
      </c>
      <c r="W24" s="52">
        <f t="shared" si="1"/>
        <v>51580.020000000004</v>
      </c>
      <c r="X24" s="51">
        <f t="shared" si="1"/>
        <v>13014</v>
      </c>
      <c r="Y24" s="51">
        <f t="shared" si="1"/>
        <v>198</v>
      </c>
      <c r="Z24" s="51">
        <f t="shared" si="1"/>
        <v>1111</v>
      </c>
      <c r="AA24" s="51">
        <f t="shared" si="1"/>
        <v>46747</v>
      </c>
      <c r="AB24" s="51">
        <f t="shared" si="1"/>
        <v>121251</v>
      </c>
      <c r="AC24" s="51">
        <f t="shared" si="1"/>
        <v>4957</v>
      </c>
      <c r="AD24" s="51">
        <f t="shared" si="1"/>
        <v>44801</v>
      </c>
      <c r="AE24" s="51">
        <f t="shared" si="1"/>
        <v>615</v>
      </c>
      <c r="AF24" s="53">
        <f t="shared" si="1"/>
        <v>217</v>
      </c>
    </row>
    <row r="25" spans="1:34" ht="75.75" customHeight="1" x14ac:dyDescent="0.3">
      <c r="A25" s="158" t="s">
        <v>44</v>
      </c>
      <c r="B25" s="159"/>
      <c r="C25" s="160"/>
      <c r="D25" s="38">
        <v>450</v>
      </c>
      <c r="E25" s="32">
        <f>D25/208*25</f>
        <v>54.08653846153846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72</v>
      </c>
      <c r="O25" s="32">
        <f>N25/38*25</f>
        <v>47.368421052631575</v>
      </c>
      <c r="P25" s="38">
        <v>0</v>
      </c>
      <c r="Q25" s="32">
        <f>P25/135*25</f>
        <v>0</v>
      </c>
      <c r="R25" s="38">
        <v>26139</v>
      </c>
      <c r="S25" s="32">
        <f>R25/215*25</f>
        <v>3039.4186046511627</v>
      </c>
      <c r="T25" s="47" t="s">
        <v>40</v>
      </c>
      <c r="U25" s="54">
        <v>8510</v>
      </c>
      <c r="V25" s="47"/>
      <c r="W25" s="55">
        <f>X25*2.43</f>
        <v>4949.9100000000008</v>
      </c>
      <c r="X25" s="38">
        <v>2037</v>
      </c>
      <c r="Y25" s="38">
        <v>2</v>
      </c>
      <c r="Z25" s="47">
        <v>0</v>
      </c>
      <c r="AA25" s="38">
        <f>10+8166</f>
        <v>8176</v>
      </c>
      <c r="AB25" s="47">
        <v>4923</v>
      </c>
      <c r="AC25" s="47">
        <v>0</v>
      </c>
      <c r="AD25" s="47">
        <f>4215+1456</f>
        <v>5671</v>
      </c>
      <c r="AE25" s="38">
        <v>0</v>
      </c>
      <c r="AF25" s="56">
        <v>6</v>
      </c>
    </row>
    <row r="26" spans="1:34" s="4" customFormat="1" ht="100.5" customHeight="1" thickBot="1" x14ac:dyDescent="0.25">
      <c r="A26" s="57">
        <v>44996</v>
      </c>
      <c r="B26" s="161" t="s">
        <v>45</v>
      </c>
      <c r="C26" s="162"/>
      <c r="D26" s="58">
        <f>D24-D25</f>
        <v>2483</v>
      </c>
      <c r="E26" s="59">
        <f t="shared" ref="E26:Y26" si="2">E24-E25</f>
        <v>298.4375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703</v>
      </c>
      <c r="O26" s="59">
        <f t="shared" si="4"/>
        <v>462.50000000000006</v>
      </c>
      <c r="P26" s="58">
        <f>P24-P25</f>
        <v>0</v>
      </c>
      <c r="Q26" s="59">
        <f t="shared" ref="Q26" si="5">Q24-Q25</f>
        <v>0</v>
      </c>
      <c r="R26" s="58">
        <f>R24-R25</f>
        <v>161051</v>
      </c>
      <c r="S26" s="59">
        <f t="shared" si="2"/>
        <v>18726.860465116279</v>
      </c>
      <c r="T26" s="60" t="e">
        <f t="shared" si="2"/>
        <v>#REF!</v>
      </c>
      <c r="U26" s="60">
        <f t="shared" si="2"/>
        <v>44057</v>
      </c>
      <c r="V26" s="60" t="e">
        <f t="shared" si="2"/>
        <v>#REF!</v>
      </c>
      <c r="W26" s="61">
        <f>W24-W25</f>
        <v>46630.11</v>
      </c>
      <c r="X26" s="58">
        <f>X24-X25</f>
        <v>10977</v>
      </c>
      <c r="Y26" s="58">
        <f t="shared" si="2"/>
        <v>196</v>
      </c>
      <c r="Z26" s="60">
        <f>Z24-Z25</f>
        <v>1111</v>
      </c>
      <c r="AA26" s="58">
        <f>AA24-AA25</f>
        <v>38571</v>
      </c>
      <c r="AB26" s="60">
        <f>AB24-AB25</f>
        <v>116328</v>
      </c>
      <c r="AC26" s="60">
        <f>AC24-AC25</f>
        <v>4957</v>
      </c>
      <c r="AD26" s="60">
        <f>AD24-AD25</f>
        <v>39130</v>
      </c>
      <c r="AE26" s="58">
        <f t="shared" ref="AE26" si="6">AE24-AE25</f>
        <v>615</v>
      </c>
      <c r="AF26" s="62">
        <f>AF24-AF25</f>
        <v>211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  <mergeCell ref="J17:K17"/>
    <mergeCell ref="L17:M17"/>
    <mergeCell ref="N17:O17"/>
    <mergeCell ref="P17:Q17"/>
    <mergeCell ref="R17:S17"/>
    <mergeCell ref="J16:K16"/>
    <mergeCell ref="L16:M16"/>
    <mergeCell ref="N16:O16"/>
    <mergeCell ref="P16:Q16"/>
    <mergeCell ref="R16:S16"/>
    <mergeCell ref="D16:E16"/>
    <mergeCell ref="F16:G16"/>
    <mergeCell ref="H16:I16"/>
    <mergeCell ref="D17:E17"/>
    <mergeCell ref="F17:G17"/>
    <mergeCell ref="H17:I17"/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3" zoomScale="78" zoomScaleNormal="78" workbookViewId="0">
      <selection activeCell="A36" sqref="A36:A38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4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44997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105565</v>
      </c>
      <c r="S20" s="34">
        <f>R20/215*25</f>
        <v>12275</v>
      </c>
      <c r="T20" s="33" t="e">
        <f>#REF!</f>
        <v>#REF!</v>
      </c>
      <c r="U20" s="33">
        <v>25726</v>
      </c>
      <c r="V20" s="33" t="e">
        <f>#REF!</f>
        <v>#REF!</v>
      </c>
      <c r="W20" s="35">
        <v>39019.5</v>
      </c>
      <c r="X20" s="31">
        <v>7350</v>
      </c>
      <c r="Y20" s="31">
        <v>180</v>
      </c>
      <c r="Z20" s="33">
        <v>743</v>
      </c>
      <c r="AA20" s="31">
        <v>14690</v>
      </c>
      <c r="AB20" s="33">
        <v>57600</v>
      </c>
      <c r="AC20" s="33">
        <f>4321-2421</f>
        <v>1900</v>
      </c>
      <c r="AD20" s="33">
        <v>19160</v>
      </c>
      <c r="AE20" s="31">
        <v>615</v>
      </c>
      <c r="AF20" s="36">
        <f>192-22</f>
        <v>170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2483</v>
      </c>
      <c r="E21" s="32">
        <f>D21/208*25</f>
        <v>298.4375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703</v>
      </c>
      <c r="O21" s="32">
        <f>N21/38*25</f>
        <v>462.5</v>
      </c>
      <c r="P21" s="38">
        <v>0</v>
      </c>
      <c r="Q21" s="32">
        <f>P21/135*25</f>
        <v>0</v>
      </c>
      <c r="R21" s="38">
        <v>55486</v>
      </c>
      <c r="S21" s="32">
        <f>R21/215*25</f>
        <v>6451.8604651162786</v>
      </c>
      <c r="T21" s="34"/>
      <c r="U21" s="34">
        <v>18331</v>
      </c>
      <c r="V21" s="34">
        <v>0</v>
      </c>
      <c r="W21" s="32">
        <v>7610.61</v>
      </c>
      <c r="X21" s="38">
        <v>3627</v>
      </c>
      <c r="Y21" s="38">
        <v>16</v>
      </c>
      <c r="Z21" s="34">
        <v>368</v>
      </c>
      <c r="AA21" s="38">
        <f>27631-3750</f>
        <v>23881</v>
      </c>
      <c r="AB21" s="34">
        <v>58728</v>
      </c>
      <c r="AC21" s="34">
        <v>3057</v>
      </c>
      <c r="AD21" s="34">
        <v>19970</v>
      </c>
      <c r="AE21" s="38">
        <v>0</v>
      </c>
      <c r="AF21" s="39">
        <v>41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2483</v>
      </c>
      <c r="E22" s="43">
        <f>SUM(E20:E21)</f>
        <v>298.4375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703</v>
      </c>
      <c r="O22" s="43">
        <f t="shared" si="0"/>
        <v>462.5</v>
      </c>
      <c r="P22" s="42">
        <f t="shared" si="0"/>
        <v>0</v>
      </c>
      <c r="Q22" s="43">
        <f t="shared" si="0"/>
        <v>0</v>
      </c>
      <c r="R22" s="42">
        <f t="shared" si="0"/>
        <v>161051</v>
      </c>
      <c r="S22" s="43">
        <f t="shared" si="0"/>
        <v>18726.860465116279</v>
      </c>
      <c r="T22" s="44" t="e">
        <f t="shared" si="0"/>
        <v>#REF!</v>
      </c>
      <c r="U22" s="44">
        <f t="shared" si="0"/>
        <v>44057</v>
      </c>
      <c r="V22" s="44" t="e">
        <f t="shared" si="0"/>
        <v>#REF!</v>
      </c>
      <c r="W22" s="43">
        <f>SUM(W20:W21)</f>
        <v>46630.11</v>
      </c>
      <c r="X22" s="42">
        <f t="shared" si="0"/>
        <v>10977</v>
      </c>
      <c r="Y22" s="42">
        <f>SUM(Y20:Y21)</f>
        <v>196</v>
      </c>
      <c r="Z22" s="44">
        <f t="shared" si="0"/>
        <v>1111</v>
      </c>
      <c r="AA22" s="42">
        <f>SUM(AA20:AA21)</f>
        <v>38571</v>
      </c>
      <c r="AB22" s="44">
        <f>SUM(AB20:AB21)</f>
        <v>116328</v>
      </c>
      <c r="AC22" s="44">
        <f t="shared" si="0"/>
        <v>4957</v>
      </c>
      <c r="AD22" s="44">
        <f t="shared" si="0"/>
        <v>39130</v>
      </c>
      <c r="AE22" s="42">
        <f t="shared" si="0"/>
        <v>615</v>
      </c>
      <c r="AF22" s="46">
        <f>SUM(AF20:AF21)</f>
        <v>211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2483</v>
      </c>
      <c r="E24" s="51">
        <f t="shared" si="1"/>
        <v>298.4375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703</v>
      </c>
      <c r="O24" s="52">
        <f t="shared" si="1"/>
        <v>462.5</v>
      </c>
      <c r="P24" s="51">
        <f t="shared" si="1"/>
        <v>0</v>
      </c>
      <c r="Q24" s="51">
        <f t="shared" si="1"/>
        <v>0</v>
      </c>
      <c r="R24" s="51">
        <f t="shared" si="1"/>
        <v>161051</v>
      </c>
      <c r="S24" s="52">
        <f t="shared" si="1"/>
        <v>18726.860465116279</v>
      </c>
      <c r="T24" s="51" t="e">
        <f t="shared" si="1"/>
        <v>#REF!</v>
      </c>
      <c r="U24" s="51">
        <f t="shared" si="1"/>
        <v>44057</v>
      </c>
      <c r="V24" s="51" t="e">
        <f t="shared" si="1"/>
        <v>#REF!</v>
      </c>
      <c r="W24" s="52">
        <f t="shared" si="1"/>
        <v>46630.11</v>
      </c>
      <c r="X24" s="51">
        <f t="shared" si="1"/>
        <v>10977</v>
      </c>
      <c r="Y24" s="51">
        <f t="shared" si="1"/>
        <v>196</v>
      </c>
      <c r="Z24" s="51">
        <f t="shared" si="1"/>
        <v>1111</v>
      </c>
      <c r="AA24" s="51">
        <f t="shared" si="1"/>
        <v>38571</v>
      </c>
      <c r="AB24" s="51">
        <f t="shared" si="1"/>
        <v>116328</v>
      </c>
      <c r="AC24" s="51">
        <f t="shared" si="1"/>
        <v>4957</v>
      </c>
      <c r="AD24" s="51">
        <f t="shared" si="1"/>
        <v>39130</v>
      </c>
      <c r="AE24" s="51">
        <f t="shared" si="1"/>
        <v>615</v>
      </c>
      <c r="AF24" s="53">
        <f t="shared" si="1"/>
        <v>211</v>
      </c>
    </row>
    <row r="25" spans="1:34" ht="75.75" customHeight="1" x14ac:dyDescent="0.3">
      <c r="A25" s="158" t="s">
        <v>44</v>
      </c>
      <c r="B25" s="159"/>
      <c r="C25" s="160"/>
      <c r="D25" s="38">
        <v>799</v>
      </c>
      <c r="E25" s="32">
        <f>D25/208*25</f>
        <v>96.03365384615384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74</v>
      </c>
      <c r="O25" s="32">
        <f>N25/38*25</f>
        <v>48.684210526315788</v>
      </c>
      <c r="P25" s="38">
        <v>0</v>
      </c>
      <c r="Q25" s="32">
        <f>P25/135*25</f>
        <v>0</v>
      </c>
      <c r="R25" s="38">
        <v>27033</v>
      </c>
      <c r="S25" s="32">
        <f>R25/215*25</f>
        <v>3143.3720930232557</v>
      </c>
      <c r="T25" s="47" t="s">
        <v>40</v>
      </c>
      <c r="U25" s="54">
        <v>9456</v>
      </c>
      <c r="V25" s="47"/>
      <c r="W25" s="55">
        <f>X25*2.43</f>
        <v>4796.8200000000006</v>
      </c>
      <c r="X25" s="38">
        <v>1974</v>
      </c>
      <c r="Y25" s="38">
        <v>4</v>
      </c>
      <c r="Z25" s="47">
        <v>0</v>
      </c>
      <c r="AA25" s="38">
        <f>542+7765</f>
        <v>8307</v>
      </c>
      <c r="AB25" s="47">
        <v>6262</v>
      </c>
      <c r="AC25" s="47">
        <v>0</v>
      </c>
      <c r="AD25" s="47">
        <f>4255+1709</f>
        <v>5964</v>
      </c>
      <c r="AE25" s="38">
        <v>0</v>
      </c>
      <c r="AF25" s="56">
        <v>8</v>
      </c>
    </row>
    <row r="26" spans="1:34" s="4" customFormat="1" ht="100.5" customHeight="1" thickBot="1" x14ac:dyDescent="0.25">
      <c r="A26" s="57">
        <v>45003</v>
      </c>
      <c r="B26" s="161" t="s">
        <v>45</v>
      </c>
      <c r="C26" s="162"/>
      <c r="D26" s="58">
        <f>D24-D25</f>
        <v>1684</v>
      </c>
      <c r="E26" s="59">
        <f t="shared" ref="E26:Y26" si="2">E24-E25</f>
        <v>202.40384615384616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629</v>
      </c>
      <c r="O26" s="59">
        <f t="shared" si="4"/>
        <v>413.81578947368422</v>
      </c>
      <c r="P26" s="58">
        <f>P24-P25</f>
        <v>0</v>
      </c>
      <c r="Q26" s="59">
        <f t="shared" ref="Q26" si="5">Q24-Q25</f>
        <v>0</v>
      </c>
      <c r="R26" s="58">
        <f>R24-R25</f>
        <v>134018</v>
      </c>
      <c r="S26" s="59">
        <f t="shared" si="2"/>
        <v>15583.488372093023</v>
      </c>
      <c r="T26" s="60" t="e">
        <f t="shared" si="2"/>
        <v>#REF!</v>
      </c>
      <c r="U26" s="60">
        <f t="shared" si="2"/>
        <v>34601</v>
      </c>
      <c r="V26" s="60" t="e">
        <f t="shared" si="2"/>
        <v>#REF!</v>
      </c>
      <c r="W26" s="61">
        <f>W24-W25</f>
        <v>41833.29</v>
      </c>
      <c r="X26" s="58">
        <f>X24-X25</f>
        <v>9003</v>
      </c>
      <c r="Y26" s="58">
        <f t="shared" si="2"/>
        <v>192</v>
      </c>
      <c r="Z26" s="60">
        <f>Z24-Z25</f>
        <v>1111</v>
      </c>
      <c r="AA26" s="58">
        <f>AA24-AA25</f>
        <v>30264</v>
      </c>
      <c r="AB26" s="60">
        <f>AB24-AB25</f>
        <v>110066</v>
      </c>
      <c r="AC26" s="60">
        <f>AC24-AC25</f>
        <v>4957</v>
      </c>
      <c r="AD26" s="60">
        <f>AD24-AD25</f>
        <v>33166</v>
      </c>
      <c r="AE26" s="58">
        <f t="shared" ref="AE26" si="6">AE24-AE25</f>
        <v>615</v>
      </c>
      <c r="AF26" s="62">
        <f>AF24-AF25</f>
        <v>203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3" zoomScale="78" zoomScaleNormal="78" workbookViewId="0">
      <selection activeCell="AA27" sqref="AA27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7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79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45004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76540</v>
      </c>
      <c r="S20" s="34">
        <f>R20/215*25</f>
        <v>8900</v>
      </c>
      <c r="T20" s="33" t="e">
        <f>#REF!</f>
        <v>#REF!</v>
      </c>
      <c r="U20" s="33">
        <v>17476</v>
      </c>
      <c r="V20" s="33" t="e">
        <f>#REF!</f>
        <v>#REF!</v>
      </c>
      <c r="W20" s="35">
        <v>34645.5</v>
      </c>
      <c r="X20" s="31">
        <v>5550</v>
      </c>
      <c r="Y20" s="31">
        <v>180</v>
      </c>
      <c r="Z20" s="33">
        <v>743</v>
      </c>
      <c r="AA20" s="31">
        <v>1680</v>
      </c>
      <c r="AB20" s="33">
        <v>47160</v>
      </c>
      <c r="AC20" s="33">
        <v>1900</v>
      </c>
      <c r="AD20" s="33">
        <v>13760</v>
      </c>
      <c r="AE20" s="31">
        <v>615</v>
      </c>
      <c r="AF20" s="36">
        <f>192-22</f>
        <v>170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1684</v>
      </c>
      <c r="E21" s="32">
        <f>D21/208*25</f>
        <v>202.40384615384616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629</v>
      </c>
      <c r="O21" s="32">
        <f>N21/38*25</f>
        <v>413.81578947368428</v>
      </c>
      <c r="P21" s="38">
        <v>0</v>
      </c>
      <c r="Q21" s="32">
        <f>P21/135*25</f>
        <v>0</v>
      </c>
      <c r="R21" s="38">
        <v>57478</v>
      </c>
      <c r="S21" s="32">
        <f>R21/215*25</f>
        <v>6683.4883720930238</v>
      </c>
      <c r="T21" s="34"/>
      <c r="U21" s="34">
        <v>17125</v>
      </c>
      <c r="V21" s="34">
        <v>0</v>
      </c>
      <c r="W21" s="32">
        <v>7187.7899999999991</v>
      </c>
      <c r="X21" s="38">
        <v>3453</v>
      </c>
      <c r="Y21" s="38">
        <v>12</v>
      </c>
      <c r="Z21" s="34">
        <v>368</v>
      </c>
      <c r="AA21" s="38">
        <v>28584</v>
      </c>
      <c r="AB21" s="34">
        <v>62906</v>
      </c>
      <c r="AC21" s="34">
        <v>3057</v>
      </c>
      <c r="AD21" s="34">
        <v>19406</v>
      </c>
      <c r="AE21" s="38">
        <v>0</v>
      </c>
      <c r="AF21" s="39">
        <v>33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1684</v>
      </c>
      <c r="E22" s="43">
        <f>SUM(E20:E21)</f>
        <v>202.40384615384616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629</v>
      </c>
      <c r="O22" s="43">
        <f t="shared" si="0"/>
        <v>413.81578947368428</v>
      </c>
      <c r="P22" s="42">
        <f t="shared" si="0"/>
        <v>0</v>
      </c>
      <c r="Q22" s="43">
        <f t="shared" si="0"/>
        <v>0</v>
      </c>
      <c r="R22" s="42">
        <f t="shared" si="0"/>
        <v>134018</v>
      </c>
      <c r="S22" s="43">
        <f t="shared" si="0"/>
        <v>15583.488372093023</v>
      </c>
      <c r="T22" s="44" t="e">
        <f t="shared" si="0"/>
        <v>#REF!</v>
      </c>
      <c r="U22" s="44">
        <f t="shared" si="0"/>
        <v>34601</v>
      </c>
      <c r="V22" s="44" t="e">
        <f t="shared" si="0"/>
        <v>#REF!</v>
      </c>
      <c r="W22" s="43">
        <f>SUM(W20:W21)</f>
        <v>41833.29</v>
      </c>
      <c r="X22" s="42">
        <f t="shared" si="0"/>
        <v>9003</v>
      </c>
      <c r="Y22" s="42">
        <f>SUM(Y20:Y21)</f>
        <v>192</v>
      </c>
      <c r="Z22" s="44">
        <f t="shared" si="0"/>
        <v>1111</v>
      </c>
      <c r="AA22" s="42">
        <f>SUM(AA20:AA21)</f>
        <v>30264</v>
      </c>
      <c r="AB22" s="44">
        <f>SUM(AB20:AB21)</f>
        <v>110066</v>
      </c>
      <c r="AC22" s="44">
        <f t="shared" si="0"/>
        <v>4957</v>
      </c>
      <c r="AD22" s="44">
        <f t="shared" si="0"/>
        <v>33166</v>
      </c>
      <c r="AE22" s="42">
        <f t="shared" si="0"/>
        <v>615</v>
      </c>
      <c r="AF22" s="46">
        <f>SUM(AF20:AF21)</f>
        <v>203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1684</v>
      </c>
      <c r="E24" s="51">
        <f t="shared" si="1"/>
        <v>202.40384615384616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629</v>
      </c>
      <c r="O24" s="52">
        <f t="shared" si="1"/>
        <v>413.81578947368428</v>
      </c>
      <c r="P24" s="51">
        <f t="shared" si="1"/>
        <v>0</v>
      </c>
      <c r="Q24" s="51">
        <f t="shared" si="1"/>
        <v>0</v>
      </c>
      <c r="R24" s="51">
        <f t="shared" si="1"/>
        <v>134018</v>
      </c>
      <c r="S24" s="52">
        <f t="shared" si="1"/>
        <v>15583.488372093023</v>
      </c>
      <c r="T24" s="51" t="e">
        <f t="shared" si="1"/>
        <v>#REF!</v>
      </c>
      <c r="U24" s="51">
        <f t="shared" si="1"/>
        <v>34601</v>
      </c>
      <c r="V24" s="51" t="e">
        <f t="shared" si="1"/>
        <v>#REF!</v>
      </c>
      <c r="W24" s="52">
        <f t="shared" si="1"/>
        <v>41833.29</v>
      </c>
      <c r="X24" s="51">
        <f t="shared" si="1"/>
        <v>9003</v>
      </c>
      <c r="Y24" s="51">
        <f t="shared" si="1"/>
        <v>192</v>
      </c>
      <c r="Z24" s="51">
        <f t="shared" si="1"/>
        <v>1111</v>
      </c>
      <c r="AA24" s="51">
        <f t="shared" si="1"/>
        <v>30264</v>
      </c>
      <c r="AB24" s="51">
        <f t="shared" si="1"/>
        <v>110066</v>
      </c>
      <c r="AC24" s="51">
        <f t="shared" si="1"/>
        <v>4957</v>
      </c>
      <c r="AD24" s="51">
        <f t="shared" si="1"/>
        <v>33166</v>
      </c>
      <c r="AE24" s="51">
        <f t="shared" si="1"/>
        <v>615</v>
      </c>
      <c r="AF24" s="53">
        <f t="shared" si="1"/>
        <v>203</v>
      </c>
    </row>
    <row r="25" spans="1:34" ht="75.75" customHeight="1" x14ac:dyDescent="0.3">
      <c r="A25" s="158" t="s">
        <v>44</v>
      </c>
      <c r="B25" s="159"/>
      <c r="C25" s="160"/>
      <c r="D25" s="38">
        <v>633</v>
      </c>
      <c r="E25" s="32">
        <f>D25/208*25</f>
        <v>76.081730769230774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63</v>
      </c>
      <c r="O25" s="32">
        <f>N25/38*25</f>
        <v>41.44736842105263</v>
      </c>
      <c r="P25" s="38">
        <v>0</v>
      </c>
      <c r="Q25" s="32">
        <f>P25/135*25</f>
        <v>0</v>
      </c>
      <c r="R25" s="38">
        <v>24364</v>
      </c>
      <c r="S25" s="32">
        <f>R25/215*25</f>
        <v>2833.0232558139537</v>
      </c>
      <c r="T25" s="47" t="s">
        <v>40</v>
      </c>
      <c r="U25" s="54">
        <v>7912</v>
      </c>
      <c r="V25" s="47"/>
      <c r="W25" s="55">
        <f>X25*2.43</f>
        <v>4070.2500000000005</v>
      </c>
      <c r="X25" s="38">
        <v>1675</v>
      </c>
      <c r="Y25" s="38">
        <v>5</v>
      </c>
      <c r="Z25" s="47">
        <v>0</v>
      </c>
      <c r="AA25" s="38">
        <f>514+6213+338</f>
        <v>7065</v>
      </c>
      <c r="AB25" s="47">
        <v>5422</v>
      </c>
      <c r="AC25" s="47">
        <v>0</v>
      </c>
      <c r="AD25" s="47">
        <f>3564+1529</f>
        <v>5093</v>
      </c>
      <c r="AE25" s="38">
        <v>0</v>
      </c>
      <c r="AF25" s="56">
        <v>10</v>
      </c>
    </row>
    <row r="26" spans="1:34" s="4" customFormat="1" ht="100.5" customHeight="1" thickBot="1" x14ac:dyDescent="0.25">
      <c r="A26" s="57">
        <v>45010</v>
      </c>
      <c r="B26" s="161" t="s">
        <v>45</v>
      </c>
      <c r="C26" s="162"/>
      <c r="D26" s="58">
        <f>D24-D25</f>
        <v>1051</v>
      </c>
      <c r="E26" s="59">
        <f t="shared" ref="E26:Y26" si="2">E24-E25</f>
        <v>126.32211538461539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566</v>
      </c>
      <c r="O26" s="59">
        <f t="shared" si="4"/>
        <v>372.36842105263167</v>
      </c>
      <c r="P26" s="58">
        <f>P24-P25</f>
        <v>0</v>
      </c>
      <c r="Q26" s="59">
        <f t="shared" ref="Q26" si="5">Q24-Q25</f>
        <v>0</v>
      </c>
      <c r="R26" s="58">
        <f>R24-R25</f>
        <v>109654</v>
      </c>
      <c r="S26" s="59">
        <f t="shared" si="2"/>
        <v>12750.465116279069</v>
      </c>
      <c r="T26" s="60" t="e">
        <f t="shared" si="2"/>
        <v>#REF!</v>
      </c>
      <c r="U26" s="60">
        <f t="shared" si="2"/>
        <v>26689</v>
      </c>
      <c r="V26" s="60" t="e">
        <f t="shared" si="2"/>
        <v>#REF!</v>
      </c>
      <c r="W26" s="61">
        <f>W24-W25</f>
        <v>37763.040000000001</v>
      </c>
      <c r="X26" s="58">
        <f>X24-X25</f>
        <v>7328</v>
      </c>
      <c r="Y26" s="58">
        <f t="shared" si="2"/>
        <v>187</v>
      </c>
      <c r="Z26" s="60">
        <f>Z24-Z25</f>
        <v>1111</v>
      </c>
      <c r="AA26" s="58">
        <f>AA24-AA25</f>
        <v>23199</v>
      </c>
      <c r="AB26" s="60">
        <f>AB24-AB25</f>
        <v>104644</v>
      </c>
      <c r="AC26" s="60">
        <f>AC24-AC25</f>
        <v>4957</v>
      </c>
      <c r="AD26" s="60">
        <f>AD24-AD25</f>
        <v>28073</v>
      </c>
      <c r="AE26" s="58">
        <f t="shared" ref="AE26" si="6">AE24-AE25</f>
        <v>615</v>
      </c>
      <c r="AF26" s="62">
        <f>AF24-AF25</f>
        <v>193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  <mergeCell ref="J17:K17"/>
    <mergeCell ref="L17:M17"/>
    <mergeCell ref="N17:O17"/>
    <mergeCell ref="P17:Q17"/>
    <mergeCell ref="R17:S17"/>
    <mergeCell ref="J16:K16"/>
    <mergeCell ref="L16:M16"/>
    <mergeCell ref="N16:O16"/>
    <mergeCell ref="P16:Q16"/>
    <mergeCell ref="R16:S16"/>
    <mergeCell ref="D16:E16"/>
    <mergeCell ref="F16:G16"/>
    <mergeCell ref="H16:I16"/>
    <mergeCell ref="D17:E17"/>
    <mergeCell ref="F17:G17"/>
    <mergeCell ref="H17:I17"/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0" zoomScale="78" zoomScaleNormal="78" workbookViewId="0">
      <selection activeCell="O41" sqref="O41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7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80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45011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46440</v>
      </c>
      <c r="S20" s="34">
        <f>R20/215*25</f>
        <v>5400</v>
      </c>
      <c r="T20" s="33" t="e">
        <f>#REF!</f>
        <v>#REF!</v>
      </c>
      <c r="U20" s="33">
        <v>7726</v>
      </c>
      <c r="V20" s="33" t="e">
        <f>#REF!</f>
        <v>#REF!</v>
      </c>
      <c r="W20" s="35">
        <v>29785.5</v>
      </c>
      <c r="X20" s="31">
        <v>3550</v>
      </c>
      <c r="Y20" s="31">
        <v>180</v>
      </c>
      <c r="Z20" s="33">
        <v>743</v>
      </c>
      <c r="AA20" s="31">
        <v>1680</v>
      </c>
      <c r="AB20" s="33">
        <v>43560</v>
      </c>
      <c r="AC20" s="33">
        <v>1900</v>
      </c>
      <c r="AD20" s="33">
        <v>8360</v>
      </c>
      <c r="AE20" s="31">
        <v>615</v>
      </c>
      <c r="AF20" s="36">
        <v>170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1051</v>
      </c>
      <c r="E21" s="32">
        <f>D21/208*25</f>
        <v>126.32211538461537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566</v>
      </c>
      <c r="O21" s="32">
        <f>N21/38*25</f>
        <v>372.36842105263162</v>
      </c>
      <c r="P21" s="38">
        <v>0</v>
      </c>
      <c r="Q21" s="32">
        <f>P21/135*25</f>
        <v>0</v>
      </c>
      <c r="R21" s="38">
        <v>63214</v>
      </c>
      <c r="S21" s="32">
        <f>R21/215*25</f>
        <v>7350.4651162790697</v>
      </c>
      <c r="T21" s="34"/>
      <c r="U21" s="34">
        <v>18963</v>
      </c>
      <c r="V21" s="34">
        <v>0</v>
      </c>
      <c r="W21" s="32">
        <v>7977.54</v>
      </c>
      <c r="X21" s="38">
        <v>3778</v>
      </c>
      <c r="Y21" s="38">
        <v>7</v>
      </c>
      <c r="Z21" s="34">
        <v>368</v>
      </c>
      <c r="AA21" s="38">
        <v>21519</v>
      </c>
      <c r="AB21" s="34">
        <v>61084</v>
      </c>
      <c r="AC21" s="34">
        <v>3057</v>
      </c>
      <c r="AD21" s="34">
        <v>19713</v>
      </c>
      <c r="AE21" s="38">
        <v>0</v>
      </c>
      <c r="AF21" s="39">
        <v>23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1051</v>
      </c>
      <c r="E22" s="43">
        <f>SUM(E20:E21)</f>
        <v>126.32211538461537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566</v>
      </c>
      <c r="O22" s="43">
        <f t="shared" si="0"/>
        <v>372.36842105263162</v>
      </c>
      <c r="P22" s="42">
        <f t="shared" si="0"/>
        <v>0</v>
      </c>
      <c r="Q22" s="43">
        <f t="shared" si="0"/>
        <v>0</v>
      </c>
      <c r="R22" s="42">
        <f t="shared" si="0"/>
        <v>109654</v>
      </c>
      <c r="S22" s="43">
        <f t="shared" si="0"/>
        <v>12750.465116279069</v>
      </c>
      <c r="T22" s="44" t="e">
        <f t="shared" si="0"/>
        <v>#REF!</v>
      </c>
      <c r="U22" s="44">
        <f t="shared" si="0"/>
        <v>26689</v>
      </c>
      <c r="V22" s="44" t="e">
        <f t="shared" si="0"/>
        <v>#REF!</v>
      </c>
      <c r="W22" s="43">
        <f>SUM(W20:W21)</f>
        <v>37763.040000000001</v>
      </c>
      <c r="X22" s="42">
        <f t="shared" si="0"/>
        <v>7328</v>
      </c>
      <c r="Y22" s="42">
        <f>SUM(Y20:Y21)</f>
        <v>187</v>
      </c>
      <c r="Z22" s="44">
        <f t="shared" si="0"/>
        <v>1111</v>
      </c>
      <c r="AA22" s="42">
        <f>SUM(AA20:AA21)</f>
        <v>23199</v>
      </c>
      <c r="AB22" s="44">
        <f>SUM(AB20:AB21)</f>
        <v>104644</v>
      </c>
      <c r="AC22" s="44">
        <f t="shared" si="0"/>
        <v>4957</v>
      </c>
      <c r="AD22" s="44">
        <f t="shared" si="0"/>
        <v>28073</v>
      </c>
      <c r="AE22" s="42">
        <f t="shared" si="0"/>
        <v>615</v>
      </c>
      <c r="AF22" s="46">
        <f>SUM(AF20:AF21)</f>
        <v>193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1051</v>
      </c>
      <c r="E24" s="51">
        <f t="shared" si="1"/>
        <v>126.32211538461537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566</v>
      </c>
      <c r="O24" s="52">
        <f t="shared" si="1"/>
        <v>372.36842105263162</v>
      </c>
      <c r="P24" s="51">
        <f t="shared" si="1"/>
        <v>0</v>
      </c>
      <c r="Q24" s="51">
        <f t="shared" si="1"/>
        <v>0</v>
      </c>
      <c r="R24" s="51">
        <f t="shared" si="1"/>
        <v>109654</v>
      </c>
      <c r="S24" s="52">
        <f t="shared" si="1"/>
        <v>12750.465116279069</v>
      </c>
      <c r="T24" s="51" t="e">
        <f t="shared" si="1"/>
        <v>#REF!</v>
      </c>
      <c r="U24" s="51">
        <f t="shared" si="1"/>
        <v>26689</v>
      </c>
      <c r="V24" s="51" t="e">
        <f t="shared" si="1"/>
        <v>#REF!</v>
      </c>
      <c r="W24" s="52">
        <f t="shared" si="1"/>
        <v>37763.040000000001</v>
      </c>
      <c r="X24" s="51">
        <f t="shared" si="1"/>
        <v>7328</v>
      </c>
      <c r="Y24" s="51">
        <f t="shared" si="1"/>
        <v>187</v>
      </c>
      <c r="Z24" s="51">
        <f t="shared" si="1"/>
        <v>1111</v>
      </c>
      <c r="AA24" s="51">
        <f t="shared" si="1"/>
        <v>23199</v>
      </c>
      <c r="AB24" s="51">
        <f t="shared" si="1"/>
        <v>104644</v>
      </c>
      <c r="AC24" s="51">
        <f t="shared" si="1"/>
        <v>4957</v>
      </c>
      <c r="AD24" s="51">
        <f t="shared" si="1"/>
        <v>28073</v>
      </c>
      <c r="AE24" s="51">
        <f t="shared" si="1"/>
        <v>615</v>
      </c>
      <c r="AF24" s="53">
        <f t="shared" si="1"/>
        <v>193</v>
      </c>
    </row>
    <row r="25" spans="1:34" ht="75.75" customHeight="1" x14ac:dyDescent="0.3">
      <c r="A25" s="158" t="s">
        <v>44</v>
      </c>
      <c r="B25" s="159"/>
      <c r="C25" s="160"/>
      <c r="D25" s="38">
        <v>468</v>
      </c>
      <c r="E25" s="32">
        <f>D25/208*25</f>
        <v>56.25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77</v>
      </c>
      <c r="O25" s="32">
        <f>N25/38*25</f>
        <v>50.657894736842103</v>
      </c>
      <c r="P25" s="38">
        <v>0</v>
      </c>
      <c r="Q25" s="32">
        <f>P25/135*25</f>
        <v>0</v>
      </c>
      <c r="R25" s="38">
        <v>22481</v>
      </c>
      <c r="S25" s="32">
        <f>R25/215*25</f>
        <v>2614.0697674418602</v>
      </c>
      <c r="T25" s="47" t="s">
        <v>40</v>
      </c>
      <c r="U25" s="54">
        <v>8871</v>
      </c>
      <c r="V25" s="47"/>
      <c r="W25" s="55">
        <f>X25*2.43</f>
        <v>4303.5300000000007</v>
      </c>
      <c r="X25" s="38">
        <v>1771</v>
      </c>
      <c r="Y25" s="38">
        <v>7</v>
      </c>
      <c r="Z25" s="47">
        <v>0</v>
      </c>
      <c r="AA25" s="38">
        <f>500+6342+207</f>
        <v>7049</v>
      </c>
      <c r="AB25" s="47">
        <v>5893</v>
      </c>
      <c r="AC25" s="47">
        <v>0</v>
      </c>
      <c r="AD25" s="47">
        <f>3927+1558</f>
        <v>5485</v>
      </c>
      <c r="AE25" s="38">
        <v>0</v>
      </c>
      <c r="AF25" s="56">
        <v>2</v>
      </c>
    </row>
    <row r="26" spans="1:34" s="4" customFormat="1" ht="100.5" customHeight="1" thickBot="1" x14ac:dyDescent="0.25">
      <c r="A26" s="57">
        <v>45017</v>
      </c>
      <c r="B26" s="161" t="s">
        <v>45</v>
      </c>
      <c r="C26" s="162"/>
      <c r="D26" s="58">
        <f>D24-D25</f>
        <v>583</v>
      </c>
      <c r="E26" s="59">
        <f t="shared" ref="E26:Y26" si="2">E24-E25</f>
        <v>70.072115384615373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489</v>
      </c>
      <c r="O26" s="59">
        <f t="shared" si="4"/>
        <v>321.71052631578954</v>
      </c>
      <c r="P26" s="58">
        <f>P24-P25</f>
        <v>0</v>
      </c>
      <c r="Q26" s="59">
        <f t="shared" ref="Q26" si="5">Q24-Q25</f>
        <v>0</v>
      </c>
      <c r="R26" s="58">
        <f>R24-R25</f>
        <v>87173</v>
      </c>
      <c r="S26" s="59">
        <f t="shared" si="2"/>
        <v>10136.395348837208</v>
      </c>
      <c r="T26" s="60" t="e">
        <f t="shared" si="2"/>
        <v>#REF!</v>
      </c>
      <c r="U26" s="60">
        <f t="shared" si="2"/>
        <v>17818</v>
      </c>
      <c r="V26" s="60" t="e">
        <f t="shared" si="2"/>
        <v>#REF!</v>
      </c>
      <c r="W26" s="61">
        <f>W24-W25</f>
        <v>33459.51</v>
      </c>
      <c r="X26" s="58">
        <f>X24-X25</f>
        <v>5557</v>
      </c>
      <c r="Y26" s="58">
        <f t="shared" si="2"/>
        <v>180</v>
      </c>
      <c r="Z26" s="60">
        <f>Z24-Z25</f>
        <v>1111</v>
      </c>
      <c r="AA26" s="58">
        <f>AA24-AA25</f>
        <v>16150</v>
      </c>
      <c r="AB26" s="60">
        <f>AB24-AB25</f>
        <v>98751</v>
      </c>
      <c r="AC26" s="60">
        <f>AC24-AC25</f>
        <v>4957</v>
      </c>
      <c r="AD26" s="60">
        <f>AD24-AD25</f>
        <v>22588</v>
      </c>
      <c r="AE26" s="58">
        <f t="shared" ref="AE26" si="6">AE24-AE25</f>
        <v>615</v>
      </c>
      <c r="AF26" s="62">
        <f>AF24-AF25</f>
        <v>191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73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6" zoomScale="78" zoomScaleNormal="78" workbookViewId="0">
      <selection activeCell="U31" sqref="U31:U32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7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81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45018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46440</v>
      </c>
      <c r="S20" s="34">
        <f>R20/215*25</f>
        <v>5400</v>
      </c>
      <c r="T20" s="33" t="e">
        <f>#REF!</f>
        <v>#REF!</v>
      </c>
      <c r="U20" s="33">
        <v>7726</v>
      </c>
      <c r="V20" s="33" t="e">
        <f>#REF!</f>
        <v>#REF!</v>
      </c>
      <c r="W20" s="35">
        <v>29785.5</v>
      </c>
      <c r="X20" s="31">
        <v>3550</v>
      </c>
      <c r="Y20" s="31">
        <v>180</v>
      </c>
      <c r="Z20" s="33">
        <v>743</v>
      </c>
      <c r="AA20" s="31">
        <v>1680</v>
      </c>
      <c r="AB20" s="33">
        <v>43560</v>
      </c>
      <c r="AC20" s="33">
        <v>1900</v>
      </c>
      <c r="AD20" s="33">
        <v>8360</v>
      </c>
      <c r="AE20" s="31">
        <v>615</v>
      </c>
      <c r="AF20" s="36">
        <v>170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583</v>
      </c>
      <c r="E21" s="32">
        <f>D21/208*25</f>
        <v>70.072115384615387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489</v>
      </c>
      <c r="O21" s="32">
        <f>N21/38*25</f>
        <v>321.71052631578948</v>
      </c>
      <c r="P21" s="38">
        <v>0</v>
      </c>
      <c r="Q21" s="32">
        <f>P21/135*25</f>
        <v>0</v>
      </c>
      <c r="R21" s="38">
        <v>40733</v>
      </c>
      <c r="S21" s="32">
        <f>R21/215*25</f>
        <v>4736.395348837209</v>
      </c>
      <c r="T21" s="34"/>
      <c r="U21" s="34">
        <v>10092</v>
      </c>
      <c r="V21" s="34">
        <v>0</v>
      </c>
      <c r="W21" s="32">
        <v>3674.01</v>
      </c>
      <c r="X21" s="38">
        <v>2007</v>
      </c>
      <c r="Y21" s="38">
        <v>0</v>
      </c>
      <c r="Z21" s="34">
        <v>368</v>
      </c>
      <c r="AA21" s="38">
        <v>14470</v>
      </c>
      <c r="AB21" s="34">
        <v>55191</v>
      </c>
      <c r="AC21" s="34">
        <v>3057</v>
      </c>
      <c r="AD21" s="34">
        <v>14228</v>
      </c>
      <c r="AE21" s="38">
        <v>0</v>
      </c>
      <c r="AF21" s="39">
        <v>21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583</v>
      </c>
      <c r="E22" s="43">
        <f>SUM(E20:E21)</f>
        <v>70.072115384615387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489</v>
      </c>
      <c r="O22" s="43">
        <f t="shared" si="0"/>
        <v>321.71052631578948</v>
      </c>
      <c r="P22" s="42">
        <f t="shared" si="0"/>
        <v>0</v>
      </c>
      <c r="Q22" s="43">
        <f t="shared" si="0"/>
        <v>0</v>
      </c>
      <c r="R22" s="42">
        <f t="shared" si="0"/>
        <v>87173</v>
      </c>
      <c r="S22" s="43">
        <f t="shared" si="0"/>
        <v>10136.39534883721</v>
      </c>
      <c r="T22" s="44" t="e">
        <f t="shared" si="0"/>
        <v>#REF!</v>
      </c>
      <c r="U22" s="44">
        <f t="shared" si="0"/>
        <v>17818</v>
      </c>
      <c r="V22" s="44" t="e">
        <f t="shared" si="0"/>
        <v>#REF!</v>
      </c>
      <c r="W22" s="43">
        <f>SUM(W20:W21)</f>
        <v>33459.51</v>
      </c>
      <c r="X22" s="42">
        <f t="shared" si="0"/>
        <v>5557</v>
      </c>
      <c r="Y22" s="42">
        <f>SUM(Y20:Y21)</f>
        <v>180</v>
      </c>
      <c r="Z22" s="44">
        <f t="shared" si="0"/>
        <v>1111</v>
      </c>
      <c r="AA22" s="42">
        <f>SUM(AA20:AA21)</f>
        <v>16150</v>
      </c>
      <c r="AB22" s="44">
        <f>SUM(AB20:AB21)</f>
        <v>98751</v>
      </c>
      <c r="AC22" s="44">
        <f t="shared" si="0"/>
        <v>4957</v>
      </c>
      <c r="AD22" s="44">
        <f t="shared" si="0"/>
        <v>22588</v>
      </c>
      <c r="AE22" s="42">
        <f t="shared" si="0"/>
        <v>615</v>
      </c>
      <c r="AF22" s="46">
        <f>SUM(AF20:AF21)</f>
        <v>191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583</v>
      </c>
      <c r="E24" s="51">
        <f t="shared" si="1"/>
        <v>70.072115384615387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489</v>
      </c>
      <c r="O24" s="52">
        <f t="shared" si="1"/>
        <v>321.71052631578948</v>
      </c>
      <c r="P24" s="51">
        <f t="shared" si="1"/>
        <v>0</v>
      </c>
      <c r="Q24" s="51">
        <f t="shared" si="1"/>
        <v>0</v>
      </c>
      <c r="R24" s="51">
        <f t="shared" si="1"/>
        <v>87173</v>
      </c>
      <c r="S24" s="52">
        <f t="shared" si="1"/>
        <v>10136.39534883721</v>
      </c>
      <c r="T24" s="51" t="e">
        <f t="shared" si="1"/>
        <v>#REF!</v>
      </c>
      <c r="U24" s="51">
        <f t="shared" si="1"/>
        <v>17818</v>
      </c>
      <c r="V24" s="51" t="e">
        <f t="shared" si="1"/>
        <v>#REF!</v>
      </c>
      <c r="W24" s="52">
        <f t="shared" si="1"/>
        <v>33459.51</v>
      </c>
      <c r="X24" s="51">
        <f t="shared" si="1"/>
        <v>5557</v>
      </c>
      <c r="Y24" s="51">
        <f t="shared" si="1"/>
        <v>180</v>
      </c>
      <c r="Z24" s="51">
        <f t="shared" si="1"/>
        <v>1111</v>
      </c>
      <c r="AA24" s="51">
        <f t="shared" si="1"/>
        <v>16150</v>
      </c>
      <c r="AB24" s="51">
        <f t="shared" si="1"/>
        <v>98751</v>
      </c>
      <c r="AC24" s="51">
        <f t="shared" si="1"/>
        <v>4957</v>
      </c>
      <c r="AD24" s="51">
        <f t="shared" si="1"/>
        <v>22588</v>
      </c>
      <c r="AE24" s="51">
        <f t="shared" si="1"/>
        <v>615</v>
      </c>
      <c r="AF24" s="53">
        <f t="shared" si="1"/>
        <v>191</v>
      </c>
    </row>
    <row r="25" spans="1:34" ht="75.75" customHeight="1" x14ac:dyDescent="0.3">
      <c r="A25" s="158" t="s">
        <v>44</v>
      </c>
      <c r="B25" s="159"/>
      <c r="C25" s="160"/>
      <c r="D25" s="38">
        <v>54</v>
      </c>
      <c r="E25" s="32">
        <f>D25/208*25</f>
        <v>6.4903846153846159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7</v>
      </c>
      <c r="O25" s="32">
        <f>N25/38*25</f>
        <v>4.6052631578947363</v>
      </c>
      <c r="P25" s="38">
        <v>0</v>
      </c>
      <c r="Q25" s="32">
        <f>P25/135*25</f>
        <v>0</v>
      </c>
      <c r="R25" s="38">
        <v>2343</v>
      </c>
      <c r="S25" s="32">
        <f>R25/215*25</f>
        <v>272.44186046511629</v>
      </c>
      <c r="T25" s="47" t="s">
        <v>40</v>
      </c>
      <c r="U25" s="54">
        <v>648</v>
      </c>
      <c r="V25" s="47"/>
      <c r="W25" s="55">
        <f>X25*2.43</f>
        <v>320.76000000000005</v>
      </c>
      <c r="X25" s="38">
        <v>132</v>
      </c>
      <c r="Y25" s="38">
        <v>0</v>
      </c>
      <c r="Z25" s="47">
        <v>0</v>
      </c>
      <c r="AA25" s="38">
        <f>3+625+16</f>
        <v>644</v>
      </c>
      <c r="AB25" s="47">
        <v>396</v>
      </c>
      <c r="AC25" s="47">
        <v>118</v>
      </c>
      <c r="AD25" s="47">
        <f>317+108</f>
        <v>425</v>
      </c>
      <c r="AE25" s="38">
        <v>0</v>
      </c>
      <c r="AF25" s="56">
        <v>2</v>
      </c>
    </row>
    <row r="26" spans="1:34" s="4" customFormat="1" ht="100.5" customHeight="1" thickBot="1" x14ac:dyDescent="0.25">
      <c r="A26" s="57">
        <v>45024</v>
      </c>
      <c r="B26" s="161" t="s">
        <v>45</v>
      </c>
      <c r="C26" s="162"/>
      <c r="D26" s="58">
        <f>D24-D25</f>
        <v>529</v>
      </c>
      <c r="E26" s="59">
        <f t="shared" ref="E26:Y26" si="2">E24-E25</f>
        <v>63.581730769230774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482</v>
      </c>
      <c r="O26" s="59">
        <f t="shared" si="4"/>
        <v>317.10526315789474</v>
      </c>
      <c r="P26" s="58">
        <f>P24-P25</f>
        <v>0</v>
      </c>
      <c r="Q26" s="59">
        <f t="shared" ref="Q26" si="5">Q24-Q25</f>
        <v>0</v>
      </c>
      <c r="R26" s="58">
        <f>R24-R25</f>
        <v>84830</v>
      </c>
      <c r="S26" s="59">
        <f t="shared" si="2"/>
        <v>9863.9534883720935</v>
      </c>
      <c r="T26" s="60" t="e">
        <f t="shared" si="2"/>
        <v>#REF!</v>
      </c>
      <c r="U26" s="60">
        <f t="shared" si="2"/>
        <v>17170</v>
      </c>
      <c r="V26" s="60" t="e">
        <f t="shared" si="2"/>
        <v>#REF!</v>
      </c>
      <c r="W26" s="61">
        <f>W24-W25</f>
        <v>33138.75</v>
      </c>
      <c r="X26" s="58">
        <f>X24-X25</f>
        <v>5425</v>
      </c>
      <c r="Y26" s="58">
        <f t="shared" si="2"/>
        <v>180</v>
      </c>
      <c r="Z26" s="60">
        <f>Z24-Z25</f>
        <v>1111</v>
      </c>
      <c r="AA26" s="58">
        <f>AA24-AA25</f>
        <v>15506</v>
      </c>
      <c r="AB26" s="60">
        <f>AB24-AB25</f>
        <v>98355</v>
      </c>
      <c r="AC26" s="60">
        <f>AC24-AC25</f>
        <v>4839</v>
      </c>
      <c r="AD26" s="60">
        <f>AD24-AD25</f>
        <v>22163</v>
      </c>
      <c r="AE26" s="58">
        <f t="shared" ref="AE26" si="6">AE24-AE25</f>
        <v>615</v>
      </c>
      <c r="AF26" s="62">
        <f>AF24-AF25</f>
        <v>189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4" zoomScale="78" zoomScaleNormal="78" workbookViewId="0">
      <selection activeCell="R23" sqref="R23:AF23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7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82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45025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46440</v>
      </c>
      <c r="S20" s="34">
        <f>R20/215*25</f>
        <v>5400</v>
      </c>
      <c r="T20" s="33" t="e">
        <f>#REF!</f>
        <v>#REF!</v>
      </c>
      <c r="U20" s="33">
        <v>7726</v>
      </c>
      <c r="V20" s="33" t="e">
        <f>#REF!</f>
        <v>#REF!</v>
      </c>
      <c r="W20" s="35">
        <v>29785.5</v>
      </c>
      <c r="X20" s="31">
        <v>3550</v>
      </c>
      <c r="Y20" s="31">
        <v>160</v>
      </c>
      <c r="Z20" s="33">
        <v>743</v>
      </c>
      <c r="AA20" s="31">
        <v>1680</v>
      </c>
      <c r="AB20" s="33">
        <v>43560</v>
      </c>
      <c r="AC20" s="33">
        <v>1900</v>
      </c>
      <c r="AD20" s="33">
        <v>8360</v>
      </c>
      <c r="AE20" s="31">
        <v>615</v>
      </c>
      <c r="AF20" s="36">
        <v>170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529</v>
      </c>
      <c r="E21" s="32">
        <f>D21/208*25</f>
        <v>63.581730769230774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482</v>
      </c>
      <c r="O21" s="32">
        <f>N21/38*25</f>
        <v>317.10526315789474</v>
      </c>
      <c r="P21" s="38">
        <v>0</v>
      </c>
      <c r="Q21" s="32">
        <f>P21/135*25</f>
        <v>0</v>
      </c>
      <c r="R21" s="38">
        <v>38390</v>
      </c>
      <c r="S21" s="32">
        <f>R21/215*25</f>
        <v>4463.9534883720926</v>
      </c>
      <c r="T21" s="34"/>
      <c r="U21" s="34">
        <v>9444</v>
      </c>
      <c r="V21" s="34">
        <v>0</v>
      </c>
      <c r="W21" s="32">
        <v>3353.25</v>
      </c>
      <c r="X21" s="38">
        <v>1875</v>
      </c>
      <c r="Y21" s="38">
        <v>20</v>
      </c>
      <c r="Z21" s="34">
        <v>368</v>
      </c>
      <c r="AA21" s="38">
        <v>13826</v>
      </c>
      <c r="AB21" s="34">
        <v>54795</v>
      </c>
      <c r="AC21" s="34">
        <v>2939</v>
      </c>
      <c r="AD21" s="34">
        <v>13803</v>
      </c>
      <c r="AE21" s="38">
        <v>0</v>
      </c>
      <c r="AF21" s="39">
        <v>19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529</v>
      </c>
      <c r="E22" s="43">
        <f>SUM(E20:E21)</f>
        <v>63.581730769230774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482</v>
      </c>
      <c r="O22" s="43">
        <f t="shared" si="0"/>
        <v>317.10526315789474</v>
      </c>
      <c r="P22" s="42">
        <f t="shared" si="0"/>
        <v>0</v>
      </c>
      <c r="Q22" s="43">
        <f t="shared" si="0"/>
        <v>0</v>
      </c>
      <c r="R22" s="42">
        <f t="shared" si="0"/>
        <v>84830</v>
      </c>
      <c r="S22" s="43">
        <f t="shared" si="0"/>
        <v>9863.9534883720917</v>
      </c>
      <c r="T22" s="44" t="e">
        <f t="shared" si="0"/>
        <v>#REF!</v>
      </c>
      <c r="U22" s="44">
        <f t="shared" si="0"/>
        <v>17170</v>
      </c>
      <c r="V22" s="44" t="e">
        <f t="shared" si="0"/>
        <v>#REF!</v>
      </c>
      <c r="W22" s="43">
        <f>SUM(W20:W21)</f>
        <v>33138.75</v>
      </c>
      <c r="X22" s="42">
        <f t="shared" si="0"/>
        <v>5425</v>
      </c>
      <c r="Y22" s="42">
        <f>SUM(Y20:Y21)</f>
        <v>180</v>
      </c>
      <c r="Z22" s="44">
        <f t="shared" si="0"/>
        <v>1111</v>
      </c>
      <c r="AA22" s="42">
        <f>SUM(AA20:AA21)</f>
        <v>15506</v>
      </c>
      <c r="AB22" s="44">
        <f>SUM(AB20:AB21)</f>
        <v>98355</v>
      </c>
      <c r="AC22" s="44">
        <f t="shared" si="0"/>
        <v>4839</v>
      </c>
      <c r="AD22" s="44">
        <f t="shared" si="0"/>
        <v>22163</v>
      </c>
      <c r="AE22" s="42">
        <f t="shared" si="0"/>
        <v>615</v>
      </c>
      <c r="AF22" s="46">
        <f>SUM(AF20:AF21)</f>
        <v>189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>
        <f>250*215</f>
        <v>53750</v>
      </c>
      <c r="S23" s="32">
        <f>R23/215*25</f>
        <v>6250</v>
      </c>
      <c r="T23" s="31"/>
      <c r="U23" s="31">
        <v>15000</v>
      </c>
      <c r="V23" s="31"/>
      <c r="W23" s="31">
        <v>12000</v>
      </c>
      <c r="X23" s="31">
        <v>3000</v>
      </c>
      <c r="Y23" s="31"/>
      <c r="Z23" s="31"/>
      <c r="AA23" s="31">
        <f>880+14500</f>
        <v>15380</v>
      </c>
      <c r="AB23" s="31">
        <v>8640</v>
      </c>
      <c r="AC23" s="31"/>
      <c r="AD23" s="48">
        <v>5400</v>
      </c>
      <c r="AE23" s="31">
        <v>0</v>
      </c>
      <c r="AF23" s="49">
        <v>0</v>
      </c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529</v>
      </c>
      <c r="E24" s="51">
        <f t="shared" si="1"/>
        <v>63.581730769230774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482</v>
      </c>
      <c r="O24" s="52">
        <f t="shared" si="1"/>
        <v>317.10526315789474</v>
      </c>
      <c r="P24" s="51">
        <f t="shared" si="1"/>
        <v>0</v>
      </c>
      <c r="Q24" s="51">
        <f t="shared" si="1"/>
        <v>0</v>
      </c>
      <c r="R24" s="51">
        <f t="shared" si="1"/>
        <v>138580</v>
      </c>
      <c r="S24" s="52">
        <f t="shared" si="1"/>
        <v>16113.953488372092</v>
      </c>
      <c r="T24" s="51" t="e">
        <f t="shared" si="1"/>
        <v>#REF!</v>
      </c>
      <c r="U24" s="51">
        <f t="shared" si="1"/>
        <v>32170</v>
      </c>
      <c r="V24" s="51" t="e">
        <f t="shared" si="1"/>
        <v>#REF!</v>
      </c>
      <c r="W24" s="52">
        <f t="shared" si="1"/>
        <v>45138.75</v>
      </c>
      <c r="X24" s="51">
        <f t="shared" si="1"/>
        <v>8425</v>
      </c>
      <c r="Y24" s="51">
        <f t="shared" si="1"/>
        <v>180</v>
      </c>
      <c r="Z24" s="51">
        <f t="shared" si="1"/>
        <v>1111</v>
      </c>
      <c r="AA24" s="51">
        <f t="shared" si="1"/>
        <v>30886</v>
      </c>
      <c r="AB24" s="51">
        <f t="shared" si="1"/>
        <v>106995</v>
      </c>
      <c r="AC24" s="51">
        <f t="shared" si="1"/>
        <v>4839</v>
      </c>
      <c r="AD24" s="51">
        <f t="shared" si="1"/>
        <v>27563</v>
      </c>
      <c r="AE24" s="51">
        <f t="shared" si="1"/>
        <v>615</v>
      </c>
      <c r="AF24" s="53">
        <f t="shared" si="1"/>
        <v>189</v>
      </c>
    </row>
    <row r="25" spans="1:34" ht="75.75" customHeight="1" x14ac:dyDescent="0.3">
      <c r="A25" s="158" t="s">
        <v>44</v>
      </c>
      <c r="B25" s="159"/>
      <c r="C25" s="160"/>
      <c r="D25" s="38">
        <v>105</v>
      </c>
      <c r="E25" s="32">
        <f>D25/208*25</f>
        <v>12.620192307692307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80</v>
      </c>
      <c r="O25" s="32">
        <f>N25/38*25</f>
        <v>52.631578947368418</v>
      </c>
      <c r="P25" s="38">
        <v>0</v>
      </c>
      <c r="Q25" s="32">
        <f>P25/135*25</f>
        <v>0</v>
      </c>
      <c r="R25" s="38">
        <v>21419</v>
      </c>
      <c r="S25" s="32">
        <f>R25/215*25</f>
        <v>2490.5813953488373</v>
      </c>
      <c r="T25" s="47" t="s">
        <v>40</v>
      </c>
      <c r="U25" s="54">
        <v>8461</v>
      </c>
      <c r="V25" s="47"/>
      <c r="W25" s="55">
        <f>X25*2.43</f>
        <v>3924.4500000000003</v>
      </c>
      <c r="X25" s="38">
        <v>1615</v>
      </c>
      <c r="Y25" s="38">
        <v>5</v>
      </c>
      <c r="Z25" s="47">
        <v>0</v>
      </c>
      <c r="AA25" s="38">
        <f>214+6625+470</f>
        <v>7309</v>
      </c>
      <c r="AB25" s="47">
        <v>4948</v>
      </c>
      <c r="AC25" s="47">
        <v>95</v>
      </c>
      <c r="AD25" s="47">
        <f>4249+807</f>
        <v>5056</v>
      </c>
      <c r="AE25" s="38">
        <v>0</v>
      </c>
      <c r="AF25" s="56">
        <v>4</v>
      </c>
    </row>
    <row r="26" spans="1:34" s="4" customFormat="1" ht="100.5" customHeight="1" thickBot="1" x14ac:dyDescent="0.25">
      <c r="A26" s="57">
        <v>45031</v>
      </c>
      <c r="B26" s="161" t="s">
        <v>45</v>
      </c>
      <c r="C26" s="162"/>
      <c r="D26" s="58">
        <f>D24-D25</f>
        <v>424</v>
      </c>
      <c r="E26" s="59">
        <f t="shared" ref="E26:Y26" si="2">E24-E25</f>
        <v>50.961538461538467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402</v>
      </c>
      <c r="O26" s="59">
        <f t="shared" si="4"/>
        <v>264.4736842105263</v>
      </c>
      <c r="P26" s="58">
        <f>P24-P25</f>
        <v>0</v>
      </c>
      <c r="Q26" s="59">
        <f t="shared" ref="Q26" si="5">Q24-Q25</f>
        <v>0</v>
      </c>
      <c r="R26" s="58">
        <f>R24-R25</f>
        <v>117161</v>
      </c>
      <c r="S26" s="59">
        <f t="shared" si="2"/>
        <v>13623.372093023254</v>
      </c>
      <c r="T26" s="60" t="e">
        <f t="shared" si="2"/>
        <v>#REF!</v>
      </c>
      <c r="U26" s="60">
        <f t="shared" si="2"/>
        <v>23709</v>
      </c>
      <c r="V26" s="60" t="e">
        <f t="shared" si="2"/>
        <v>#REF!</v>
      </c>
      <c r="W26" s="61">
        <f>W24-W25</f>
        <v>41214.300000000003</v>
      </c>
      <c r="X26" s="58">
        <f>X24-X25</f>
        <v>6810</v>
      </c>
      <c r="Y26" s="58">
        <f t="shared" si="2"/>
        <v>175</v>
      </c>
      <c r="Z26" s="60">
        <f>Z24-Z25</f>
        <v>1111</v>
      </c>
      <c r="AA26" s="58">
        <f>AA24-AA25</f>
        <v>23577</v>
      </c>
      <c r="AB26" s="60">
        <f>AB24-AB25</f>
        <v>102047</v>
      </c>
      <c r="AC26" s="60">
        <f>AC24-AC25</f>
        <v>4744</v>
      </c>
      <c r="AD26" s="60">
        <f>AD24-AD25</f>
        <v>22507</v>
      </c>
      <c r="AE26" s="58">
        <f t="shared" ref="AE26" si="6">AE24-AE25</f>
        <v>615</v>
      </c>
      <c r="AF26" s="62">
        <f>AF24-AF25</f>
        <v>185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52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56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  <mergeCell ref="J17:K17"/>
    <mergeCell ref="L17:M17"/>
    <mergeCell ref="N17:O17"/>
    <mergeCell ref="P17:Q17"/>
    <mergeCell ref="R17:S17"/>
    <mergeCell ref="J16:K16"/>
    <mergeCell ref="L16:M16"/>
    <mergeCell ref="N16:O16"/>
    <mergeCell ref="P16:Q16"/>
    <mergeCell ref="R16:S16"/>
    <mergeCell ref="D16:E16"/>
    <mergeCell ref="F16:G16"/>
    <mergeCell ref="H16:I16"/>
    <mergeCell ref="D17:E17"/>
    <mergeCell ref="F17:G17"/>
    <mergeCell ref="H17:I17"/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6" zoomScale="78" zoomScaleNormal="78" workbookViewId="0">
      <selection activeCell="AC21" sqref="AC21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7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83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45032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94600</v>
      </c>
      <c r="S20" s="34">
        <f>R20/215*25</f>
        <v>11000</v>
      </c>
      <c r="T20" s="33" t="e">
        <f>#REF!</f>
        <v>#REF!</v>
      </c>
      <c r="U20" s="33">
        <v>7650</v>
      </c>
      <c r="V20" s="33" t="e">
        <f>#REF!</f>
        <v>#REF!</v>
      </c>
      <c r="W20" s="35">
        <v>34102</v>
      </c>
      <c r="X20" s="31">
        <v>3400</v>
      </c>
      <c r="Y20" s="31">
        <v>160</v>
      </c>
      <c r="Z20" s="33">
        <v>743</v>
      </c>
      <c r="AA20" s="31">
        <v>9370</v>
      </c>
      <c r="AB20" s="33">
        <v>34560</v>
      </c>
      <c r="AC20" s="33">
        <v>1840</v>
      </c>
      <c r="AD20" s="33">
        <v>4660</v>
      </c>
      <c r="AE20" s="31">
        <v>615</v>
      </c>
      <c r="AF20" s="36">
        <v>146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424</v>
      </c>
      <c r="E21" s="32">
        <f>D21/208*25</f>
        <v>50.96153846153846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402</v>
      </c>
      <c r="O21" s="32">
        <f>N21/38*25</f>
        <v>264.4736842105263</v>
      </c>
      <c r="P21" s="38">
        <v>0</v>
      </c>
      <c r="Q21" s="32">
        <f>P21/135*25</f>
        <v>0</v>
      </c>
      <c r="R21" s="38">
        <v>22561</v>
      </c>
      <c r="S21" s="32">
        <f>R21/215*25</f>
        <v>2623.3720930232557</v>
      </c>
      <c r="T21" s="34"/>
      <c r="U21" s="34">
        <v>16059</v>
      </c>
      <c r="V21" s="34">
        <v>0</v>
      </c>
      <c r="W21" s="32">
        <v>7112.3</v>
      </c>
      <c r="X21" s="38">
        <v>3410</v>
      </c>
      <c r="Y21" s="38">
        <v>15</v>
      </c>
      <c r="Z21" s="34">
        <v>368</v>
      </c>
      <c r="AA21" s="38">
        <v>14207</v>
      </c>
      <c r="AB21" s="34">
        <v>67487</v>
      </c>
      <c r="AC21" s="34">
        <v>2904</v>
      </c>
      <c r="AD21" s="34">
        <v>17847</v>
      </c>
      <c r="AE21" s="38">
        <v>0</v>
      </c>
      <c r="AF21" s="39">
        <v>39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424</v>
      </c>
      <c r="E22" s="43">
        <f>SUM(E20:E21)</f>
        <v>50.96153846153846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402</v>
      </c>
      <c r="O22" s="43">
        <f t="shared" si="0"/>
        <v>264.4736842105263</v>
      </c>
      <c r="P22" s="42">
        <f t="shared" si="0"/>
        <v>0</v>
      </c>
      <c r="Q22" s="43">
        <f t="shared" si="0"/>
        <v>0</v>
      </c>
      <c r="R22" s="42">
        <f t="shared" si="0"/>
        <v>117161</v>
      </c>
      <c r="S22" s="43">
        <f t="shared" si="0"/>
        <v>13623.372093023256</v>
      </c>
      <c r="T22" s="44" t="e">
        <f t="shared" si="0"/>
        <v>#REF!</v>
      </c>
      <c r="U22" s="44">
        <f t="shared" si="0"/>
        <v>23709</v>
      </c>
      <c r="V22" s="44" t="e">
        <f t="shared" si="0"/>
        <v>#REF!</v>
      </c>
      <c r="W22" s="43">
        <f>SUM(W20:W21)</f>
        <v>41214.300000000003</v>
      </c>
      <c r="X22" s="42">
        <f t="shared" si="0"/>
        <v>6810</v>
      </c>
      <c r="Y22" s="42">
        <f>SUM(Y20:Y21)</f>
        <v>175</v>
      </c>
      <c r="Z22" s="44">
        <f t="shared" si="0"/>
        <v>1111</v>
      </c>
      <c r="AA22" s="42">
        <f>SUM(AA20:AA21)</f>
        <v>23577</v>
      </c>
      <c r="AB22" s="44">
        <f>SUM(AB20:AB21)</f>
        <v>102047</v>
      </c>
      <c r="AC22" s="44">
        <f t="shared" si="0"/>
        <v>4744</v>
      </c>
      <c r="AD22" s="44">
        <f t="shared" si="0"/>
        <v>22507</v>
      </c>
      <c r="AE22" s="42">
        <f t="shared" si="0"/>
        <v>615</v>
      </c>
      <c r="AF22" s="46">
        <f>SUM(AF20:AF21)</f>
        <v>185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424</v>
      </c>
      <c r="E24" s="51">
        <f t="shared" si="1"/>
        <v>50.96153846153846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402</v>
      </c>
      <c r="O24" s="52">
        <f t="shared" si="1"/>
        <v>264.4736842105263</v>
      </c>
      <c r="P24" s="51">
        <f t="shared" si="1"/>
        <v>0</v>
      </c>
      <c r="Q24" s="51">
        <f t="shared" si="1"/>
        <v>0</v>
      </c>
      <c r="R24" s="51">
        <f t="shared" si="1"/>
        <v>117161</v>
      </c>
      <c r="S24" s="52">
        <f t="shared" si="1"/>
        <v>13623.372093023256</v>
      </c>
      <c r="T24" s="51" t="e">
        <f t="shared" si="1"/>
        <v>#REF!</v>
      </c>
      <c r="U24" s="51">
        <f t="shared" si="1"/>
        <v>23709</v>
      </c>
      <c r="V24" s="51" t="e">
        <f t="shared" si="1"/>
        <v>#REF!</v>
      </c>
      <c r="W24" s="52">
        <f t="shared" si="1"/>
        <v>41214.300000000003</v>
      </c>
      <c r="X24" s="51">
        <f t="shared" si="1"/>
        <v>6810</v>
      </c>
      <c r="Y24" s="51">
        <f t="shared" si="1"/>
        <v>175</v>
      </c>
      <c r="Z24" s="51">
        <f t="shared" si="1"/>
        <v>1111</v>
      </c>
      <c r="AA24" s="51">
        <f t="shared" si="1"/>
        <v>23577</v>
      </c>
      <c r="AB24" s="51">
        <f t="shared" si="1"/>
        <v>102047</v>
      </c>
      <c r="AC24" s="51">
        <f t="shared" si="1"/>
        <v>4744</v>
      </c>
      <c r="AD24" s="51">
        <f t="shared" si="1"/>
        <v>22507</v>
      </c>
      <c r="AE24" s="51">
        <f t="shared" si="1"/>
        <v>615</v>
      </c>
      <c r="AF24" s="53">
        <f t="shared" si="1"/>
        <v>185</v>
      </c>
    </row>
    <row r="25" spans="1:34" ht="75.75" customHeight="1" x14ac:dyDescent="0.3">
      <c r="A25" s="158" t="s">
        <v>44</v>
      </c>
      <c r="B25" s="159"/>
      <c r="C25" s="160"/>
      <c r="D25" s="38">
        <v>279</v>
      </c>
      <c r="E25" s="32">
        <f>D25/208*25</f>
        <v>33.533653846153847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67</v>
      </c>
      <c r="O25" s="32">
        <f>N25/38*25</f>
        <v>44.078947368421048</v>
      </c>
      <c r="P25" s="38">
        <v>0</v>
      </c>
      <c r="Q25" s="32">
        <f>P25/135*25</f>
        <v>0</v>
      </c>
      <c r="R25" s="38">
        <v>25201</v>
      </c>
      <c r="S25" s="32">
        <f>R25/215*25</f>
        <v>2930.3488372093025</v>
      </c>
      <c r="T25" s="47" t="s">
        <v>40</v>
      </c>
      <c r="U25" s="54">
        <v>9726</v>
      </c>
      <c r="V25" s="47"/>
      <c r="W25" s="55">
        <f>X25*2.43</f>
        <v>4599.9900000000007</v>
      </c>
      <c r="X25" s="38">
        <v>1893</v>
      </c>
      <c r="Y25" s="38">
        <v>1</v>
      </c>
      <c r="Z25" s="47">
        <v>0</v>
      </c>
      <c r="AA25" s="38">
        <f>210+8069+485</f>
        <v>8764</v>
      </c>
      <c r="AB25" s="47">
        <v>5607</v>
      </c>
      <c r="AC25" s="47">
        <v>0</v>
      </c>
      <c r="AD25" s="47">
        <f>4978+939</f>
        <v>5917</v>
      </c>
      <c r="AE25" s="38">
        <v>0</v>
      </c>
      <c r="AF25" s="56">
        <v>8</v>
      </c>
    </row>
    <row r="26" spans="1:34" s="4" customFormat="1" ht="100.5" customHeight="1" thickBot="1" x14ac:dyDescent="0.25">
      <c r="A26" s="57">
        <v>45038</v>
      </c>
      <c r="B26" s="161" t="s">
        <v>45</v>
      </c>
      <c r="C26" s="162"/>
      <c r="D26" s="58">
        <f>D24-D25</f>
        <v>145</v>
      </c>
      <c r="E26" s="59">
        <f t="shared" ref="E26:Y26" si="2">E24-E25</f>
        <v>17.427884615384613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335</v>
      </c>
      <c r="O26" s="59">
        <f t="shared" si="4"/>
        <v>220.39473684210526</v>
      </c>
      <c r="P26" s="58">
        <f>P24-P25</f>
        <v>0</v>
      </c>
      <c r="Q26" s="59">
        <f t="shared" ref="Q26" si="5">Q24-Q25</f>
        <v>0</v>
      </c>
      <c r="R26" s="58">
        <f>R24-R25</f>
        <v>91960</v>
      </c>
      <c r="S26" s="59">
        <f t="shared" si="2"/>
        <v>10693.023255813954</v>
      </c>
      <c r="T26" s="60" t="e">
        <f t="shared" si="2"/>
        <v>#REF!</v>
      </c>
      <c r="U26" s="60">
        <f t="shared" si="2"/>
        <v>13983</v>
      </c>
      <c r="V26" s="60" t="e">
        <f t="shared" si="2"/>
        <v>#REF!</v>
      </c>
      <c r="W26" s="61">
        <f>W24-W25</f>
        <v>36614.310000000005</v>
      </c>
      <c r="X26" s="58">
        <f>X24-X25</f>
        <v>4917</v>
      </c>
      <c r="Y26" s="58">
        <f t="shared" si="2"/>
        <v>174</v>
      </c>
      <c r="Z26" s="60">
        <f>Z24-Z25</f>
        <v>1111</v>
      </c>
      <c r="AA26" s="58">
        <f>AA24-AA25</f>
        <v>14813</v>
      </c>
      <c r="AB26" s="60">
        <f>AB24-AB25</f>
        <v>96440</v>
      </c>
      <c r="AC26" s="60">
        <f>AC24-AC25</f>
        <v>4744</v>
      </c>
      <c r="AD26" s="60">
        <f>AD24-AD25</f>
        <v>16590</v>
      </c>
      <c r="AE26" s="58">
        <f t="shared" ref="AE26" si="6">AE24-AE25</f>
        <v>615</v>
      </c>
      <c r="AF26" s="62">
        <f>AF24-AF25</f>
        <v>177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52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56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3" zoomScale="78" zoomScaleNormal="78" workbookViewId="0">
      <selection activeCell="D23" sqref="D23:AF23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7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84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45039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27950</v>
      </c>
      <c r="S20" s="34">
        <f>R20/215*25</f>
        <v>3250</v>
      </c>
      <c r="T20" s="33" t="e">
        <f>#REF!</f>
        <v>#REF!</v>
      </c>
      <c r="U20" s="33">
        <v>0</v>
      </c>
      <c r="V20" s="33" t="e">
        <f>#REF!</f>
        <v>#REF!</v>
      </c>
      <c r="W20" s="35">
        <v>29242</v>
      </c>
      <c r="X20" s="31">
        <v>1400</v>
      </c>
      <c r="Y20" s="31">
        <v>160</v>
      </c>
      <c r="Z20" s="33">
        <v>743</v>
      </c>
      <c r="AA20" s="31">
        <v>2180</v>
      </c>
      <c r="AB20" s="33">
        <v>34560</v>
      </c>
      <c r="AC20" s="33">
        <v>1840</v>
      </c>
      <c r="AD20" s="33">
        <v>1060</v>
      </c>
      <c r="AE20" s="31">
        <v>615</v>
      </c>
      <c r="AF20" s="36">
        <v>146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145</v>
      </c>
      <c r="E21" s="32">
        <f>D21/208*25</f>
        <v>17.427884615384613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335</v>
      </c>
      <c r="O21" s="32">
        <f>N21/38*25</f>
        <v>220.39473684210526</v>
      </c>
      <c r="P21" s="38">
        <v>0</v>
      </c>
      <c r="Q21" s="32">
        <f>P21/135*25</f>
        <v>0</v>
      </c>
      <c r="R21" s="38">
        <v>64010</v>
      </c>
      <c r="S21" s="32">
        <f>R21/215*25</f>
        <v>7443.0232558139533</v>
      </c>
      <c r="T21" s="34"/>
      <c r="U21" s="34">
        <v>13983</v>
      </c>
      <c r="V21" s="34">
        <v>0</v>
      </c>
      <c r="W21" s="32">
        <v>7372.31</v>
      </c>
      <c r="X21" s="38">
        <v>3517</v>
      </c>
      <c r="Y21" s="38">
        <v>14</v>
      </c>
      <c r="Z21" s="34">
        <v>368</v>
      </c>
      <c r="AA21" s="38">
        <v>12633</v>
      </c>
      <c r="AB21" s="34">
        <v>61880</v>
      </c>
      <c r="AC21" s="34">
        <v>2904</v>
      </c>
      <c r="AD21" s="34">
        <v>15530</v>
      </c>
      <c r="AE21" s="38">
        <v>0</v>
      </c>
      <c r="AF21" s="39">
        <v>31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145</v>
      </c>
      <c r="E22" s="43">
        <f>SUM(E20:E21)</f>
        <v>17.427884615384613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335</v>
      </c>
      <c r="O22" s="43">
        <f t="shared" si="0"/>
        <v>220.39473684210526</v>
      </c>
      <c r="P22" s="42">
        <f t="shared" si="0"/>
        <v>0</v>
      </c>
      <c r="Q22" s="43">
        <f t="shared" si="0"/>
        <v>0</v>
      </c>
      <c r="R22" s="42">
        <f t="shared" si="0"/>
        <v>91960</v>
      </c>
      <c r="S22" s="43">
        <f t="shared" si="0"/>
        <v>10693.023255813954</v>
      </c>
      <c r="T22" s="44" t="e">
        <f t="shared" si="0"/>
        <v>#REF!</v>
      </c>
      <c r="U22" s="44">
        <f t="shared" si="0"/>
        <v>13983</v>
      </c>
      <c r="V22" s="44" t="e">
        <f t="shared" si="0"/>
        <v>#REF!</v>
      </c>
      <c r="W22" s="43">
        <f>SUM(W20:W21)</f>
        <v>36614.31</v>
      </c>
      <c r="X22" s="42">
        <f t="shared" si="0"/>
        <v>4917</v>
      </c>
      <c r="Y22" s="42">
        <f>SUM(Y20:Y21)</f>
        <v>174</v>
      </c>
      <c r="Z22" s="44">
        <f t="shared" si="0"/>
        <v>1111</v>
      </c>
      <c r="AA22" s="42">
        <f>SUM(AA20:AA21)</f>
        <v>14813</v>
      </c>
      <c r="AB22" s="44">
        <f>SUM(AB20:AB21)</f>
        <v>96440</v>
      </c>
      <c r="AC22" s="44">
        <f t="shared" si="0"/>
        <v>4744</v>
      </c>
      <c r="AD22" s="44">
        <f t="shared" si="0"/>
        <v>16590</v>
      </c>
      <c r="AE22" s="42">
        <f t="shared" si="0"/>
        <v>615</v>
      </c>
      <c r="AF22" s="46">
        <f>SUM(AF20:AF21)</f>
        <v>177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>
        <v>43000</v>
      </c>
      <c r="S23" s="32">
        <f>R23/215*25</f>
        <v>5000</v>
      </c>
      <c r="T23" s="31"/>
      <c r="U23" s="31">
        <v>22500</v>
      </c>
      <c r="V23" s="31"/>
      <c r="W23" s="31">
        <v>10000</v>
      </c>
      <c r="X23" s="31">
        <v>3000</v>
      </c>
      <c r="Y23" s="31"/>
      <c r="Z23" s="31"/>
      <c r="AA23" s="31">
        <v>17750</v>
      </c>
      <c r="AB23" s="31">
        <v>5040</v>
      </c>
      <c r="AC23" s="31"/>
      <c r="AD23" s="48">
        <f>5400+2000</f>
        <v>7400</v>
      </c>
      <c r="AE23" s="31">
        <v>0</v>
      </c>
      <c r="AF23" s="49">
        <v>0</v>
      </c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145</v>
      </c>
      <c r="E24" s="51">
        <f t="shared" si="1"/>
        <v>17.427884615384613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335</v>
      </c>
      <c r="O24" s="52">
        <f t="shared" si="1"/>
        <v>220.39473684210526</v>
      </c>
      <c r="P24" s="51">
        <f t="shared" si="1"/>
        <v>0</v>
      </c>
      <c r="Q24" s="51">
        <f t="shared" si="1"/>
        <v>0</v>
      </c>
      <c r="R24" s="51">
        <f t="shared" si="1"/>
        <v>134960</v>
      </c>
      <c r="S24" s="52">
        <f t="shared" si="1"/>
        <v>15693.023255813954</v>
      </c>
      <c r="T24" s="51" t="e">
        <f t="shared" si="1"/>
        <v>#REF!</v>
      </c>
      <c r="U24" s="51">
        <f t="shared" si="1"/>
        <v>36483</v>
      </c>
      <c r="V24" s="51" t="e">
        <f t="shared" si="1"/>
        <v>#REF!</v>
      </c>
      <c r="W24" s="52">
        <f t="shared" si="1"/>
        <v>46614.31</v>
      </c>
      <c r="X24" s="51">
        <f t="shared" si="1"/>
        <v>7917</v>
      </c>
      <c r="Y24" s="51">
        <f t="shared" si="1"/>
        <v>174</v>
      </c>
      <c r="Z24" s="51">
        <f t="shared" si="1"/>
        <v>1111</v>
      </c>
      <c r="AA24" s="51">
        <f t="shared" si="1"/>
        <v>32563</v>
      </c>
      <c r="AB24" s="51">
        <f t="shared" si="1"/>
        <v>101480</v>
      </c>
      <c r="AC24" s="51">
        <f t="shared" si="1"/>
        <v>4744</v>
      </c>
      <c r="AD24" s="51">
        <f t="shared" si="1"/>
        <v>23990</v>
      </c>
      <c r="AE24" s="51">
        <f t="shared" si="1"/>
        <v>615</v>
      </c>
      <c r="AF24" s="53">
        <f t="shared" si="1"/>
        <v>177</v>
      </c>
    </row>
    <row r="25" spans="1:34" ht="75.75" customHeight="1" x14ac:dyDescent="0.3">
      <c r="A25" s="158" t="s">
        <v>44</v>
      </c>
      <c r="B25" s="159"/>
      <c r="C25" s="160"/>
      <c r="D25" s="38">
        <v>0</v>
      </c>
      <c r="E25" s="32">
        <f>D25/208*25</f>
        <v>0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36</v>
      </c>
      <c r="O25" s="32">
        <f>N25/38*25</f>
        <v>23.684210526315788</v>
      </c>
      <c r="P25" s="38">
        <v>0</v>
      </c>
      <c r="Q25" s="32">
        <f>P25/135*25</f>
        <v>0</v>
      </c>
      <c r="R25" s="38">
        <v>24354</v>
      </c>
      <c r="S25" s="32">
        <f>R25/215*25</f>
        <v>2831.8604651162791</v>
      </c>
      <c r="T25" s="47" t="s">
        <v>40</v>
      </c>
      <c r="U25" s="54">
        <v>8707</v>
      </c>
      <c r="V25" s="47"/>
      <c r="W25" s="55">
        <f>X25*2.43</f>
        <v>4286.5200000000004</v>
      </c>
      <c r="X25" s="38">
        <v>1764</v>
      </c>
      <c r="Y25" s="38">
        <v>9</v>
      </c>
      <c r="Z25" s="47">
        <v>0</v>
      </c>
      <c r="AA25" s="38">
        <f>544+7412+470</f>
        <v>8426</v>
      </c>
      <c r="AB25" s="47">
        <v>4697</v>
      </c>
      <c r="AC25" s="47">
        <v>0</v>
      </c>
      <c r="AD25" s="47">
        <f>4898+486</f>
        <v>5384</v>
      </c>
      <c r="AE25" s="38">
        <v>0</v>
      </c>
      <c r="AF25" s="56">
        <v>2</v>
      </c>
    </row>
    <row r="26" spans="1:34" s="4" customFormat="1" ht="100.5" customHeight="1" thickBot="1" x14ac:dyDescent="0.25">
      <c r="A26" s="57">
        <v>45045</v>
      </c>
      <c r="B26" s="161" t="s">
        <v>45</v>
      </c>
      <c r="C26" s="162"/>
      <c r="D26" s="58">
        <f>D24-D25</f>
        <v>145</v>
      </c>
      <c r="E26" s="59">
        <f t="shared" ref="E26:Y26" si="2">E24-E25</f>
        <v>17.427884615384613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299</v>
      </c>
      <c r="O26" s="59">
        <f t="shared" si="4"/>
        <v>196.71052631578948</v>
      </c>
      <c r="P26" s="58">
        <f>P24-P25</f>
        <v>0</v>
      </c>
      <c r="Q26" s="59">
        <f t="shared" ref="Q26" si="5">Q24-Q25</f>
        <v>0</v>
      </c>
      <c r="R26" s="58">
        <f>R24-R25</f>
        <v>110606</v>
      </c>
      <c r="S26" s="59">
        <f t="shared" si="2"/>
        <v>12861.162790697676</v>
      </c>
      <c r="T26" s="60" t="e">
        <f t="shared" si="2"/>
        <v>#REF!</v>
      </c>
      <c r="U26" s="60">
        <f t="shared" si="2"/>
        <v>27776</v>
      </c>
      <c r="V26" s="60" t="e">
        <f t="shared" si="2"/>
        <v>#REF!</v>
      </c>
      <c r="W26" s="61">
        <f>W24-W25</f>
        <v>42327.789999999994</v>
      </c>
      <c r="X26" s="58">
        <f>X24-X25</f>
        <v>6153</v>
      </c>
      <c r="Y26" s="58">
        <f t="shared" si="2"/>
        <v>165</v>
      </c>
      <c r="Z26" s="60">
        <f>Z24-Z25</f>
        <v>1111</v>
      </c>
      <c r="AA26" s="58">
        <f>AA24-AA25</f>
        <v>24137</v>
      </c>
      <c r="AB26" s="60">
        <f>AB24-AB25</f>
        <v>96783</v>
      </c>
      <c r="AC26" s="60">
        <f>AC24-AC25</f>
        <v>4744</v>
      </c>
      <c r="AD26" s="60">
        <f>AD24-AD25</f>
        <v>18606</v>
      </c>
      <c r="AE26" s="58">
        <f t="shared" ref="AE26" si="6">AE24-AE25</f>
        <v>615</v>
      </c>
      <c r="AF26" s="62">
        <f>AF24-AF25</f>
        <v>175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52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56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7" zoomScale="78" zoomScaleNormal="78" workbookViewId="0">
      <selection activeCell="D23" sqref="D23:AF23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7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85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45045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48375</v>
      </c>
      <c r="S20" s="34">
        <f>R20/215*25</f>
        <v>5625</v>
      </c>
      <c r="T20" s="33" t="e">
        <f>#REF!</f>
        <v>#REF!</v>
      </c>
      <c r="U20" s="33">
        <v>11125</v>
      </c>
      <c r="V20" s="33" t="e">
        <f>#REF!</f>
        <v>#REF!</v>
      </c>
      <c r="W20" s="35">
        <v>34868</v>
      </c>
      <c r="X20" s="31">
        <v>2600</v>
      </c>
      <c r="Y20" s="31">
        <v>160</v>
      </c>
      <c r="Z20" s="33">
        <v>743</v>
      </c>
      <c r="AA20" s="31">
        <v>9240</v>
      </c>
      <c r="AB20" s="33">
        <v>35280</v>
      </c>
      <c r="AC20" s="33">
        <v>1840</v>
      </c>
      <c r="AD20" s="33">
        <v>3960</v>
      </c>
      <c r="AE20" s="31">
        <v>615</v>
      </c>
      <c r="AF20" s="36">
        <v>146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145</v>
      </c>
      <c r="E21" s="32">
        <f>D21/208*25</f>
        <v>17.427884615384613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299</v>
      </c>
      <c r="O21" s="32">
        <f>N21/38*25</f>
        <v>196.71052631578948</v>
      </c>
      <c r="P21" s="38">
        <v>0</v>
      </c>
      <c r="Q21" s="32">
        <f>P21/135*25</f>
        <v>0</v>
      </c>
      <c r="R21" s="38">
        <v>62231</v>
      </c>
      <c r="S21" s="32">
        <f>R21/215*25</f>
        <v>7236.1627906976746</v>
      </c>
      <c r="T21" s="34"/>
      <c r="U21" s="34">
        <v>16651</v>
      </c>
      <c r="V21" s="34">
        <v>0</v>
      </c>
      <c r="W21" s="32">
        <v>7459.7900000000009</v>
      </c>
      <c r="X21" s="38">
        <v>3553</v>
      </c>
      <c r="Y21" s="38">
        <v>5</v>
      </c>
      <c r="Z21" s="34">
        <v>368</v>
      </c>
      <c r="AA21" s="38">
        <v>14897</v>
      </c>
      <c r="AB21" s="34">
        <v>61503</v>
      </c>
      <c r="AC21" s="34">
        <v>2904</v>
      </c>
      <c r="AD21" s="34">
        <v>14646</v>
      </c>
      <c r="AE21" s="38">
        <v>0</v>
      </c>
      <c r="AF21" s="39">
        <v>29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145</v>
      </c>
      <c r="E22" s="43">
        <f>SUM(E20:E21)</f>
        <v>17.427884615384613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299</v>
      </c>
      <c r="O22" s="43">
        <f t="shared" si="0"/>
        <v>196.71052631578948</v>
      </c>
      <c r="P22" s="42">
        <f t="shared" si="0"/>
        <v>0</v>
      </c>
      <c r="Q22" s="43">
        <f t="shared" si="0"/>
        <v>0</v>
      </c>
      <c r="R22" s="42">
        <f t="shared" si="0"/>
        <v>110606</v>
      </c>
      <c r="S22" s="43">
        <f t="shared" si="0"/>
        <v>12861.162790697676</v>
      </c>
      <c r="T22" s="44" t="e">
        <f t="shared" si="0"/>
        <v>#REF!</v>
      </c>
      <c r="U22" s="44">
        <f t="shared" si="0"/>
        <v>27776</v>
      </c>
      <c r="V22" s="44" t="e">
        <f t="shared" si="0"/>
        <v>#REF!</v>
      </c>
      <c r="W22" s="43">
        <f>SUM(W20:W21)</f>
        <v>42327.79</v>
      </c>
      <c r="X22" s="42">
        <f t="shared" si="0"/>
        <v>6153</v>
      </c>
      <c r="Y22" s="42">
        <f>SUM(Y20:Y21)</f>
        <v>165</v>
      </c>
      <c r="Z22" s="44">
        <f t="shared" si="0"/>
        <v>1111</v>
      </c>
      <c r="AA22" s="42">
        <f>SUM(AA20:AA21)</f>
        <v>24137</v>
      </c>
      <c r="AB22" s="44">
        <f>SUM(AB20:AB21)</f>
        <v>96783</v>
      </c>
      <c r="AC22" s="44">
        <f t="shared" si="0"/>
        <v>4744</v>
      </c>
      <c r="AD22" s="44">
        <f t="shared" si="0"/>
        <v>18606</v>
      </c>
      <c r="AE22" s="42">
        <f t="shared" si="0"/>
        <v>615</v>
      </c>
      <c r="AF22" s="46">
        <f>SUM(AF20:AF21)</f>
        <v>175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>
        <v>43000</v>
      </c>
      <c r="S23" s="32">
        <f>R23/215*25</f>
        <v>5000</v>
      </c>
      <c r="T23" s="31"/>
      <c r="U23" s="31">
        <v>22500</v>
      </c>
      <c r="V23" s="31"/>
      <c r="W23" s="31">
        <v>12000</v>
      </c>
      <c r="X23" s="31">
        <v>4000</v>
      </c>
      <c r="Y23" s="31"/>
      <c r="Z23" s="31"/>
      <c r="AA23" s="31">
        <v>16000</v>
      </c>
      <c r="AB23" s="31">
        <v>0</v>
      </c>
      <c r="AC23" s="31"/>
      <c r="AD23" s="48">
        <v>9000</v>
      </c>
      <c r="AE23" s="31">
        <v>0</v>
      </c>
      <c r="AF23" s="49">
        <v>50</v>
      </c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145</v>
      </c>
      <c r="E24" s="51">
        <f t="shared" si="1"/>
        <v>17.427884615384613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299</v>
      </c>
      <c r="O24" s="52">
        <f t="shared" si="1"/>
        <v>196.71052631578948</v>
      </c>
      <c r="P24" s="51">
        <f t="shared" si="1"/>
        <v>0</v>
      </c>
      <c r="Q24" s="51">
        <f t="shared" si="1"/>
        <v>0</v>
      </c>
      <c r="R24" s="51">
        <f t="shared" si="1"/>
        <v>153606</v>
      </c>
      <c r="S24" s="52">
        <f t="shared" si="1"/>
        <v>17861.162790697676</v>
      </c>
      <c r="T24" s="51" t="e">
        <f t="shared" si="1"/>
        <v>#REF!</v>
      </c>
      <c r="U24" s="51">
        <f t="shared" si="1"/>
        <v>50276</v>
      </c>
      <c r="V24" s="51" t="e">
        <f t="shared" si="1"/>
        <v>#REF!</v>
      </c>
      <c r="W24" s="52">
        <f t="shared" si="1"/>
        <v>54327.79</v>
      </c>
      <c r="X24" s="51">
        <f t="shared" si="1"/>
        <v>10153</v>
      </c>
      <c r="Y24" s="51">
        <f t="shared" si="1"/>
        <v>165</v>
      </c>
      <c r="Z24" s="51">
        <f t="shared" si="1"/>
        <v>1111</v>
      </c>
      <c r="AA24" s="51">
        <f t="shared" si="1"/>
        <v>40137</v>
      </c>
      <c r="AB24" s="51">
        <f t="shared" si="1"/>
        <v>96783</v>
      </c>
      <c r="AC24" s="51">
        <f t="shared" si="1"/>
        <v>4744</v>
      </c>
      <c r="AD24" s="51">
        <f t="shared" si="1"/>
        <v>27606</v>
      </c>
      <c r="AE24" s="51">
        <f t="shared" si="1"/>
        <v>615</v>
      </c>
      <c r="AF24" s="53">
        <f t="shared" si="1"/>
        <v>225</v>
      </c>
    </row>
    <row r="25" spans="1:34" ht="75.75" customHeight="1" x14ac:dyDescent="0.3">
      <c r="A25" s="158" t="s">
        <v>44</v>
      </c>
      <c r="B25" s="159"/>
      <c r="C25" s="160"/>
      <c r="D25" s="38">
        <v>139</v>
      </c>
      <c r="E25" s="32">
        <f>D25/208*25</f>
        <v>16.706730769230766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15</v>
      </c>
      <c r="O25" s="32">
        <f>N25/38*25</f>
        <v>9.8684210526315788</v>
      </c>
      <c r="P25" s="38">
        <v>0</v>
      </c>
      <c r="Q25" s="32">
        <f>P25/135*25</f>
        <v>0</v>
      </c>
      <c r="R25" s="38">
        <v>17711</v>
      </c>
      <c r="S25" s="32">
        <f>R25/215*25</f>
        <v>2059.4186046511627</v>
      </c>
      <c r="T25" s="47" t="s">
        <v>40</v>
      </c>
      <c r="U25" s="54">
        <v>6546</v>
      </c>
      <c r="V25" s="47"/>
      <c r="W25" s="55">
        <f>X25*2.43</f>
        <v>3295.0800000000004</v>
      </c>
      <c r="X25" s="38">
        <v>1356</v>
      </c>
      <c r="Y25" s="38">
        <v>5</v>
      </c>
      <c r="Z25" s="47">
        <v>0</v>
      </c>
      <c r="AA25" s="38">
        <f>159+5758+46</f>
        <v>5963</v>
      </c>
      <c r="AB25" s="47">
        <v>3778</v>
      </c>
      <c r="AC25" s="47">
        <v>0</v>
      </c>
      <c r="AD25" s="47">
        <f>3702+434</f>
        <v>4136</v>
      </c>
      <c r="AE25" s="38">
        <v>0</v>
      </c>
      <c r="AF25" s="56">
        <v>2</v>
      </c>
    </row>
    <row r="26" spans="1:34" s="4" customFormat="1" ht="100.5" customHeight="1" thickBot="1" x14ac:dyDescent="0.25">
      <c r="A26" s="57">
        <v>45052</v>
      </c>
      <c r="B26" s="161" t="s">
        <v>45</v>
      </c>
      <c r="C26" s="162"/>
      <c r="D26" s="58">
        <f>D24-D25</f>
        <v>6</v>
      </c>
      <c r="E26" s="59">
        <f t="shared" ref="E26:Y26" si="2">E24-E25</f>
        <v>0.7211538461538467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284</v>
      </c>
      <c r="O26" s="59">
        <f t="shared" si="4"/>
        <v>186.84210526315789</v>
      </c>
      <c r="P26" s="58">
        <f>P24-P25</f>
        <v>0</v>
      </c>
      <c r="Q26" s="59">
        <f t="shared" ref="Q26" si="5">Q24-Q25</f>
        <v>0</v>
      </c>
      <c r="R26" s="58">
        <f>R24-R25</f>
        <v>135895</v>
      </c>
      <c r="S26" s="59">
        <f t="shared" si="2"/>
        <v>15801.744186046513</v>
      </c>
      <c r="T26" s="60" t="e">
        <f t="shared" si="2"/>
        <v>#REF!</v>
      </c>
      <c r="U26" s="60">
        <f t="shared" si="2"/>
        <v>43730</v>
      </c>
      <c r="V26" s="60" t="e">
        <f t="shared" si="2"/>
        <v>#REF!</v>
      </c>
      <c r="W26" s="61">
        <f>W24-W25</f>
        <v>51032.71</v>
      </c>
      <c r="X26" s="58">
        <f>X24-X25</f>
        <v>8797</v>
      </c>
      <c r="Y26" s="58">
        <f t="shared" si="2"/>
        <v>160</v>
      </c>
      <c r="Z26" s="60">
        <f>Z24-Z25</f>
        <v>1111</v>
      </c>
      <c r="AA26" s="58">
        <f>AA24-AA25</f>
        <v>34174</v>
      </c>
      <c r="AB26" s="60">
        <f>AB24-AB25</f>
        <v>93005</v>
      </c>
      <c r="AC26" s="60">
        <f>AC24-AC25</f>
        <v>4744</v>
      </c>
      <c r="AD26" s="60">
        <f>AD24-AD25</f>
        <v>23470</v>
      </c>
      <c r="AE26" s="58">
        <f t="shared" ref="AE26" si="6">AE24-AE25</f>
        <v>615</v>
      </c>
      <c r="AF26" s="62">
        <f>AF24-AF25</f>
        <v>223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H53"/>
  <sheetViews>
    <sheetView topLeftCell="A10" zoomScale="78" zoomScaleNormal="78" workbookViewId="0">
      <selection activeCell="U24" sqref="U24"/>
    </sheetView>
  </sheetViews>
  <sheetFormatPr defaultRowHeight="21.75" x14ac:dyDescent="0.3"/>
  <cols>
    <col min="1" max="1" width="18.5703125" style="1" customWidth="1"/>
    <col min="2" max="2" width="21.140625" style="1" customWidth="1"/>
    <col min="3" max="3" width="22.140625" style="1" customWidth="1"/>
    <col min="4" max="4" width="10.7109375" style="1" customWidth="1"/>
    <col min="5" max="5" width="13" style="1" customWidth="1"/>
    <col min="6" max="6" width="4.42578125" style="1" hidden="1" customWidth="1"/>
    <col min="7" max="7" width="4.7109375" style="1" hidden="1" customWidth="1"/>
    <col min="8" max="8" width="6.85546875" style="1" hidden="1" customWidth="1"/>
    <col min="9" max="9" width="9.140625" style="1" hidden="1" customWidth="1"/>
    <col min="10" max="10" width="6.42578125" style="1" hidden="1" customWidth="1"/>
    <col min="11" max="11" width="7.42578125" style="1" hidden="1" customWidth="1"/>
    <col min="12" max="13" width="10.7109375" style="1" hidden="1" customWidth="1"/>
    <col min="14" max="14" width="17" style="1" customWidth="1"/>
    <col min="15" max="15" width="16" style="1" customWidth="1"/>
    <col min="16" max="17" width="12.7109375" style="1" hidden="1" customWidth="1"/>
    <col min="18" max="18" width="15" style="1" customWidth="1"/>
    <col min="19" max="19" width="16.140625" style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5.42578125" style="1" customWidth="1"/>
    <col min="25" max="25" width="17.42578125" style="1" customWidth="1"/>
    <col min="26" max="26" width="13.140625" style="1" bestFit="1" customWidth="1"/>
    <col min="27" max="27" width="16.28515625" style="1" bestFit="1" customWidth="1"/>
    <col min="28" max="28" width="18" style="1" bestFit="1" customWidth="1"/>
    <col min="29" max="29" width="22.140625" style="1" customWidth="1"/>
    <col min="30" max="30" width="15.140625" style="1" bestFit="1" customWidth="1"/>
    <col min="31" max="31" width="12.42578125" style="1" bestFit="1" customWidth="1"/>
    <col min="32" max="32" width="9.140625" style="1" bestFit="1" customWidth="1"/>
    <col min="33" max="33" width="14.28515625" style="1" bestFit="1" customWidth="1"/>
    <col min="34" max="34" width="10.28515625" style="1" bestFit="1" customWidth="1"/>
    <col min="35" max="35" width="9.140625" style="1"/>
    <col min="36" max="36" width="10.7109375" style="1" bestFit="1" customWidth="1"/>
    <col min="37" max="16384" width="9.140625" style="1"/>
  </cols>
  <sheetData>
    <row r="10" spans="1:33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</row>
    <row r="11" spans="1:33" ht="34.5" x14ac:dyDescent="0.45">
      <c r="A11" s="190" t="s">
        <v>86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</row>
    <row r="12" spans="1:33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22.5" thickBot="1" x14ac:dyDescent="0.35"/>
    <row r="14" spans="1:33" s="4" customFormat="1" ht="18" customHeight="1" x14ac:dyDescent="0.2">
      <c r="A14" s="191" t="s">
        <v>1</v>
      </c>
      <c r="B14" s="192"/>
      <c r="C14" s="193"/>
      <c r="D14" s="197" t="s">
        <v>2</v>
      </c>
      <c r="E14" s="198"/>
      <c r="F14" s="198"/>
      <c r="G14" s="198"/>
      <c r="H14" s="198"/>
      <c r="I14" s="198"/>
      <c r="J14" s="198"/>
      <c r="K14" s="199"/>
      <c r="L14" s="3"/>
      <c r="M14" s="3"/>
      <c r="N14" s="203" t="s">
        <v>3</v>
      </c>
      <c r="O14" s="204"/>
      <c r="P14" s="204"/>
      <c r="Q14" s="204"/>
      <c r="R14" s="204"/>
      <c r="S14" s="204"/>
      <c r="T14" s="205"/>
      <c r="U14" s="203" t="s">
        <v>4</v>
      </c>
      <c r="V14" s="204"/>
      <c r="W14" s="204"/>
      <c r="X14" s="205"/>
      <c r="Y14" s="209" t="s">
        <v>3</v>
      </c>
      <c r="Z14" s="203" t="s">
        <v>5</v>
      </c>
      <c r="AA14" s="204"/>
      <c r="AB14" s="204"/>
      <c r="AC14" s="205"/>
      <c r="AD14" s="209" t="s">
        <v>6</v>
      </c>
      <c r="AE14" s="212" t="s">
        <v>6</v>
      </c>
      <c r="AF14" s="213"/>
    </row>
    <row r="15" spans="1:33" s="4" customFormat="1" ht="24" customHeight="1" thickBot="1" x14ac:dyDescent="0.25">
      <c r="A15" s="194"/>
      <c r="B15" s="195"/>
      <c r="C15" s="196"/>
      <c r="D15" s="200"/>
      <c r="E15" s="201"/>
      <c r="F15" s="201"/>
      <c r="G15" s="201"/>
      <c r="H15" s="201"/>
      <c r="I15" s="201"/>
      <c r="J15" s="201"/>
      <c r="K15" s="202"/>
      <c r="L15" s="5"/>
      <c r="M15" s="5"/>
      <c r="N15" s="206"/>
      <c r="O15" s="207"/>
      <c r="P15" s="207"/>
      <c r="Q15" s="207"/>
      <c r="R15" s="207"/>
      <c r="S15" s="207"/>
      <c r="T15" s="208"/>
      <c r="U15" s="216" t="s">
        <v>3</v>
      </c>
      <c r="V15" s="217"/>
      <c r="W15" s="217"/>
      <c r="X15" s="218"/>
      <c r="Y15" s="210"/>
      <c r="Z15" s="206"/>
      <c r="AA15" s="207"/>
      <c r="AB15" s="207"/>
      <c r="AC15" s="208"/>
      <c r="AD15" s="211"/>
      <c r="AE15" s="214"/>
      <c r="AF15" s="215"/>
    </row>
    <row r="16" spans="1:33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7" t="s">
        <v>10</v>
      </c>
      <c r="G16" s="188"/>
      <c r="H16" s="185" t="s">
        <v>9</v>
      </c>
      <c r="I16" s="186"/>
      <c r="J16" s="185" t="s">
        <v>9</v>
      </c>
      <c r="K16" s="186"/>
      <c r="L16" s="187" t="s">
        <v>10</v>
      </c>
      <c r="M16" s="188"/>
      <c r="N16" s="185" t="s">
        <v>9</v>
      </c>
      <c r="O16" s="186"/>
      <c r="P16" s="185" t="s">
        <v>9</v>
      </c>
      <c r="Q16" s="186"/>
      <c r="R16" s="185" t="s">
        <v>9</v>
      </c>
      <c r="S16" s="186"/>
      <c r="T16" s="6" t="s">
        <v>11</v>
      </c>
      <c r="U16" s="7" t="s">
        <v>12</v>
      </c>
      <c r="V16" s="7" t="s">
        <v>13</v>
      </c>
      <c r="W16" s="8" t="s">
        <v>13</v>
      </c>
      <c r="X16" s="6" t="s">
        <v>14</v>
      </c>
      <c r="Y16" s="9" t="s">
        <v>15</v>
      </c>
      <c r="Z16" s="10" t="s">
        <v>16</v>
      </c>
      <c r="AA16" s="10" t="s">
        <v>17</v>
      </c>
      <c r="AB16" s="11" t="s">
        <v>18</v>
      </c>
      <c r="AC16" s="10" t="s">
        <v>19</v>
      </c>
      <c r="AD16" s="12" t="s">
        <v>20</v>
      </c>
      <c r="AE16" s="12" t="s">
        <v>21</v>
      </c>
      <c r="AF16" s="13" t="s">
        <v>22</v>
      </c>
    </row>
    <row r="17" spans="1:34" s="4" customFormat="1" ht="19.5" customHeight="1" x14ac:dyDescent="0.2">
      <c r="A17" s="180"/>
      <c r="B17" s="183"/>
      <c r="C17" s="183"/>
      <c r="D17" s="163">
        <v>208</v>
      </c>
      <c r="E17" s="164"/>
      <c r="F17" s="177">
        <v>200</v>
      </c>
      <c r="G17" s="178"/>
      <c r="H17" s="163">
        <v>208</v>
      </c>
      <c r="I17" s="164"/>
      <c r="J17" s="163">
        <v>150</v>
      </c>
      <c r="K17" s="164"/>
      <c r="L17" s="177">
        <v>150</v>
      </c>
      <c r="M17" s="178"/>
      <c r="N17" s="163">
        <v>38</v>
      </c>
      <c r="O17" s="164"/>
      <c r="P17" s="163">
        <v>135</v>
      </c>
      <c r="Q17" s="164"/>
      <c r="R17" s="163">
        <v>215</v>
      </c>
      <c r="S17" s="164"/>
      <c r="T17" s="14" t="s">
        <v>23</v>
      </c>
      <c r="U17" s="15"/>
      <c r="V17" s="15" t="s">
        <v>24</v>
      </c>
      <c r="W17" s="16"/>
      <c r="X17" s="14"/>
      <c r="Y17" s="16" t="s">
        <v>25</v>
      </c>
      <c r="Z17" s="17" t="s">
        <v>26</v>
      </c>
      <c r="AA17" s="17" t="s">
        <v>27</v>
      </c>
      <c r="AB17" s="17" t="s">
        <v>26</v>
      </c>
      <c r="AC17" s="18" t="s">
        <v>28</v>
      </c>
      <c r="AD17" s="19" t="s">
        <v>29</v>
      </c>
      <c r="AE17" s="19"/>
      <c r="AF17" s="19"/>
    </row>
    <row r="18" spans="1:34" s="4" customFormat="1" ht="19.5" customHeight="1" x14ac:dyDescent="0.2">
      <c r="A18" s="180"/>
      <c r="B18" s="183"/>
      <c r="C18" s="183"/>
      <c r="D18" s="163" t="s">
        <v>30</v>
      </c>
      <c r="E18" s="164"/>
      <c r="F18" s="177" t="s">
        <v>31</v>
      </c>
      <c r="G18" s="178"/>
      <c r="H18" s="163" t="s">
        <v>32</v>
      </c>
      <c r="I18" s="164"/>
      <c r="J18" s="163" t="s">
        <v>30</v>
      </c>
      <c r="K18" s="164"/>
      <c r="L18" s="177" t="s">
        <v>33</v>
      </c>
      <c r="M18" s="178"/>
      <c r="N18" s="163" t="s">
        <v>33</v>
      </c>
      <c r="O18" s="164"/>
      <c r="P18" s="163" t="s">
        <v>33</v>
      </c>
      <c r="Q18" s="164"/>
      <c r="R18" s="163" t="s">
        <v>33</v>
      </c>
      <c r="S18" s="164"/>
      <c r="T18" s="14"/>
      <c r="U18" s="16"/>
      <c r="V18" s="16"/>
      <c r="W18" s="16"/>
      <c r="X18" s="14"/>
      <c r="Y18" s="16"/>
      <c r="Z18" s="20"/>
      <c r="AA18" s="16"/>
      <c r="AB18" s="21"/>
      <c r="AC18" s="21"/>
      <c r="AD18" s="16"/>
      <c r="AE18" s="16"/>
      <c r="AF18" s="16"/>
    </row>
    <row r="19" spans="1:34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4" t="s">
        <v>34</v>
      </c>
      <c r="G19" s="25" t="s">
        <v>35</v>
      </c>
      <c r="H19" s="22" t="s">
        <v>34</v>
      </c>
      <c r="I19" s="23" t="s">
        <v>35</v>
      </c>
      <c r="J19" s="22" t="s">
        <v>34</v>
      </c>
      <c r="K19" s="23" t="s">
        <v>35</v>
      </c>
      <c r="L19" s="24" t="s">
        <v>34</v>
      </c>
      <c r="M19" s="25" t="s">
        <v>35</v>
      </c>
      <c r="N19" s="22" t="s">
        <v>34</v>
      </c>
      <c r="O19" s="23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6" t="s">
        <v>34</v>
      </c>
      <c r="U19" s="27" t="s">
        <v>35</v>
      </c>
      <c r="V19" s="27" t="s">
        <v>36</v>
      </c>
      <c r="W19" s="27" t="s">
        <v>36</v>
      </c>
      <c r="X19" s="26" t="s">
        <v>34</v>
      </c>
      <c r="Y19" s="27"/>
      <c r="Z19" s="28" t="s">
        <v>34</v>
      </c>
      <c r="AA19" s="27" t="s">
        <v>34</v>
      </c>
      <c r="AB19" s="29" t="s">
        <v>34</v>
      </c>
      <c r="AC19" s="29" t="s">
        <v>34</v>
      </c>
      <c r="AD19" s="27" t="s">
        <v>36</v>
      </c>
      <c r="AE19" s="27" t="s">
        <v>36</v>
      </c>
      <c r="AF19" s="27" t="s">
        <v>34</v>
      </c>
    </row>
    <row r="20" spans="1:34" ht="54" customHeight="1" x14ac:dyDescent="0.3">
      <c r="A20" s="165">
        <v>45053</v>
      </c>
      <c r="B20" s="168" t="s">
        <v>37</v>
      </c>
      <c r="C20" s="30" t="s">
        <v>38</v>
      </c>
      <c r="D20" s="31">
        <v>0</v>
      </c>
      <c r="E20" s="32">
        <f>D20/208*25</f>
        <v>0</v>
      </c>
      <c r="F20" s="33" t="e">
        <f>#REF!</f>
        <v>#REF!</v>
      </c>
      <c r="G20" s="33" t="e">
        <f>#REF!</f>
        <v>#REF!</v>
      </c>
      <c r="H20" s="33">
        <v>0</v>
      </c>
      <c r="I20" s="34">
        <f>H20/208*25</f>
        <v>0</v>
      </c>
      <c r="J20" s="33">
        <v>0</v>
      </c>
      <c r="K20" s="34">
        <f>J20/150*25</f>
        <v>0</v>
      </c>
      <c r="L20" s="33" t="e">
        <f>#REF!</f>
        <v>#REF!</v>
      </c>
      <c r="M20" s="33" t="e">
        <f>#REF!</f>
        <v>#REF!</v>
      </c>
      <c r="N20" s="33">
        <v>0</v>
      </c>
      <c r="O20" s="34">
        <f>N20/38*25</f>
        <v>0</v>
      </c>
      <c r="P20" s="33">
        <v>0</v>
      </c>
      <c r="Q20" s="34">
        <f>P20/135*25</f>
        <v>0</v>
      </c>
      <c r="R20" s="31">
        <v>91375</v>
      </c>
      <c r="S20" s="34">
        <f>R20/215*25</f>
        <v>10625</v>
      </c>
      <c r="T20" s="33" t="e">
        <f>#REF!</f>
        <v>#REF!</v>
      </c>
      <c r="U20" s="33">
        <v>33625</v>
      </c>
      <c r="V20" s="33" t="e">
        <f>#REF!</f>
        <v>#REF!</v>
      </c>
      <c r="W20" s="35">
        <v>46868</v>
      </c>
      <c r="X20" s="31">
        <v>6600</v>
      </c>
      <c r="Y20" s="31">
        <v>100</v>
      </c>
      <c r="Z20" s="33">
        <v>743</v>
      </c>
      <c r="AA20" s="31">
        <v>25240</v>
      </c>
      <c r="AB20" s="33">
        <v>35280</v>
      </c>
      <c r="AC20" s="33">
        <v>1840</v>
      </c>
      <c r="AD20" s="33">
        <v>12960</v>
      </c>
      <c r="AE20" s="31">
        <v>615</v>
      </c>
      <c r="AF20" s="36">
        <v>196</v>
      </c>
      <c r="AG20" s="78"/>
    </row>
    <row r="21" spans="1:34" ht="45" customHeight="1" x14ac:dyDescent="0.3">
      <c r="A21" s="166"/>
      <c r="B21" s="169"/>
      <c r="C21" s="37" t="s">
        <v>39</v>
      </c>
      <c r="D21" s="38">
        <v>6</v>
      </c>
      <c r="E21" s="32">
        <f>D21/208*25</f>
        <v>0.72115384615384615</v>
      </c>
      <c r="F21" s="34" t="s">
        <v>40</v>
      </c>
      <c r="G21" s="34" t="s">
        <v>40</v>
      </c>
      <c r="H21" s="34"/>
      <c r="I21" s="34">
        <f>H21/208*25</f>
        <v>0</v>
      </c>
      <c r="J21" s="33">
        <v>0</v>
      </c>
      <c r="K21" s="34">
        <f>J21/150*25</f>
        <v>0</v>
      </c>
      <c r="L21" s="33" t="e">
        <f>#REF!</f>
        <v>#REF!</v>
      </c>
      <c r="M21" s="33" t="e">
        <f>#REF!</f>
        <v>#REF!</v>
      </c>
      <c r="N21" s="33">
        <v>284</v>
      </c>
      <c r="O21" s="32">
        <f>N21/38*25</f>
        <v>186.84210526315789</v>
      </c>
      <c r="P21" s="38">
        <v>0</v>
      </c>
      <c r="Q21" s="32">
        <f>P21/135*25</f>
        <v>0</v>
      </c>
      <c r="R21" s="38">
        <v>44520</v>
      </c>
      <c r="S21" s="32">
        <f>R21/215*25</f>
        <v>5176.7441860465124</v>
      </c>
      <c r="T21" s="34"/>
      <c r="U21" s="34">
        <v>10105</v>
      </c>
      <c r="V21" s="34">
        <v>0</v>
      </c>
      <c r="W21" s="32">
        <v>4164.71</v>
      </c>
      <c r="X21" s="38">
        <v>2197</v>
      </c>
      <c r="Y21" s="38">
        <v>60</v>
      </c>
      <c r="Z21" s="34">
        <v>368</v>
      </c>
      <c r="AA21" s="38">
        <v>8934</v>
      </c>
      <c r="AB21" s="34">
        <v>57725</v>
      </c>
      <c r="AC21" s="34">
        <v>2904</v>
      </c>
      <c r="AD21" s="34">
        <v>10510</v>
      </c>
      <c r="AE21" s="38">
        <v>0</v>
      </c>
      <c r="AF21" s="39">
        <v>27</v>
      </c>
      <c r="AH21" s="40"/>
    </row>
    <row r="22" spans="1:34" ht="61.5" customHeight="1" x14ac:dyDescent="0.3">
      <c r="A22" s="167"/>
      <c r="B22" s="170"/>
      <c r="C22" s="41" t="s">
        <v>41</v>
      </c>
      <c r="D22" s="42">
        <f t="shared" ref="D22:AE22" si="0">SUM(D20:D21)</f>
        <v>6</v>
      </c>
      <c r="E22" s="43">
        <f>SUM(E20:E21)</f>
        <v>0.72115384615384615</v>
      </c>
      <c r="F22" s="44" t="e">
        <f t="shared" si="0"/>
        <v>#REF!</v>
      </c>
      <c r="G22" s="44" t="e">
        <f t="shared" si="0"/>
        <v>#REF!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5">
        <f t="shared" si="0"/>
        <v>0</v>
      </c>
      <c r="L22" s="44" t="e">
        <f t="shared" si="0"/>
        <v>#REF!</v>
      </c>
      <c r="M22" s="44" t="e">
        <f t="shared" si="0"/>
        <v>#REF!</v>
      </c>
      <c r="N22" s="44">
        <f>SUM(N20:N21)</f>
        <v>284</v>
      </c>
      <c r="O22" s="43">
        <f t="shared" si="0"/>
        <v>186.84210526315789</v>
      </c>
      <c r="P22" s="42">
        <f t="shared" si="0"/>
        <v>0</v>
      </c>
      <c r="Q22" s="43">
        <f t="shared" si="0"/>
        <v>0</v>
      </c>
      <c r="R22" s="42">
        <f t="shared" si="0"/>
        <v>135895</v>
      </c>
      <c r="S22" s="43">
        <f t="shared" si="0"/>
        <v>15801.744186046511</v>
      </c>
      <c r="T22" s="44" t="e">
        <f t="shared" si="0"/>
        <v>#REF!</v>
      </c>
      <c r="U22" s="44">
        <f t="shared" si="0"/>
        <v>43730</v>
      </c>
      <c r="V22" s="44" t="e">
        <f t="shared" si="0"/>
        <v>#REF!</v>
      </c>
      <c r="W22" s="43">
        <f>SUM(W20:W21)</f>
        <v>51032.71</v>
      </c>
      <c r="X22" s="42">
        <f t="shared" si="0"/>
        <v>8797</v>
      </c>
      <c r="Y22" s="42">
        <f>SUM(Y20:Y21)</f>
        <v>160</v>
      </c>
      <c r="Z22" s="44">
        <f t="shared" si="0"/>
        <v>1111</v>
      </c>
      <c r="AA22" s="42">
        <f>SUM(AA20:AA21)</f>
        <v>34174</v>
      </c>
      <c r="AB22" s="44">
        <f>SUM(AB20:AB21)</f>
        <v>93005</v>
      </c>
      <c r="AC22" s="44">
        <f t="shared" si="0"/>
        <v>4744</v>
      </c>
      <c r="AD22" s="44">
        <f t="shared" si="0"/>
        <v>23470</v>
      </c>
      <c r="AE22" s="42">
        <f t="shared" si="0"/>
        <v>615</v>
      </c>
      <c r="AF22" s="46">
        <f>SUM(AF20:AF21)</f>
        <v>223</v>
      </c>
      <c r="AG22" s="63"/>
    </row>
    <row r="23" spans="1:34" ht="48" customHeight="1" x14ac:dyDescent="0.3">
      <c r="A23" s="171" t="s">
        <v>42</v>
      </c>
      <c r="B23" s="172"/>
      <c r="C23" s="173"/>
      <c r="D23" s="31"/>
      <c r="E23" s="38"/>
      <c r="F23" s="31"/>
      <c r="G23" s="31"/>
      <c r="H23" s="47"/>
      <c r="I23" s="34"/>
      <c r="J23" s="47"/>
      <c r="K23" s="34"/>
      <c r="L23" s="47"/>
      <c r="M23" s="34"/>
      <c r="N23" s="31"/>
      <c r="O23" s="34"/>
      <c r="P23" s="31"/>
      <c r="Q23" s="34"/>
      <c r="R23" s="31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48"/>
      <c r="AE23" s="31"/>
      <c r="AF23" s="49"/>
      <c r="AH23" s="50"/>
    </row>
    <row r="24" spans="1:34" ht="54" customHeight="1" x14ac:dyDescent="0.3">
      <c r="A24" s="174" t="s">
        <v>43</v>
      </c>
      <c r="B24" s="175"/>
      <c r="C24" s="176"/>
      <c r="D24" s="51">
        <f t="shared" ref="D24:AF24" si="1">D22+D23</f>
        <v>6</v>
      </c>
      <c r="E24" s="51">
        <f t="shared" si="1"/>
        <v>0.72115384615384615</v>
      </c>
      <c r="F24" s="51" t="e">
        <f t="shared" si="1"/>
        <v>#REF!</v>
      </c>
      <c r="G24" s="51" t="e">
        <f t="shared" si="1"/>
        <v>#REF!</v>
      </c>
      <c r="H24" s="51">
        <f t="shared" si="1"/>
        <v>0</v>
      </c>
      <c r="I24" s="51">
        <f t="shared" si="1"/>
        <v>0</v>
      </c>
      <c r="J24" s="51">
        <f t="shared" si="1"/>
        <v>0</v>
      </c>
      <c r="K24" s="51">
        <f t="shared" si="1"/>
        <v>0</v>
      </c>
      <c r="L24" s="51" t="e">
        <f t="shared" si="1"/>
        <v>#REF!</v>
      </c>
      <c r="M24" s="51" t="e">
        <f t="shared" si="1"/>
        <v>#REF!</v>
      </c>
      <c r="N24" s="51">
        <f t="shared" si="1"/>
        <v>284</v>
      </c>
      <c r="O24" s="52">
        <f t="shared" si="1"/>
        <v>186.84210526315789</v>
      </c>
      <c r="P24" s="51">
        <f t="shared" si="1"/>
        <v>0</v>
      </c>
      <c r="Q24" s="51">
        <f t="shared" si="1"/>
        <v>0</v>
      </c>
      <c r="R24" s="51">
        <f t="shared" si="1"/>
        <v>135895</v>
      </c>
      <c r="S24" s="52">
        <f t="shared" si="1"/>
        <v>15801.744186046511</v>
      </c>
      <c r="T24" s="51" t="e">
        <f t="shared" si="1"/>
        <v>#REF!</v>
      </c>
      <c r="U24" s="51">
        <f t="shared" si="1"/>
        <v>43730</v>
      </c>
      <c r="V24" s="51" t="e">
        <f t="shared" si="1"/>
        <v>#REF!</v>
      </c>
      <c r="W24" s="52">
        <f t="shared" si="1"/>
        <v>51032.71</v>
      </c>
      <c r="X24" s="51">
        <f t="shared" si="1"/>
        <v>8797</v>
      </c>
      <c r="Y24" s="51">
        <f t="shared" si="1"/>
        <v>160</v>
      </c>
      <c r="Z24" s="51">
        <f t="shared" si="1"/>
        <v>1111</v>
      </c>
      <c r="AA24" s="51">
        <f t="shared" si="1"/>
        <v>34174</v>
      </c>
      <c r="AB24" s="51">
        <f t="shared" si="1"/>
        <v>93005</v>
      </c>
      <c r="AC24" s="51">
        <f t="shared" si="1"/>
        <v>4744</v>
      </c>
      <c r="AD24" s="51">
        <f t="shared" si="1"/>
        <v>23470</v>
      </c>
      <c r="AE24" s="51">
        <f t="shared" si="1"/>
        <v>615</v>
      </c>
      <c r="AF24" s="53">
        <f t="shared" si="1"/>
        <v>223</v>
      </c>
    </row>
    <row r="25" spans="1:34" ht="75.75" customHeight="1" x14ac:dyDescent="0.3">
      <c r="A25" s="158" t="s">
        <v>44</v>
      </c>
      <c r="B25" s="159"/>
      <c r="C25" s="160"/>
      <c r="D25" s="38">
        <v>0</v>
      </c>
      <c r="E25" s="32">
        <f>D25/208*25</f>
        <v>0</v>
      </c>
      <c r="F25" s="47" t="e">
        <f>#REF!</f>
        <v>#REF!</v>
      </c>
      <c r="G25" s="47" t="e">
        <f>#REF!</f>
        <v>#REF!</v>
      </c>
      <c r="H25" s="47">
        <v>0</v>
      </c>
      <c r="I25" s="38">
        <f>H25/208*25</f>
        <v>0</v>
      </c>
      <c r="J25" s="47">
        <v>0</v>
      </c>
      <c r="K25" s="32">
        <f>J25/150*25</f>
        <v>0</v>
      </c>
      <c r="L25" s="47">
        <v>0</v>
      </c>
      <c r="M25" s="47">
        <f>L25/150*20</f>
        <v>0</v>
      </c>
      <c r="N25" s="47">
        <v>17</v>
      </c>
      <c r="O25" s="32">
        <f>N25/38*25</f>
        <v>11.184210526315789</v>
      </c>
      <c r="P25" s="38">
        <v>0</v>
      </c>
      <c r="Q25" s="32">
        <f>P25/135*25</f>
        <v>0</v>
      </c>
      <c r="R25" s="38">
        <v>25151</v>
      </c>
      <c r="S25" s="32">
        <f>R25/215*25</f>
        <v>2924.5348837209303</v>
      </c>
      <c r="T25" s="47" t="s">
        <v>40</v>
      </c>
      <c r="U25" s="54">
        <v>9515</v>
      </c>
      <c r="V25" s="47"/>
      <c r="W25" s="55">
        <f>X25*2.43</f>
        <v>4483.3500000000004</v>
      </c>
      <c r="X25" s="38">
        <v>1845</v>
      </c>
      <c r="Y25" s="38">
        <v>20</v>
      </c>
      <c r="Z25" s="47">
        <v>0</v>
      </c>
      <c r="AA25" s="38">
        <f>289+8663+134</f>
        <v>9086</v>
      </c>
      <c r="AB25" s="47">
        <v>4854</v>
      </c>
      <c r="AC25" s="47">
        <v>0</v>
      </c>
      <c r="AD25" s="47">
        <f>5208+582</f>
        <v>5790</v>
      </c>
      <c r="AE25" s="38">
        <v>0</v>
      </c>
      <c r="AF25" s="56">
        <v>2</v>
      </c>
    </row>
    <row r="26" spans="1:34" s="4" customFormat="1" ht="100.5" customHeight="1" thickBot="1" x14ac:dyDescent="0.25">
      <c r="A26" s="57">
        <v>45059</v>
      </c>
      <c r="B26" s="161" t="s">
        <v>45</v>
      </c>
      <c r="C26" s="162"/>
      <c r="D26" s="58">
        <f>D24-D25</f>
        <v>6</v>
      </c>
      <c r="E26" s="59">
        <f t="shared" ref="E26:Y26" si="2">E24-E25</f>
        <v>0.72115384615384615</v>
      </c>
      <c r="F26" s="60" t="e">
        <f t="shared" si="2"/>
        <v>#REF!</v>
      </c>
      <c r="G26" s="60" t="e">
        <f t="shared" si="2"/>
        <v>#REF!</v>
      </c>
      <c r="H26" s="60">
        <f>H24-H25</f>
        <v>0</v>
      </c>
      <c r="I26" s="59">
        <f t="shared" ref="I26" si="3">I24-I25</f>
        <v>0</v>
      </c>
      <c r="J26" s="60">
        <f>J24-J25</f>
        <v>0</v>
      </c>
      <c r="K26" s="59">
        <f>K24-K25</f>
        <v>0</v>
      </c>
      <c r="L26" s="60" t="e">
        <f t="shared" ref="L26:O26" si="4">L24-L25</f>
        <v>#REF!</v>
      </c>
      <c r="M26" s="60" t="e">
        <f t="shared" si="4"/>
        <v>#REF!</v>
      </c>
      <c r="N26" s="60">
        <f>N24-N25</f>
        <v>267</v>
      </c>
      <c r="O26" s="59">
        <f t="shared" si="4"/>
        <v>175.65789473684211</v>
      </c>
      <c r="P26" s="58">
        <f>P24-P25</f>
        <v>0</v>
      </c>
      <c r="Q26" s="59">
        <f t="shared" ref="Q26" si="5">Q24-Q25</f>
        <v>0</v>
      </c>
      <c r="R26" s="58">
        <f>R24-R25</f>
        <v>110744</v>
      </c>
      <c r="S26" s="59">
        <f t="shared" si="2"/>
        <v>12877.20930232558</v>
      </c>
      <c r="T26" s="60" t="e">
        <f t="shared" si="2"/>
        <v>#REF!</v>
      </c>
      <c r="U26" s="60">
        <f t="shared" si="2"/>
        <v>34215</v>
      </c>
      <c r="V26" s="60" t="e">
        <f t="shared" si="2"/>
        <v>#REF!</v>
      </c>
      <c r="W26" s="61">
        <f>W24-W25</f>
        <v>46549.36</v>
      </c>
      <c r="X26" s="58">
        <f>X24-X25</f>
        <v>6952</v>
      </c>
      <c r="Y26" s="58">
        <f t="shared" si="2"/>
        <v>140</v>
      </c>
      <c r="Z26" s="60">
        <f>Z24-Z25</f>
        <v>1111</v>
      </c>
      <c r="AA26" s="58">
        <f>AA24-AA25</f>
        <v>25088</v>
      </c>
      <c r="AB26" s="60">
        <f>AB24-AB25</f>
        <v>88151</v>
      </c>
      <c r="AC26" s="60">
        <f>AC24-AC25</f>
        <v>4744</v>
      </c>
      <c r="AD26" s="60">
        <f>AD24-AD25</f>
        <v>17680</v>
      </c>
      <c r="AE26" s="58">
        <f t="shared" ref="AE26" si="6">AE24-AE25</f>
        <v>615</v>
      </c>
      <c r="AF26" s="62">
        <f>AF24-AF25</f>
        <v>221</v>
      </c>
    </row>
    <row r="27" spans="1:34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spans="1:34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63"/>
      <c r="Z28" s="63"/>
      <c r="AA28" s="63"/>
      <c r="AB28" s="63"/>
      <c r="AC28" s="63"/>
      <c r="AD28" s="63"/>
      <c r="AE28" s="63"/>
      <c r="AF28" s="63"/>
    </row>
    <row r="29" spans="1:34" s="64" customFormat="1" ht="24" customHeight="1" x14ac:dyDescent="0.35">
      <c r="A29" s="64" t="s">
        <v>46</v>
      </c>
      <c r="E29" s="64" t="s">
        <v>47</v>
      </c>
      <c r="M29" s="65"/>
      <c r="P29" s="64" t="s">
        <v>48</v>
      </c>
      <c r="U29" s="64" t="s">
        <v>48</v>
      </c>
      <c r="Z29" s="66" t="s">
        <v>49</v>
      </c>
      <c r="AD29" s="67"/>
      <c r="AE29" s="65"/>
      <c r="AF29" s="65"/>
    </row>
    <row r="30" spans="1:34" s="64" customFormat="1" ht="37.5" customHeight="1" x14ac:dyDescent="0.35">
      <c r="A30" s="68"/>
      <c r="B30" s="6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P30" s="69"/>
      <c r="Q30" s="69"/>
      <c r="T30" s="69"/>
      <c r="U30" s="69"/>
      <c r="V30" s="69"/>
      <c r="Z30" s="69"/>
      <c r="AD30" s="69"/>
      <c r="AE30" s="69"/>
      <c r="AF30" s="69"/>
      <c r="AG30" s="65"/>
    </row>
    <row r="31" spans="1:34" s="64" customFormat="1" ht="24" customHeight="1" x14ac:dyDescent="0.35">
      <c r="A31" s="70" t="s">
        <v>50</v>
      </c>
      <c r="B31" s="65"/>
      <c r="E31" s="70" t="s">
        <v>51</v>
      </c>
      <c r="F31" s="71"/>
      <c r="G31" s="71"/>
      <c r="H31" s="71"/>
      <c r="L31" s="65"/>
      <c r="M31" s="65"/>
      <c r="P31" s="70" t="s">
        <v>52</v>
      </c>
      <c r="U31" s="70" t="s">
        <v>66</v>
      </c>
      <c r="Z31" s="71" t="s">
        <v>53</v>
      </c>
      <c r="AG31" s="65"/>
    </row>
    <row r="32" spans="1:34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G32" s="65"/>
      <c r="H32" s="65"/>
      <c r="I32" s="65"/>
      <c r="J32" s="65"/>
      <c r="K32" s="65"/>
      <c r="L32" s="65"/>
      <c r="M32" s="65"/>
      <c r="N32" s="65"/>
      <c r="P32" s="65" t="s">
        <v>56</v>
      </c>
      <c r="Q32" s="65"/>
      <c r="T32" s="72"/>
      <c r="U32" s="65" t="s">
        <v>67</v>
      </c>
      <c r="V32" s="72" t="s">
        <v>57</v>
      </c>
      <c r="Z32" s="68" t="s">
        <v>58</v>
      </c>
      <c r="AD32" s="65"/>
      <c r="AE32" s="65"/>
      <c r="AF32" s="65"/>
    </row>
    <row r="33" spans="1:33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G33" s="65"/>
      <c r="H33" s="65"/>
      <c r="I33" s="65"/>
      <c r="J33" s="65"/>
      <c r="K33" s="65"/>
      <c r="L33" s="65"/>
      <c r="M33" s="65"/>
      <c r="N33" s="65"/>
      <c r="P33" s="65"/>
      <c r="Q33" s="65"/>
      <c r="R33" s="65"/>
      <c r="S33" s="65"/>
      <c r="T33" s="65"/>
      <c r="U33" s="65"/>
      <c r="V33" s="65" t="s">
        <v>61</v>
      </c>
      <c r="W33" s="65"/>
      <c r="X33" s="65"/>
      <c r="Y33" s="65"/>
      <c r="Z33" s="65"/>
      <c r="AA33" s="65"/>
      <c r="AB33" s="73"/>
      <c r="AC33" s="73"/>
      <c r="AD33" s="65"/>
      <c r="AE33" s="73"/>
      <c r="AF33" s="73"/>
    </row>
    <row r="34" spans="1:33" s="65" customFormat="1" ht="24" customHeight="1" x14ac:dyDescent="0.35">
      <c r="A34" s="68"/>
      <c r="U34" s="74"/>
      <c r="AA34" s="75"/>
    </row>
    <row r="35" spans="1:33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73"/>
    </row>
    <row r="36" spans="1:33" s="65" customFormat="1" ht="23.25" customHeight="1" x14ac:dyDescent="0.35">
      <c r="A36" s="70" t="s">
        <v>68</v>
      </c>
      <c r="B36" s="70"/>
      <c r="C36" s="73"/>
      <c r="D36" s="7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S36" s="64"/>
      <c r="T36" s="64"/>
      <c r="U36" s="64"/>
      <c r="V36" s="64"/>
      <c r="W36" s="64"/>
      <c r="X36" s="64"/>
      <c r="Y36" s="64"/>
      <c r="Z36" s="64"/>
      <c r="AA36" s="64"/>
      <c r="AB36" s="76"/>
      <c r="AC36" s="76"/>
      <c r="AD36" s="64"/>
      <c r="AE36" s="64"/>
      <c r="AF36" s="64"/>
    </row>
    <row r="37" spans="1:33" s="64" customFormat="1" ht="24" customHeight="1" x14ac:dyDescent="0.3">
      <c r="A37" s="68" t="s">
        <v>62</v>
      </c>
    </row>
    <row r="38" spans="1:33" s="64" customFormat="1" ht="25.5" customHeight="1" x14ac:dyDescent="0.3">
      <c r="A38" s="68" t="s">
        <v>63</v>
      </c>
    </row>
    <row r="39" spans="1:33" ht="13.5" customHeight="1" x14ac:dyDescent="0.3"/>
    <row r="40" spans="1:33" ht="13.5" customHeight="1" x14ac:dyDescent="0.35">
      <c r="B40" s="77"/>
      <c r="C40" s="77"/>
    </row>
    <row r="42" spans="1:33" ht="22.5" x14ac:dyDescent="0.35">
      <c r="B42" s="77"/>
      <c r="C42" s="77"/>
    </row>
    <row r="43" spans="1:33" ht="15.75" customHeight="1" x14ac:dyDescent="0.3"/>
    <row r="46" spans="1:33" ht="15.75" customHeight="1" x14ac:dyDescent="0.3"/>
    <row r="48" spans="1:33" ht="22.5" x14ac:dyDescent="0.35"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50" spans="1:32" s="77" customFormat="1" ht="22.5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3" spans="1:32" ht="22.5" x14ac:dyDescent="0.35">
      <c r="A53" s="77"/>
    </row>
  </sheetData>
  <mergeCells count="43">
    <mergeCell ref="A10:AG10"/>
    <mergeCell ref="A11:AG11"/>
    <mergeCell ref="A14:C15"/>
    <mergeCell ref="D14:K15"/>
    <mergeCell ref="N14:T15"/>
    <mergeCell ref="U14:X14"/>
    <mergeCell ref="Y14:Y15"/>
    <mergeCell ref="Z14:AC15"/>
    <mergeCell ref="AD14:AD15"/>
    <mergeCell ref="AE14:AF15"/>
    <mergeCell ref="U15:X15"/>
    <mergeCell ref="D16:E16"/>
    <mergeCell ref="F16:G16"/>
    <mergeCell ref="H16:I16"/>
    <mergeCell ref="D17:E17"/>
    <mergeCell ref="F17:G17"/>
    <mergeCell ref="H17:I17"/>
    <mergeCell ref="J16:K16"/>
    <mergeCell ref="L16:M16"/>
    <mergeCell ref="N16:O16"/>
    <mergeCell ref="P16:Q16"/>
    <mergeCell ref="R16:S16"/>
    <mergeCell ref="J17:K17"/>
    <mergeCell ref="L17:M17"/>
    <mergeCell ref="N17:O17"/>
    <mergeCell ref="P17:Q17"/>
    <mergeCell ref="R17:S17"/>
    <mergeCell ref="A25:C25"/>
    <mergeCell ref="B26:C26"/>
    <mergeCell ref="P18:Q18"/>
    <mergeCell ref="R18:S18"/>
    <mergeCell ref="A20:A22"/>
    <mergeCell ref="B20:B22"/>
    <mergeCell ref="A23:C23"/>
    <mergeCell ref="A24:C24"/>
    <mergeCell ref="D18:E18"/>
    <mergeCell ref="F18:G18"/>
    <mergeCell ref="H18:I18"/>
    <mergeCell ref="J18:K18"/>
    <mergeCell ref="L18:M18"/>
    <mergeCell ref="N18:O18"/>
    <mergeCell ref="A16:A19"/>
    <mergeCell ref="B16:C19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5.7109375" style="1" bestFit="1" customWidth="1"/>
    <col min="5" max="5" width="10.2851562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87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45060</v>
      </c>
      <c r="B20" s="168" t="s">
        <v>37</v>
      </c>
      <c r="C20" s="30" t="s">
        <v>38</v>
      </c>
      <c r="D20" s="30"/>
      <c r="E20" s="30"/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73100</v>
      </c>
      <c r="U20" s="34">
        <f>T20/215*25</f>
        <v>8500</v>
      </c>
      <c r="V20" s="33" t="e">
        <f>#REF!</f>
        <v>#REF!</v>
      </c>
      <c r="W20" s="33">
        <v>23875</v>
      </c>
      <c r="X20" s="33" t="e">
        <f>#REF!</f>
        <v>#REF!</v>
      </c>
      <c r="Y20" s="35">
        <v>43050</v>
      </c>
      <c r="Z20" s="31">
        <v>5100</v>
      </c>
      <c r="AA20" s="31">
        <v>100</v>
      </c>
      <c r="AB20" s="33">
        <v>743</v>
      </c>
      <c r="AC20" s="31">
        <v>17360</v>
      </c>
      <c r="AD20" s="33">
        <v>30960</v>
      </c>
      <c r="AE20" s="33">
        <v>1840</v>
      </c>
      <c r="AF20" s="33">
        <v>7560</v>
      </c>
      <c r="AG20" s="31">
        <v>615</v>
      </c>
      <c r="AH20" s="36">
        <v>196</v>
      </c>
      <c r="AI20" s="78"/>
    </row>
    <row r="21" spans="1:36" ht="45" customHeight="1" x14ac:dyDescent="0.3">
      <c r="A21" s="166"/>
      <c r="B21" s="169"/>
      <c r="C21" s="37" t="s">
        <v>39</v>
      </c>
      <c r="D21" s="37"/>
      <c r="E21" s="37"/>
      <c r="F21" s="38">
        <v>6</v>
      </c>
      <c r="G21" s="32">
        <f>F21/208*25</f>
        <v>0.72115384615384615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267</v>
      </c>
      <c r="Q21" s="32">
        <f>P21/38*25</f>
        <v>175.65789473684211</v>
      </c>
      <c r="R21" s="38">
        <v>0</v>
      </c>
      <c r="S21" s="32">
        <f>R21/135*25</f>
        <v>0</v>
      </c>
      <c r="T21" s="38">
        <v>37644</v>
      </c>
      <c r="U21" s="32">
        <f>T21/215*25</f>
        <v>4377.2093023255811</v>
      </c>
      <c r="V21" s="34"/>
      <c r="W21" s="34">
        <v>10340</v>
      </c>
      <c r="X21" s="34">
        <v>0</v>
      </c>
      <c r="Y21" s="32">
        <v>3499.36</v>
      </c>
      <c r="Z21" s="38">
        <v>1852</v>
      </c>
      <c r="AA21" s="38">
        <v>40</v>
      </c>
      <c r="AB21" s="34">
        <v>368</v>
      </c>
      <c r="AC21" s="38">
        <v>7728</v>
      </c>
      <c r="AD21" s="34">
        <v>57191</v>
      </c>
      <c r="AE21" s="34">
        <v>2904</v>
      </c>
      <c r="AF21" s="34">
        <v>10120</v>
      </c>
      <c r="AG21" s="38">
        <v>0</v>
      </c>
      <c r="AH21" s="39">
        <v>25</v>
      </c>
      <c r="AJ21" s="40"/>
    </row>
    <row r="22" spans="1:36" ht="61.5" customHeight="1" x14ac:dyDescent="0.3">
      <c r="A22" s="167"/>
      <c r="B22" s="170"/>
      <c r="C22" s="41" t="s">
        <v>41</v>
      </c>
      <c r="D22" s="41"/>
      <c r="E22" s="41"/>
      <c r="F22" s="42">
        <f t="shared" ref="F22:AG22" si="0">SUM(F20:F21)</f>
        <v>6</v>
      </c>
      <c r="G22" s="43">
        <f>SUM(G20:G21)</f>
        <v>0.72115384615384615</v>
      </c>
      <c r="H22" s="44" t="e">
        <f t="shared" si="0"/>
        <v>#REF!</v>
      </c>
      <c r="I22" s="44" t="e">
        <f t="shared" si="0"/>
        <v>#REF!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5">
        <f t="shared" si="0"/>
        <v>0</v>
      </c>
      <c r="N22" s="44" t="e">
        <f t="shared" si="0"/>
        <v>#REF!</v>
      </c>
      <c r="O22" s="44" t="e">
        <f t="shared" si="0"/>
        <v>#REF!</v>
      </c>
      <c r="P22" s="42">
        <f>SUM(P20:P21)</f>
        <v>267</v>
      </c>
      <c r="Q22" s="43">
        <f t="shared" si="0"/>
        <v>175.65789473684211</v>
      </c>
      <c r="R22" s="42">
        <f t="shared" si="0"/>
        <v>0</v>
      </c>
      <c r="S22" s="43">
        <f t="shared" si="0"/>
        <v>0</v>
      </c>
      <c r="T22" s="42">
        <f t="shared" si="0"/>
        <v>110744</v>
      </c>
      <c r="U22" s="43">
        <f t="shared" si="0"/>
        <v>12877.20930232558</v>
      </c>
      <c r="V22" s="44" t="e">
        <f t="shared" si="0"/>
        <v>#REF!</v>
      </c>
      <c r="W22" s="44">
        <f t="shared" si="0"/>
        <v>34215</v>
      </c>
      <c r="X22" s="44" t="e">
        <f t="shared" si="0"/>
        <v>#REF!</v>
      </c>
      <c r="Y22" s="43">
        <f>SUM(Y20:Y21)</f>
        <v>46549.36</v>
      </c>
      <c r="Z22" s="42">
        <f t="shared" si="0"/>
        <v>6952</v>
      </c>
      <c r="AA22" s="42">
        <f>SUM(AA20:AA21)</f>
        <v>140</v>
      </c>
      <c r="AB22" s="44">
        <f t="shared" si="0"/>
        <v>1111</v>
      </c>
      <c r="AC22" s="42">
        <f>SUM(AC20:AC21)</f>
        <v>25088</v>
      </c>
      <c r="AD22" s="44">
        <f>SUM(AD20:AD21)</f>
        <v>88151</v>
      </c>
      <c r="AE22" s="44">
        <f t="shared" si="0"/>
        <v>4744</v>
      </c>
      <c r="AF22" s="44">
        <f t="shared" si="0"/>
        <v>17680</v>
      </c>
      <c r="AG22" s="42">
        <f t="shared" si="0"/>
        <v>615</v>
      </c>
      <c r="AH22" s="46">
        <f>SUM(AH20:AH21)</f>
        <v>221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100*200</f>
        <v>20000</v>
      </c>
      <c r="E23" s="38">
        <f>D23/200*25</f>
        <v>2500</v>
      </c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f>1200*25</f>
        <v>30000</v>
      </c>
      <c r="X23" s="31"/>
      <c r="Y23" s="31">
        <v>12000</v>
      </c>
      <c r="Z23" s="31">
        <v>4000</v>
      </c>
      <c r="AA23" s="31"/>
      <c r="AB23" s="31"/>
      <c r="AC23" s="31">
        <v>22000</v>
      </c>
      <c r="AD23" s="31">
        <v>0</v>
      </c>
      <c r="AE23" s="31"/>
      <c r="AF23" s="48">
        <f>6000+6300</f>
        <v>12300</v>
      </c>
      <c r="AG23" s="31">
        <v>0</v>
      </c>
      <c r="AH23" s="49">
        <v>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1">D22+D23</f>
        <v>20000</v>
      </c>
      <c r="E24" s="51">
        <f t="shared" si="1"/>
        <v>2500</v>
      </c>
      <c r="F24" s="51">
        <f t="shared" si="1"/>
        <v>6</v>
      </c>
      <c r="G24" s="51">
        <f t="shared" si="1"/>
        <v>0.72115384615384615</v>
      </c>
      <c r="H24" s="51" t="e">
        <f t="shared" si="1"/>
        <v>#REF!</v>
      </c>
      <c r="I24" s="51" t="e">
        <f t="shared" si="1"/>
        <v>#REF!</v>
      </c>
      <c r="J24" s="51">
        <f t="shared" si="1"/>
        <v>0</v>
      </c>
      <c r="K24" s="51">
        <f t="shared" si="1"/>
        <v>0</v>
      </c>
      <c r="L24" s="51">
        <f t="shared" si="1"/>
        <v>0</v>
      </c>
      <c r="M24" s="51">
        <f t="shared" si="1"/>
        <v>0</v>
      </c>
      <c r="N24" s="51" t="e">
        <f t="shared" si="1"/>
        <v>#REF!</v>
      </c>
      <c r="O24" s="51" t="e">
        <f t="shared" si="1"/>
        <v>#REF!</v>
      </c>
      <c r="P24" s="51">
        <f t="shared" si="1"/>
        <v>267</v>
      </c>
      <c r="Q24" s="52">
        <f t="shared" si="1"/>
        <v>175.65789473684211</v>
      </c>
      <c r="R24" s="51">
        <f t="shared" si="1"/>
        <v>0</v>
      </c>
      <c r="S24" s="51">
        <f t="shared" si="1"/>
        <v>0</v>
      </c>
      <c r="T24" s="51">
        <f t="shared" si="1"/>
        <v>132244</v>
      </c>
      <c r="U24" s="52">
        <f t="shared" si="1"/>
        <v>15377.20930232558</v>
      </c>
      <c r="V24" s="51" t="e">
        <f t="shared" si="1"/>
        <v>#REF!</v>
      </c>
      <c r="W24" s="51">
        <f t="shared" si="1"/>
        <v>64215</v>
      </c>
      <c r="X24" s="51" t="e">
        <f t="shared" si="1"/>
        <v>#REF!</v>
      </c>
      <c r="Y24" s="52">
        <f t="shared" si="1"/>
        <v>58549.36</v>
      </c>
      <c r="Z24" s="51">
        <f t="shared" si="1"/>
        <v>10952</v>
      </c>
      <c r="AA24" s="51">
        <f t="shared" si="1"/>
        <v>140</v>
      </c>
      <c r="AB24" s="51">
        <f t="shared" si="1"/>
        <v>1111</v>
      </c>
      <c r="AC24" s="51">
        <f t="shared" si="1"/>
        <v>47088</v>
      </c>
      <c r="AD24" s="51">
        <f t="shared" si="1"/>
        <v>88151</v>
      </c>
      <c r="AE24" s="51">
        <f t="shared" si="1"/>
        <v>4744</v>
      </c>
      <c r="AF24" s="51">
        <f t="shared" si="1"/>
        <v>29980</v>
      </c>
      <c r="AG24" s="51">
        <f t="shared" si="1"/>
        <v>615</v>
      </c>
      <c r="AH24" s="53">
        <f t="shared" si="1"/>
        <v>221</v>
      </c>
    </row>
    <row r="25" spans="1:36" ht="75.75" customHeight="1" x14ac:dyDescent="0.3">
      <c r="A25" s="158" t="s">
        <v>44</v>
      </c>
      <c r="B25" s="159"/>
      <c r="C25" s="160"/>
      <c r="D25" s="80"/>
      <c r="E25" s="80"/>
      <c r="F25" s="38">
        <v>6</v>
      </c>
      <c r="G25" s="32">
        <f>F25/208*25</f>
        <v>0.72115384615384615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37</v>
      </c>
      <c r="Q25" s="32">
        <f>P25/38*25</f>
        <v>24.342105263157894</v>
      </c>
      <c r="R25" s="38">
        <v>0</v>
      </c>
      <c r="S25" s="32">
        <f>R25/135*25</f>
        <v>0</v>
      </c>
      <c r="T25" s="38">
        <v>22209</v>
      </c>
      <c r="U25" s="32">
        <f>T25/215*25</f>
        <v>2582.4418604651164</v>
      </c>
      <c r="V25" s="47" t="s">
        <v>40</v>
      </c>
      <c r="W25" s="54">
        <v>8291</v>
      </c>
      <c r="X25" s="47"/>
      <c r="Y25" s="55">
        <f>Z25*2.43</f>
        <v>4055.67</v>
      </c>
      <c r="Z25" s="38">
        <v>1669</v>
      </c>
      <c r="AA25" s="38">
        <v>4</v>
      </c>
      <c r="AB25" s="47">
        <v>0</v>
      </c>
      <c r="AC25" s="38">
        <f>567+7459</f>
        <v>8026</v>
      </c>
      <c r="AD25" s="47">
        <v>4345</v>
      </c>
      <c r="AE25" s="47">
        <v>0</v>
      </c>
      <c r="AF25" s="47">
        <f>4296+591</f>
        <v>4887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45066</v>
      </c>
      <c r="B26" s="161" t="s">
        <v>45</v>
      </c>
      <c r="C26" s="162"/>
      <c r="D26" s="58">
        <f>D24-D25</f>
        <v>20000</v>
      </c>
      <c r="E26" s="58">
        <f t="shared" ref="E26:AA26" si="2">E24-E25</f>
        <v>2500</v>
      </c>
      <c r="F26" s="58">
        <f>F24-F25</f>
        <v>0</v>
      </c>
      <c r="G26" s="58">
        <f t="shared" si="2"/>
        <v>0</v>
      </c>
      <c r="H26" s="60" t="e">
        <f t="shared" si="2"/>
        <v>#REF!</v>
      </c>
      <c r="I26" s="60" t="e">
        <f t="shared" si="2"/>
        <v>#REF!</v>
      </c>
      <c r="J26" s="60">
        <f>J24-J25</f>
        <v>0</v>
      </c>
      <c r="K26" s="59">
        <f t="shared" ref="K26" si="3">K24-K25</f>
        <v>0</v>
      </c>
      <c r="L26" s="60">
        <f>L24-L25</f>
        <v>0</v>
      </c>
      <c r="M26" s="59">
        <f>M24-M25</f>
        <v>0</v>
      </c>
      <c r="N26" s="60" t="e">
        <f t="shared" ref="N26:Q26" si="4">N24-N25</f>
        <v>#REF!</v>
      </c>
      <c r="O26" s="60" t="e">
        <f t="shared" si="4"/>
        <v>#REF!</v>
      </c>
      <c r="P26" s="58">
        <f>P24-P25</f>
        <v>230</v>
      </c>
      <c r="Q26" s="59">
        <f t="shared" si="4"/>
        <v>151.31578947368422</v>
      </c>
      <c r="R26" s="58">
        <f>R24-R25</f>
        <v>0</v>
      </c>
      <c r="S26" s="59">
        <f t="shared" ref="S26" si="5">S24-S25</f>
        <v>0</v>
      </c>
      <c r="T26" s="58">
        <f>T24-T25</f>
        <v>110035</v>
      </c>
      <c r="U26" s="59">
        <f t="shared" si="2"/>
        <v>12794.767441860464</v>
      </c>
      <c r="V26" s="60" t="e">
        <f t="shared" si="2"/>
        <v>#REF!</v>
      </c>
      <c r="W26" s="60">
        <f t="shared" si="2"/>
        <v>55924</v>
      </c>
      <c r="X26" s="60" t="e">
        <f t="shared" si="2"/>
        <v>#REF!</v>
      </c>
      <c r="Y26" s="61">
        <f>Y24-Y25</f>
        <v>54493.69</v>
      </c>
      <c r="Z26" s="58">
        <f>Z24-Z25</f>
        <v>9283</v>
      </c>
      <c r="AA26" s="58">
        <f t="shared" si="2"/>
        <v>136</v>
      </c>
      <c r="AB26" s="60">
        <f>AB24-AB25</f>
        <v>1111</v>
      </c>
      <c r="AC26" s="58">
        <f>AC24-AC25</f>
        <v>39062</v>
      </c>
      <c r="AD26" s="60">
        <f>AD24-AD25</f>
        <v>83806</v>
      </c>
      <c r="AE26" s="60">
        <f>AE24-AE25</f>
        <v>4744</v>
      </c>
      <c r="AF26" s="60">
        <f>AF24-AF25</f>
        <v>25093</v>
      </c>
      <c r="AG26" s="58">
        <f t="shared" ref="AG26" si="6">AG24-AG25</f>
        <v>615</v>
      </c>
      <c r="AH26" s="62">
        <f>AH24-AH25</f>
        <v>213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66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67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A25:C25"/>
    <mergeCell ref="B26:C26"/>
    <mergeCell ref="D14:E15"/>
    <mergeCell ref="D16:E16"/>
    <mergeCell ref="D17:E17"/>
    <mergeCell ref="D18:E18"/>
    <mergeCell ref="A24:C24"/>
    <mergeCell ref="R18:S18"/>
    <mergeCell ref="T18:U18"/>
    <mergeCell ref="A20:A22"/>
    <mergeCell ref="B20:B22"/>
    <mergeCell ref="A23:C23"/>
    <mergeCell ref="F18:G18"/>
    <mergeCell ref="H18:I18"/>
    <mergeCell ref="J18:K18"/>
    <mergeCell ref="L18:M18"/>
    <mergeCell ref="N18:O18"/>
    <mergeCell ref="P18:Q18"/>
    <mergeCell ref="A16:A19"/>
    <mergeCell ref="B16:C19"/>
    <mergeCell ref="F16:G16"/>
    <mergeCell ref="H16:I16"/>
    <mergeCell ref="J16:K16"/>
    <mergeCell ref="P16:Q16"/>
    <mergeCell ref="R16:S16"/>
    <mergeCell ref="T16:U16"/>
    <mergeCell ref="L17:M17"/>
    <mergeCell ref="N17:O17"/>
    <mergeCell ref="P17:Q17"/>
    <mergeCell ref="R17:S17"/>
    <mergeCell ref="T17:U17"/>
    <mergeCell ref="F17:G17"/>
    <mergeCell ref="H17:I17"/>
    <mergeCell ref="J17:K17"/>
    <mergeCell ref="A10:AI10"/>
    <mergeCell ref="A11:AI11"/>
    <mergeCell ref="A14:C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L16:M16"/>
    <mergeCell ref="N16:O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AF25" sqref="AF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4.28515625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89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45067</v>
      </c>
      <c r="B20" s="168" t="s">
        <v>37</v>
      </c>
      <c r="C20" s="30" t="s">
        <v>38</v>
      </c>
      <c r="D20" s="83">
        <v>20000</v>
      </c>
      <c r="E20" s="83">
        <v>2500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62350</v>
      </c>
      <c r="U20" s="34">
        <f>T20/215*25</f>
        <v>7250</v>
      </c>
      <c r="V20" s="33" t="e">
        <f>#REF!</f>
        <v>#REF!</v>
      </c>
      <c r="W20" s="33">
        <v>43250</v>
      </c>
      <c r="X20" s="33" t="e">
        <f>#REF!</f>
        <v>#REF!</v>
      </c>
      <c r="Y20" s="35">
        <v>49825.5</v>
      </c>
      <c r="Z20" s="31">
        <v>6950</v>
      </c>
      <c r="AA20" s="31">
        <v>100</v>
      </c>
      <c r="AB20" s="33">
        <v>743</v>
      </c>
      <c r="AC20" s="31">
        <v>25110</v>
      </c>
      <c r="AD20" s="33">
        <v>30960</v>
      </c>
      <c r="AE20" s="33">
        <v>1840</v>
      </c>
      <c r="AF20" s="33">
        <v>12660</v>
      </c>
      <c r="AG20" s="31">
        <v>615</v>
      </c>
      <c r="AH20" s="36">
        <v>196</v>
      </c>
      <c r="AI20" s="78"/>
    </row>
    <row r="21" spans="1:36" ht="45" customHeight="1" x14ac:dyDescent="0.3">
      <c r="A21" s="166"/>
      <c r="B21" s="169"/>
      <c r="C21" s="37" t="s">
        <v>39</v>
      </c>
      <c r="D21" s="37">
        <v>0</v>
      </c>
      <c r="E21" s="37" t="s">
        <v>90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230</v>
      </c>
      <c r="Q21" s="32">
        <f>P21/38*25</f>
        <v>151.31578947368419</v>
      </c>
      <c r="R21" s="38">
        <v>0</v>
      </c>
      <c r="S21" s="32">
        <f>R21/135*25</f>
        <v>0</v>
      </c>
      <c r="T21" s="38">
        <v>47685</v>
      </c>
      <c r="U21" s="32">
        <f>T21/215*25</f>
        <v>5544.7674418604647</v>
      </c>
      <c r="V21" s="34"/>
      <c r="W21" s="34">
        <v>12674</v>
      </c>
      <c r="X21" s="34">
        <v>0</v>
      </c>
      <c r="Y21" s="32">
        <v>4668.1899999999996</v>
      </c>
      <c r="Z21" s="38">
        <v>2333</v>
      </c>
      <c r="AA21" s="38">
        <v>36</v>
      </c>
      <c r="AB21" s="34">
        <v>368</v>
      </c>
      <c r="AC21" s="38">
        <v>13952</v>
      </c>
      <c r="AD21" s="34">
        <v>52846</v>
      </c>
      <c r="AE21" s="34">
        <v>2904</v>
      </c>
      <c r="AF21" s="34">
        <v>12433</v>
      </c>
      <c r="AG21" s="38">
        <v>0</v>
      </c>
      <c r="AH21" s="39">
        <v>17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0">SUM(D20:D21)</f>
        <v>20000</v>
      </c>
      <c r="E22" s="84">
        <f t="shared" si="0"/>
        <v>2500</v>
      </c>
      <c r="F22" s="42">
        <f t="shared" si="0"/>
        <v>0</v>
      </c>
      <c r="G22" s="43">
        <f>SUM(G20:G21)</f>
        <v>0</v>
      </c>
      <c r="H22" s="44" t="e">
        <f t="shared" si="0"/>
        <v>#REF!</v>
      </c>
      <c r="I22" s="44" t="e">
        <f t="shared" si="0"/>
        <v>#REF!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5">
        <f t="shared" si="0"/>
        <v>0</v>
      </c>
      <c r="N22" s="44" t="e">
        <f t="shared" si="0"/>
        <v>#REF!</v>
      </c>
      <c r="O22" s="44" t="e">
        <f t="shared" si="0"/>
        <v>#REF!</v>
      </c>
      <c r="P22" s="42">
        <f>SUM(P20:P21)</f>
        <v>230</v>
      </c>
      <c r="Q22" s="43">
        <f t="shared" si="0"/>
        <v>151.31578947368419</v>
      </c>
      <c r="R22" s="42">
        <f t="shared" si="0"/>
        <v>0</v>
      </c>
      <c r="S22" s="43">
        <f t="shared" si="0"/>
        <v>0</v>
      </c>
      <c r="T22" s="42">
        <f t="shared" si="0"/>
        <v>110035</v>
      </c>
      <c r="U22" s="43">
        <f t="shared" si="0"/>
        <v>12794.767441860466</v>
      </c>
      <c r="V22" s="44" t="e">
        <f t="shared" si="0"/>
        <v>#REF!</v>
      </c>
      <c r="W22" s="44">
        <f t="shared" si="0"/>
        <v>55924</v>
      </c>
      <c r="X22" s="44" t="e">
        <f t="shared" si="0"/>
        <v>#REF!</v>
      </c>
      <c r="Y22" s="43">
        <f>SUM(Y20:Y21)</f>
        <v>54493.69</v>
      </c>
      <c r="Z22" s="42">
        <f t="shared" si="0"/>
        <v>9283</v>
      </c>
      <c r="AA22" s="42">
        <f>SUM(AA20:AA21)</f>
        <v>136</v>
      </c>
      <c r="AB22" s="44">
        <f t="shared" si="0"/>
        <v>1111</v>
      </c>
      <c r="AC22" s="42">
        <f>SUM(AC20:AC21)</f>
        <v>39062</v>
      </c>
      <c r="AD22" s="44">
        <f>SUM(AD20:AD21)</f>
        <v>83806</v>
      </c>
      <c r="AE22" s="44">
        <f t="shared" si="0"/>
        <v>4744</v>
      </c>
      <c r="AF22" s="44">
        <f t="shared" si="0"/>
        <v>25093</v>
      </c>
      <c r="AG22" s="42">
        <f t="shared" si="0"/>
        <v>615</v>
      </c>
      <c r="AH22" s="46">
        <f>SUM(AH20:AH21)</f>
        <v>213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1">D22+D23</f>
        <v>20000</v>
      </c>
      <c r="E24" s="51">
        <f t="shared" si="1"/>
        <v>2500</v>
      </c>
      <c r="F24" s="51">
        <f t="shared" si="1"/>
        <v>0</v>
      </c>
      <c r="G24" s="51">
        <f t="shared" si="1"/>
        <v>0</v>
      </c>
      <c r="H24" s="51" t="e">
        <f t="shared" si="1"/>
        <v>#REF!</v>
      </c>
      <c r="I24" s="51" t="e">
        <f t="shared" si="1"/>
        <v>#REF!</v>
      </c>
      <c r="J24" s="51">
        <f t="shared" si="1"/>
        <v>0</v>
      </c>
      <c r="K24" s="51">
        <f t="shared" si="1"/>
        <v>0</v>
      </c>
      <c r="L24" s="51">
        <f t="shared" si="1"/>
        <v>0</v>
      </c>
      <c r="M24" s="51">
        <f t="shared" si="1"/>
        <v>0</v>
      </c>
      <c r="N24" s="51" t="e">
        <f t="shared" si="1"/>
        <v>#REF!</v>
      </c>
      <c r="O24" s="51" t="e">
        <f t="shared" si="1"/>
        <v>#REF!</v>
      </c>
      <c r="P24" s="51">
        <f t="shared" si="1"/>
        <v>230</v>
      </c>
      <c r="Q24" s="52">
        <f t="shared" si="1"/>
        <v>151.31578947368419</v>
      </c>
      <c r="R24" s="51">
        <f t="shared" si="1"/>
        <v>0</v>
      </c>
      <c r="S24" s="51">
        <f t="shared" si="1"/>
        <v>0</v>
      </c>
      <c r="T24" s="51">
        <f t="shared" si="1"/>
        <v>110035</v>
      </c>
      <c r="U24" s="52">
        <f t="shared" si="1"/>
        <v>12794.767441860466</v>
      </c>
      <c r="V24" s="51" t="e">
        <f t="shared" si="1"/>
        <v>#REF!</v>
      </c>
      <c r="W24" s="51">
        <f t="shared" si="1"/>
        <v>55924</v>
      </c>
      <c r="X24" s="51" t="e">
        <f t="shared" si="1"/>
        <v>#REF!</v>
      </c>
      <c r="Y24" s="52">
        <f t="shared" si="1"/>
        <v>54493.69</v>
      </c>
      <c r="Z24" s="51">
        <f t="shared" si="1"/>
        <v>9283</v>
      </c>
      <c r="AA24" s="51">
        <f t="shared" si="1"/>
        <v>136</v>
      </c>
      <c r="AB24" s="51">
        <f t="shared" si="1"/>
        <v>1111</v>
      </c>
      <c r="AC24" s="51">
        <f t="shared" si="1"/>
        <v>39062</v>
      </c>
      <c r="AD24" s="51">
        <f t="shared" si="1"/>
        <v>83806</v>
      </c>
      <c r="AE24" s="51">
        <f t="shared" si="1"/>
        <v>4744</v>
      </c>
      <c r="AF24" s="51">
        <f t="shared" si="1"/>
        <v>25093</v>
      </c>
      <c r="AG24" s="51">
        <f t="shared" si="1"/>
        <v>615</v>
      </c>
      <c r="AH24" s="53">
        <f t="shared" si="1"/>
        <v>213</v>
      </c>
    </row>
    <row r="25" spans="1:36" ht="75.75" customHeight="1" x14ac:dyDescent="0.3">
      <c r="A25" s="158" t="s">
        <v>44</v>
      </c>
      <c r="B25" s="159"/>
      <c r="C25" s="160"/>
      <c r="D25" s="80"/>
      <c r="E25" s="80"/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35</v>
      </c>
      <c r="Q25" s="32">
        <f>P25/38*25</f>
        <v>23.026315789473685</v>
      </c>
      <c r="R25" s="38">
        <v>0</v>
      </c>
      <c r="S25" s="32">
        <f>R25/135*25</f>
        <v>0</v>
      </c>
      <c r="T25" s="38">
        <v>22813</v>
      </c>
      <c r="U25" s="32">
        <f>T25/215*25</f>
        <v>2652.6744186046512</v>
      </c>
      <c r="V25" s="47" t="s">
        <v>40</v>
      </c>
      <c r="W25" s="54">
        <v>9116</v>
      </c>
      <c r="X25" s="47"/>
      <c r="Y25" s="55">
        <f>Z25*2.43</f>
        <v>4228.2000000000007</v>
      </c>
      <c r="Z25" s="38">
        <v>1740</v>
      </c>
      <c r="AA25" s="38">
        <v>4</v>
      </c>
      <c r="AB25" s="47">
        <v>0</v>
      </c>
      <c r="AC25" s="38">
        <v>8669</v>
      </c>
      <c r="AD25" s="47">
        <v>4719</v>
      </c>
      <c r="AE25" s="47">
        <v>0</v>
      </c>
      <c r="AF25" s="47">
        <v>5506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45073</v>
      </c>
      <c r="B26" s="161" t="s">
        <v>45</v>
      </c>
      <c r="C26" s="162"/>
      <c r="D26" s="58">
        <f>D24-D25</f>
        <v>20000</v>
      </c>
      <c r="E26" s="58">
        <f t="shared" ref="E26:AA26" si="2">E24-E25</f>
        <v>2500</v>
      </c>
      <c r="F26" s="58">
        <f>F24-F25</f>
        <v>0</v>
      </c>
      <c r="G26" s="58">
        <f t="shared" si="2"/>
        <v>0</v>
      </c>
      <c r="H26" s="60" t="e">
        <f t="shared" si="2"/>
        <v>#REF!</v>
      </c>
      <c r="I26" s="60" t="e">
        <f t="shared" si="2"/>
        <v>#REF!</v>
      </c>
      <c r="J26" s="60">
        <f>J24-J25</f>
        <v>0</v>
      </c>
      <c r="K26" s="59">
        <f t="shared" ref="K26" si="3">K24-K25</f>
        <v>0</v>
      </c>
      <c r="L26" s="60">
        <f>L24-L25</f>
        <v>0</v>
      </c>
      <c r="M26" s="59">
        <f>M24-M25</f>
        <v>0</v>
      </c>
      <c r="N26" s="60" t="e">
        <f t="shared" ref="N26:Q26" si="4">N24-N25</f>
        <v>#REF!</v>
      </c>
      <c r="O26" s="60" t="e">
        <f t="shared" si="4"/>
        <v>#REF!</v>
      </c>
      <c r="P26" s="58">
        <f>P24-P25</f>
        <v>195</v>
      </c>
      <c r="Q26" s="59">
        <f t="shared" si="4"/>
        <v>128.28947368421052</v>
      </c>
      <c r="R26" s="58">
        <f>R24-R25</f>
        <v>0</v>
      </c>
      <c r="S26" s="59">
        <f t="shared" ref="S26" si="5">S24-S25</f>
        <v>0</v>
      </c>
      <c r="T26" s="58">
        <f>T24-T25</f>
        <v>87222</v>
      </c>
      <c r="U26" s="59">
        <f t="shared" si="2"/>
        <v>10142.093023255815</v>
      </c>
      <c r="V26" s="60" t="e">
        <f t="shared" si="2"/>
        <v>#REF!</v>
      </c>
      <c r="W26" s="60">
        <f t="shared" si="2"/>
        <v>46808</v>
      </c>
      <c r="X26" s="60" t="e">
        <f t="shared" si="2"/>
        <v>#REF!</v>
      </c>
      <c r="Y26" s="61">
        <f>Y24-Y25</f>
        <v>50265.490000000005</v>
      </c>
      <c r="Z26" s="58">
        <f>Z24-Z25</f>
        <v>7543</v>
      </c>
      <c r="AA26" s="58">
        <f t="shared" si="2"/>
        <v>132</v>
      </c>
      <c r="AB26" s="60">
        <f>AB24-AB25</f>
        <v>1111</v>
      </c>
      <c r="AC26" s="58">
        <f>AC24-AC25</f>
        <v>30393</v>
      </c>
      <c r="AD26" s="60">
        <f>AD24-AD25</f>
        <v>79087</v>
      </c>
      <c r="AE26" s="60">
        <f>AE24-AE25</f>
        <v>4744</v>
      </c>
      <c r="AF26" s="60">
        <f>AF24-AF25</f>
        <v>19587</v>
      </c>
      <c r="AG26" s="58">
        <f t="shared" ref="AG26" si="6">AG24-AG25</f>
        <v>615</v>
      </c>
      <c r="AH26" s="62">
        <f>AH24-AH25</f>
        <v>205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66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67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4.28515625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45074</v>
      </c>
      <c r="B20" s="168" t="s">
        <v>37</v>
      </c>
      <c r="C20" s="30" t="s">
        <v>38</v>
      </c>
      <c r="D20" s="83">
        <v>16000</v>
      </c>
      <c r="E20" s="38">
        <f t="shared" ref="E20" si="0">D20/200*25</f>
        <v>2000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50525</v>
      </c>
      <c r="U20" s="34">
        <f>T20/215*25</f>
        <v>5875</v>
      </c>
      <c r="V20" s="33" t="e">
        <f>#REF!</f>
        <v>#REF!</v>
      </c>
      <c r="W20" s="33">
        <v>36750</v>
      </c>
      <c r="X20" s="33" t="e">
        <f>#REF!</f>
        <v>#REF!</v>
      </c>
      <c r="Y20" s="35">
        <v>46302</v>
      </c>
      <c r="Z20" s="31">
        <v>5500</v>
      </c>
      <c r="AA20" s="31">
        <v>100</v>
      </c>
      <c r="AB20" s="33">
        <v>743</v>
      </c>
      <c r="AC20" s="31">
        <v>14110</v>
      </c>
      <c r="AD20" s="33">
        <v>26640</v>
      </c>
      <c r="AE20" s="33">
        <v>1840</v>
      </c>
      <c r="AF20" s="33">
        <v>11760</v>
      </c>
      <c r="AG20" s="31">
        <v>615</v>
      </c>
      <c r="AH20" s="36">
        <v>196</v>
      </c>
      <c r="AI20" s="78"/>
    </row>
    <row r="21" spans="1:36" ht="45" customHeight="1" x14ac:dyDescent="0.3">
      <c r="A21" s="166"/>
      <c r="B21" s="169"/>
      <c r="C21" s="37" t="s">
        <v>39</v>
      </c>
      <c r="D21" s="37">
        <v>4000</v>
      </c>
      <c r="E21" s="38">
        <f>D21/200*25</f>
        <v>500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195</v>
      </c>
      <c r="Q21" s="32">
        <f>P21/38*25</f>
        <v>128.28947368421052</v>
      </c>
      <c r="R21" s="38">
        <v>0</v>
      </c>
      <c r="S21" s="32">
        <f>R21/135*25</f>
        <v>0</v>
      </c>
      <c r="T21" s="38">
        <v>36697</v>
      </c>
      <c r="U21" s="32">
        <f>T21/215*25</f>
        <v>4267.0930232558139</v>
      </c>
      <c r="V21" s="34"/>
      <c r="W21" s="34">
        <v>10058</v>
      </c>
      <c r="X21" s="34">
        <v>0</v>
      </c>
      <c r="Y21" s="32">
        <v>3963.4899999999989</v>
      </c>
      <c r="Z21" s="38">
        <v>2043</v>
      </c>
      <c r="AA21" s="38">
        <v>32</v>
      </c>
      <c r="AB21" s="34">
        <v>368</v>
      </c>
      <c r="AC21" s="38">
        <v>16283</v>
      </c>
      <c r="AD21" s="34">
        <v>52447</v>
      </c>
      <c r="AE21" s="34">
        <v>2904</v>
      </c>
      <c r="AF21" s="34">
        <v>7827</v>
      </c>
      <c r="AG21" s="38">
        <v>0</v>
      </c>
      <c r="AH21" s="39">
        <v>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20000</v>
      </c>
      <c r="E22" s="84">
        <f t="shared" si="1"/>
        <v>2500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195</v>
      </c>
      <c r="Q22" s="43">
        <f t="shared" si="1"/>
        <v>128.28947368421052</v>
      </c>
      <c r="R22" s="42">
        <f t="shared" si="1"/>
        <v>0</v>
      </c>
      <c r="S22" s="43">
        <f t="shared" si="1"/>
        <v>0</v>
      </c>
      <c r="T22" s="42">
        <f t="shared" si="1"/>
        <v>87222</v>
      </c>
      <c r="U22" s="43">
        <f t="shared" si="1"/>
        <v>10142.093023255813</v>
      </c>
      <c r="V22" s="44" t="e">
        <f t="shared" si="1"/>
        <v>#REF!</v>
      </c>
      <c r="W22" s="44">
        <f t="shared" si="1"/>
        <v>46808</v>
      </c>
      <c r="X22" s="44" t="e">
        <f t="shared" si="1"/>
        <v>#REF!</v>
      </c>
      <c r="Y22" s="43">
        <f>SUM(Y20:Y21)</f>
        <v>50265.49</v>
      </c>
      <c r="Z22" s="42">
        <f t="shared" si="1"/>
        <v>7543</v>
      </c>
      <c r="AA22" s="42">
        <f>SUM(AA20:AA21)</f>
        <v>132</v>
      </c>
      <c r="AB22" s="44">
        <f t="shared" si="1"/>
        <v>1111</v>
      </c>
      <c r="AC22" s="42">
        <f>SUM(AC20:AC21)</f>
        <v>30393</v>
      </c>
      <c r="AD22" s="44">
        <f>SUM(AD20:AD21)</f>
        <v>79087</v>
      </c>
      <c r="AE22" s="44">
        <f t="shared" si="1"/>
        <v>4744</v>
      </c>
      <c r="AF22" s="44">
        <f t="shared" si="1"/>
        <v>19587</v>
      </c>
      <c r="AG22" s="42">
        <f t="shared" si="1"/>
        <v>615</v>
      </c>
      <c r="AH22" s="46">
        <f>SUM(AH20:AH21)</f>
        <v>205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100*200</f>
        <v>20000</v>
      </c>
      <c r="E23" s="38">
        <f>D23/200*25</f>
        <v>2500</v>
      </c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15000</v>
      </c>
      <c r="X23" s="31"/>
      <c r="Y23" s="31">
        <v>10000</v>
      </c>
      <c r="Z23" s="31">
        <v>2000</v>
      </c>
      <c r="AA23" s="31"/>
      <c r="AB23" s="31"/>
      <c r="AC23" s="31">
        <v>18500</v>
      </c>
      <c r="AD23" s="31">
        <v>0</v>
      </c>
      <c r="AE23" s="31"/>
      <c r="AF23" s="48">
        <v>14200</v>
      </c>
      <c r="AG23" s="31">
        <v>0</v>
      </c>
      <c r="AH23" s="49">
        <v>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40000</v>
      </c>
      <c r="E24" s="51">
        <f t="shared" si="2"/>
        <v>5000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195</v>
      </c>
      <c r="Q24" s="52">
        <f t="shared" si="2"/>
        <v>128.28947368421052</v>
      </c>
      <c r="R24" s="51">
        <f t="shared" si="2"/>
        <v>0</v>
      </c>
      <c r="S24" s="51">
        <f t="shared" si="2"/>
        <v>0</v>
      </c>
      <c r="T24" s="51">
        <f t="shared" si="2"/>
        <v>108722</v>
      </c>
      <c r="U24" s="52">
        <f t="shared" si="2"/>
        <v>12642.093023255813</v>
      </c>
      <c r="V24" s="51" t="e">
        <f t="shared" si="2"/>
        <v>#REF!</v>
      </c>
      <c r="W24" s="51">
        <f t="shared" si="2"/>
        <v>61808</v>
      </c>
      <c r="X24" s="51" t="e">
        <f t="shared" si="2"/>
        <v>#REF!</v>
      </c>
      <c r="Y24" s="52">
        <f t="shared" si="2"/>
        <v>60265.49</v>
      </c>
      <c r="Z24" s="51">
        <f t="shared" si="2"/>
        <v>9543</v>
      </c>
      <c r="AA24" s="51">
        <f t="shared" si="2"/>
        <v>132</v>
      </c>
      <c r="AB24" s="51">
        <f t="shared" si="2"/>
        <v>1111</v>
      </c>
      <c r="AC24" s="51">
        <f t="shared" si="2"/>
        <v>48893</v>
      </c>
      <c r="AD24" s="51">
        <f t="shared" si="2"/>
        <v>79087</v>
      </c>
      <c r="AE24" s="51">
        <f t="shared" si="2"/>
        <v>4744</v>
      </c>
      <c r="AF24" s="51">
        <f t="shared" si="2"/>
        <v>33787</v>
      </c>
      <c r="AG24" s="51">
        <f t="shared" si="2"/>
        <v>615</v>
      </c>
      <c r="AH24" s="53">
        <f t="shared" si="2"/>
        <v>205</v>
      </c>
    </row>
    <row r="25" spans="1:36" ht="75.75" customHeight="1" x14ac:dyDescent="0.3">
      <c r="A25" s="158" t="s">
        <v>44</v>
      </c>
      <c r="B25" s="159"/>
      <c r="C25" s="160"/>
      <c r="D25" s="80">
        <v>614</v>
      </c>
      <c r="E25" s="80">
        <f>D25/200*25</f>
        <v>76.75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31</v>
      </c>
      <c r="Q25" s="32">
        <f>P25/38*25</f>
        <v>20.394736842105264</v>
      </c>
      <c r="R25" s="38">
        <v>0</v>
      </c>
      <c r="S25" s="32">
        <f>R25/135*25</f>
        <v>0</v>
      </c>
      <c r="T25" s="38">
        <v>22106</v>
      </c>
      <c r="U25" s="32">
        <f>T25/215*25</f>
        <v>2570.4651162790697</v>
      </c>
      <c r="V25" s="47" t="s">
        <v>40</v>
      </c>
      <c r="W25" s="54">
        <v>8304</v>
      </c>
      <c r="X25" s="47"/>
      <c r="Y25" s="55">
        <f>Z25*2.43</f>
        <v>4062.9600000000005</v>
      </c>
      <c r="Z25" s="38">
        <v>1672</v>
      </c>
      <c r="AA25" s="38">
        <v>1</v>
      </c>
      <c r="AB25" s="47">
        <v>0</v>
      </c>
      <c r="AC25" s="38">
        <v>8119</v>
      </c>
      <c r="AD25" s="47">
        <v>4331</v>
      </c>
      <c r="AE25" s="47">
        <v>0</v>
      </c>
      <c r="AF25" s="47">
        <f>4911+356</f>
        <v>5267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45080</v>
      </c>
      <c r="B26" s="161" t="s">
        <v>45</v>
      </c>
      <c r="C26" s="162"/>
      <c r="D26" s="58">
        <f>D24-D25</f>
        <v>39386</v>
      </c>
      <c r="E26" s="58">
        <f t="shared" ref="E26:AA26" si="3">E24-E25</f>
        <v>4923.25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164</v>
      </c>
      <c r="Q26" s="59">
        <f t="shared" si="5"/>
        <v>107.89473684210526</v>
      </c>
      <c r="R26" s="58">
        <f>R24-R25</f>
        <v>0</v>
      </c>
      <c r="S26" s="59">
        <f t="shared" ref="S26" si="6">S24-S25</f>
        <v>0</v>
      </c>
      <c r="T26" s="58">
        <f>T24-T25</f>
        <v>86616</v>
      </c>
      <c r="U26" s="59">
        <f t="shared" si="3"/>
        <v>10071.627906976744</v>
      </c>
      <c r="V26" s="60" t="e">
        <f t="shared" si="3"/>
        <v>#REF!</v>
      </c>
      <c r="W26" s="60">
        <f t="shared" si="3"/>
        <v>53504</v>
      </c>
      <c r="X26" s="60" t="e">
        <f t="shared" si="3"/>
        <v>#REF!</v>
      </c>
      <c r="Y26" s="61">
        <f>Y24-Y25</f>
        <v>56202.53</v>
      </c>
      <c r="Z26" s="58">
        <f>Z24-Z25</f>
        <v>7871</v>
      </c>
      <c r="AA26" s="58">
        <f t="shared" si="3"/>
        <v>131</v>
      </c>
      <c r="AB26" s="60">
        <f>AB24-AB25</f>
        <v>1111</v>
      </c>
      <c r="AC26" s="58">
        <f>AC24-AC25</f>
        <v>40774</v>
      </c>
      <c r="AD26" s="60">
        <f>AD24-AD25</f>
        <v>74756</v>
      </c>
      <c r="AE26" s="60">
        <f>AE24-AE25</f>
        <v>4744</v>
      </c>
      <c r="AF26" s="60">
        <f>AF24-AF25</f>
        <v>28520</v>
      </c>
      <c r="AG26" s="58">
        <f t="shared" ref="AG26" si="7">AG24-AG25</f>
        <v>615</v>
      </c>
      <c r="AH26" s="62">
        <f>AH24-AH25</f>
        <v>197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66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67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A27" sqref="A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45081</v>
      </c>
      <c r="B20" s="168" t="s">
        <v>37</v>
      </c>
      <c r="C20" s="30" t="s">
        <v>38</v>
      </c>
      <c r="D20" s="86">
        <v>27000</v>
      </c>
      <c r="E20" s="38">
        <f t="shared" ref="E20" si="0">D20/200*25</f>
        <v>3375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61275</v>
      </c>
      <c r="U20" s="34">
        <f>T20/215*25</f>
        <v>7125</v>
      </c>
      <c r="V20" s="33" t="e">
        <f>#REF!</f>
        <v>#REF!</v>
      </c>
      <c r="W20" s="33">
        <v>45125</v>
      </c>
      <c r="X20" s="33" t="e">
        <f>#REF!</f>
        <v>#REF!</v>
      </c>
      <c r="Y20" s="35">
        <v>52657</v>
      </c>
      <c r="Z20" s="31">
        <v>6000</v>
      </c>
      <c r="AA20" s="31">
        <v>100</v>
      </c>
      <c r="AB20" s="33">
        <v>743</v>
      </c>
      <c r="AC20" s="31">
        <v>25860</v>
      </c>
      <c r="AD20" s="33">
        <v>26640</v>
      </c>
      <c r="AE20" s="33">
        <v>1840</v>
      </c>
      <c r="AF20" s="33">
        <v>18460</v>
      </c>
      <c r="AG20" s="31">
        <v>615</v>
      </c>
      <c r="AH20" s="36">
        <v>185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12386</v>
      </c>
      <c r="E21" s="38">
        <f>D21/200*25</f>
        <v>1548.25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164</v>
      </c>
      <c r="Q21" s="32">
        <f>P21/38*25</f>
        <v>107.89473684210526</v>
      </c>
      <c r="R21" s="38">
        <v>0</v>
      </c>
      <c r="S21" s="32">
        <f>R21/135*25</f>
        <v>0</v>
      </c>
      <c r="T21" s="38">
        <v>25341</v>
      </c>
      <c r="U21" s="32">
        <f>T21/215*25</f>
        <v>2946.6279069767443</v>
      </c>
      <c r="V21" s="34"/>
      <c r="W21" s="34">
        <v>8379</v>
      </c>
      <c r="X21" s="34">
        <v>0</v>
      </c>
      <c r="Y21" s="32">
        <v>3545.5299999999993</v>
      </c>
      <c r="Z21" s="38">
        <v>1871</v>
      </c>
      <c r="AA21" s="38">
        <v>31</v>
      </c>
      <c r="AB21" s="34">
        <v>368</v>
      </c>
      <c r="AC21" s="38">
        <v>14914</v>
      </c>
      <c r="AD21" s="34">
        <v>48116</v>
      </c>
      <c r="AE21" s="34">
        <v>2904</v>
      </c>
      <c r="AF21" s="34">
        <v>10060</v>
      </c>
      <c r="AG21" s="38">
        <v>0</v>
      </c>
      <c r="AH21" s="39">
        <v>12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39386</v>
      </c>
      <c r="E22" s="84">
        <f t="shared" si="1"/>
        <v>4923.25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164</v>
      </c>
      <c r="Q22" s="43">
        <f t="shared" si="1"/>
        <v>107.89473684210526</v>
      </c>
      <c r="R22" s="42">
        <f t="shared" si="1"/>
        <v>0</v>
      </c>
      <c r="S22" s="43">
        <f t="shared" si="1"/>
        <v>0</v>
      </c>
      <c r="T22" s="42">
        <f t="shared" si="1"/>
        <v>86616</v>
      </c>
      <c r="U22" s="43">
        <f t="shared" si="1"/>
        <v>10071.627906976744</v>
      </c>
      <c r="V22" s="44" t="e">
        <f t="shared" si="1"/>
        <v>#REF!</v>
      </c>
      <c r="W22" s="44">
        <f t="shared" si="1"/>
        <v>53504</v>
      </c>
      <c r="X22" s="44" t="e">
        <f t="shared" si="1"/>
        <v>#REF!</v>
      </c>
      <c r="Y22" s="43">
        <f>SUM(Y20:Y21)</f>
        <v>56202.53</v>
      </c>
      <c r="Z22" s="42">
        <f t="shared" si="1"/>
        <v>7871</v>
      </c>
      <c r="AA22" s="42">
        <f>SUM(AA20:AA21)</f>
        <v>131</v>
      </c>
      <c r="AB22" s="44">
        <f t="shared" si="1"/>
        <v>1111</v>
      </c>
      <c r="AC22" s="42">
        <f>SUM(AC20:AC21)</f>
        <v>40774</v>
      </c>
      <c r="AD22" s="44">
        <f>SUM(AD20:AD21)</f>
        <v>74756</v>
      </c>
      <c r="AE22" s="44">
        <f t="shared" si="1"/>
        <v>4744</v>
      </c>
      <c r="AF22" s="44">
        <f t="shared" si="1"/>
        <v>28520</v>
      </c>
      <c r="AG22" s="42">
        <f t="shared" si="1"/>
        <v>615</v>
      </c>
      <c r="AH22" s="46">
        <f>SUM(AH20:AH21)</f>
        <v>197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75*200</f>
        <v>15000</v>
      </c>
      <c r="E23" s="38">
        <f>D23/200*25</f>
        <v>1875</v>
      </c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f>600*25</f>
        <v>15000</v>
      </c>
      <c r="X23" s="31"/>
      <c r="Y23" s="31">
        <v>0</v>
      </c>
      <c r="Z23" s="31">
        <v>3000</v>
      </c>
      <c r="AA23" s="31"/>
      <c r="AB23" s="31"/>
      <c r="AC23" s="31">
        <v>10250</v>
      </c>
      <c r="AD23" s="31">
        <v>0</v>
      </c>
      <c r="AE23" s="31"/>
      <c r="AF23" s="48">
        <f>5400+5000</f>
        <v>10400</v>
      </c>
      <c r="AG23" s="31">
        <v>0</v>
      </c>
      <c r="AH23" s="49">
        <v>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54386</v>
      </c>
      <c r="E24" s="51">
        <f t="shared" si="2"/>
        <v>6798.25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164</v>
      </c>
      <c r="Q24" s="52">
        <f t="shared" si="2"/>
        <v>107.89473684210526</v>
      </c>
      <c r="R24" s="51">
        <f t="shared" si="2"/>
        <v>0</v>
      </c>
      <c r="S24" s="51">
        <f t="shared" si="2"/>
        <v>0</v>
      </c>
      <c r="T24" s="51">
        <f t="shared" si="2"/>
        <v>102741</v>
      </c>
      <c r="U24" s="52">
        <f t="shared" si="2"/>
        <v>11946.627906976744</v>
      </c>
      <c r="V24" s="51" t="e">
        <f t="shared" si="2"/>
        <v>#REF!</v>
      </c>
      <c r="W24" s="51">
        <f t="shared" si="2"/>
        <v>68504</v>
      </c>
      <c r="X24" s="51" t="e">
        <f t="shared" si="2"/>
        <v>#REF!</v>
      </c>
      <c r="Y24" s="52">
        <f t="shared" si="2"/>
        <v>56202.53</v>
      </c>
      <c r="Z24" s="51">
        <f t="shared" si="2"/>
        <v>10871</v>
      </c>
      <c r="AA24" s="51">
        <f t="shared" si="2"/>
        <v>131</v>
      </c>
      <c r="AB24" s="51">
        <f t="shared" si="2"/>
        <v>1111</v>
      </c>
      <c r="AC24" s="51">
        <f t="shared" si="2"/>
        <v>51024</v>
      </c>
      <c r="AD24" s="51">
        <f t="shared" si="2"/>
        <v>74756</v>
      </c>
      <c r="AE24" s="51">
        <f t="shared" si="2"/>
        <v>4744</v>
      </c>
      <c r="AF24" s="51">
        <f t="shared" si="2"/>
        <v>38920</v>
      </c>
      <c r="AG24" s="51">
        <f t="shared" si="2"/>
        <v>615</v>
      </c>
      <c r="AH24" s="53">
        <f t="shared" si="2"/>
        <v>197</v>
      </c>
    </row>
    <row r="25" spans="1:36" ht="75.75" customHeight="1" x14ac:dyDescent="0.3">
      <c r="A25" s="158" t="s">
        <v>44</v>
      </c>
      <c r="B25" s="159"/>
      <c r="C25" s="160"/>
      <c r="D25" s="85">
        <v>2107</v>
      </c>
      <c r="E25" s="85">
        <f>D25/200*25</f>
        <v>263.375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43</v>
      </c>
      <c r="Q25" s="32">
        <f>P25/38*25</f>
        <v>28.289473684210524</v>
      </c>
      <c r="R25" s="38">
        <v>0</v>
      </c>
      <c r="S25" s="32">
        <f>R25/135*25</f>
        <v>0</v>
      </c>
      <c r="T25" s="38">
        <v>21014</v>
      </c>
      <c r="U25" s="32">
        <f>T25/215*25</f>
        <v>2443.4883720930234</v>
      </c>
      <c r="V25" s="47" t="s">
        <v>40</v>
      </c>
      <c r="W25" s="54">
        <v>8499</v>
      </c>
      <c r="X25" s="47"/>
      <c r="Y25" s="55">
        <f>Z25*2.43</f>
        <v>4014.36</v>
      </c>
      <c r="Z25" s="38">
        <v>1652</v>
      </c>
      <c r="AA25" s="38">
        <v>4</v>
      </c>
      <c r="AB25" s="47">
        <v>0</v>
      </c>
      <c r="AC25" s="38">
        <f>8614+22</f>
        <v>8636</v>
      </c>
      <c r="AD25" s="47">
        <v>4192</v>
      </c>
      <c r="AE25" s="47">
        <v>0</v>
      </c>
      <c r="AF25" s="47">
        <f>4967+329</f>
        <v>5296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45087</v>
      </c>
      <c r="B26" s="161" t="s">
        <v>45</v>
      </c>
      <c r="C26" s="162"/>
      <c r="D26" s="58">
        <f>D24-D25</f>
        <v>52279</v>
      </c>
      <c r="E26" s="58">
        <f t="shared" ref="E26:AA26" si="3">E24-E25</f>
        <v>6534.875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121</v>
      </c>
      <c r="Q26" s="59">
        <f t="shared" si="5"/>
        <v>79.60526315789474</v>
      </c>
      <c r="R26" s="58">
        <f>R24-R25</f>
        <v>0</v>
      </c>
      <c r="S26" s="59">
        <f t="shared" ref="S26" si="6">S24-S25</f>
        <v>0</v>
      </c>
      <c r="T26" s="58">
        <f>T24-T25</f>
        <v>81727</v>
      </c>
      <c r="U26" s="59">
        <f t="shared" si="3"/>
        <v>9503.1395348837214</v>
      </c>
      <c r="V26" s="60" t="e">
        <f t="shared" si="3"/>
        <v>#REF!</v>
      </c>
      <c r="W26" s="60">
        <f t="shared" si="3"/>
        <v>60005</v>
      </c>
      <c r="X26" s="60" t="e">
        <f t="shared" si="3"/>
        <v>#REF!</v>
      </c>
      <c r="Y26" s="61">
        <f>Y24-Y25</f>
        <v>52188.17</v>
      </c>
      <c r="Z26" s="58">
        <f>Z24-Z25</f>
        <v>9219</v>
      </c>
      <c r="AA26" s="58">
        <f t="shared" si="3"/>
        <v>127</v>
      </c>
      <c r="AB26" s="60">
        <f>AB24-AB25</f>
        <v>1111</v>
      </c>
      <c r="AC26" s="58">
        <f>AC24-AC25</f>
        <v>42388</v>
      </c>
      <c r="AD26" s="60">
        <f>AD24-AD25</f>
        <v>70564</v>
      </c>
      <c r="AE26" s="60">
        <f>AE24-AE25</f>
        <v>4744</v>
      </c>
      <c r="AF26" s="60">
        <f>AF24-AF25</f>
        <v>33624</v>
      </c>
      <c r="AG26" s="58">
        <f t="shared" ref="AG26" si="7">AG24-AG25</f>
        <v>615</v>
      </c>
      <c r="AH26" s="62">
        <f>AH24-AH25</f>
        <v>189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52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56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G25" sqref="G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45088</v>
      </c>
      <c r="B20" s="168" t="s">
        <v>37</v>
      </c>
      <c r="C20" s="30" t="s">
        <v>38</v>
      </c>
      <c r="D20" s="86">
        <v>37000</v>
      </c>
      <c r="E20" s="38">
        <f t="shared" ref="E20" si="0">D20/200*25</f>
        <v>4625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51600</v>
      </c>
      <c r="U20" s="34">
        <f>T20/215*25</f>
        <v>6000</v>
      </c>
      <c r="V20" s="33" t="e">
        <f>#REF!</f>
        <v>#REF!</v>
      </c>
      <c r="W20" s="33">
        <v>52250</v>
      </c>
      <c r="X20" s="33" t="e">
        <f>#REF!</f>
        <v>#REF!</v>
      </c>
      <c r="Y20" s="35">
        <v>48647.5</v>
      </c>
      <c r="Z20" s="31">
        <v>7350</v>
      </c>
      <c r="AA20" s="31">
        <v>100</v>
      </c>
      <c r="AB20" s="33">
        <v>743</v>
      </c>
      <c r="AC20" s="31">
        <v>18360</v>
      </c>
      <c r="AD20" s="33">
        <v>26640</v>
      </c>
      <c r="AE20" s="33">
        <v>1840</v>
      </c>
      <c r="AF20" s="33">
        <v>21560</v>
      </c>
      <c r="AG20" s="31">
        <v>315</v>
      </c>
      <c r="AH20" s="36">
        <v>145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15279</v>
      </c>
      <c r="E21" s="38">
        <f>D21/200*25</f>
        <v>1909.875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121</v>
      </c>
      <c r="Q21" s="32">
        <f>P21/38*25</f>
        <v>79.60526315789474</v>
      </c>
      <c r="R21" s="38">
        <v>0</v>
      </c>
      <c r="S21" s="32">
        <f>R21/135*25</f>
        <v>0</v>
      </c>
      <c r="T21" s="38">
        <v>30127</v>
      </c>
      <c r="U21" s="32">
        <f>T21/215*25</f>
        <v>3503.1395348837209</v>
      </c>
      <c r="V21" s="34"/>
      <c r="W21" s="34">
        <v>7755</v>
      </c>
      <c r="X21" s="34">
        <v>0</v>
      </c>
      <c r="Y21" s="32">
        <v>3540.67</v>
      </c>
      <c r="Z21" s="38">
        <v>1869</v>
      </c>
      <c r="AA21" s="38">
        <v>27</v>
      </c>
      <c r="AB21" s="34">
        <v>368</v>
      </c>
      <c r="AC21" s="38">
        <v>24028</v>
      </c>
      <c r="AD21" s="34">
        <v>43924</v>
      </c>
      <c r="AE21" s="34">
        <v>2904</v>
      </c>
      <c r="AF21" s="34">
        <v>12064</v>
      </c>
      <c r="AG21" s="38">
        <v>300</v>
      </c>
      <c r="AH21" s="39">
        <v>44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52279</v>
      </c>
      <c r="E22" s="84">
        <f t="shared" si="1"/>
        <v>6534.875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121</v>
      </c>
      <c r="Q22" s="43">
        <f t="shared" si="1"/>
        <v>79.60526315789474</v>
      </c>
      <c r="R22" s="42">
        <f t="shared" si="1"/>
        <v>0</v>
      </c>
      <c r="S22" s="43">
        <f t="shared" si="1"/>
        <v>0</v>
      </c>
      <c r="T22" s="42">
        <f t="shared" si="1"/>
        <v>81727</v>
      </c>
      <c r="U22" s="43">
        <f t="shared" si="1"/>
        <v>9503.1395348837214</v>
      </c>
      <c r="V22" s="44" t="e">
        <f t="shared" si="1"/>
        <v>#REF!</v>
      </c>
      <c r="W22" s="44">
        <f t="shared" si="1"/>
        <v>60005</v>
      </c>
      <c r="X22" s="44" t="e">
        <f t="shared" si="1"/>
        <v>#REF!</v>
      </c>
      <c r="Y22" s="43">
        <f>SUM(Y20:Y21)</f>
        <v>52188.17</v>
      </c>
      <c r="Z22" s="42">
        <f t="shared" si="1"/>
        <v>9219</v>
      </c>
      <c r="AA22" s="42">
        <f>SUM(AA20:AA21)</f>
        <v>127</v>
      </c>
      <c r="AB22" s="44">
        <f t="shared" si="1"/>
        <v>1111</v>
      </c>
      <c r="AC22" s="42">
        <f>SUM(AC20:AC21)</f>
        <v>42388</v>
      </c>
      <c r="AD22" s="44">
        <f>SUM(AD20:AD21)</f>
        <v>70564</v>
      </c>
      <c r="AE22" s="44">
        <f t="shared" si="1"/>
        <v>4744</v>
      </c>
      <c r="AF22" s="44">
        <f t="shared" si="1"/>
        <v>33624</v>
      </c>
      <c r="AG22" s="42">
        <f t="shared" si="1"/>
        <v>615</v>
      </c>
      <c r="AH22" s="46">
        <f>SUM(AH20:AH21)</f>
        <v>189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52279</v>
      </c>
      <c r="E24" s="51">
        <f t="shared" si="2"/>
        <v>6534.875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121</v>
      </c>
      <c r="Q24" s="52">
        <f t="shared" si="2"/>
        <v>79.60526315789474</v>
      </c>
      <c r="R24" s="51">
        <f t="shared" si="2"/>
        <v>0</v>
      </c>
      <c r="S24" s="51">
        <f t="shared" si="2"/>
        <v>0</v>
      </c>
      <c r="T24" s="51">
        <f t="shared" si="2"/>
        <v>81727</v>
      </c>
      <c r="U24" s="52">
        <f t="shared" si="2"/>
        <v>9503.1395348837214</v>
      </c>
      <c r="V24" s="51" t="e">
        <f t="shared" si="2"/>
        <v>#REF!</v>
      </c>
      <c r="W24" s="51">
        <f t="shared" si="2"/>
        <v>60005</v>
      </c>
      <c r="X24" s="51" t="e">
        <f t="shared" si="2"/>
        <v>#REF!</v>
      </c>
      <c r="Y24" s="52">
        <f t="shared" si="2"/>
        <v>52188.17</v>
      </c>
      <c r="Z24" s="51">
        <f t="shared" si="2"/>
        <v>9219</v>
      </c>
      <c r="AA24" s="51">
        <f t="shared" si="2"/>
        <v>127</v>
      </c>
      <c r="AB24" s="51">
        <f t="shared" si="2"/>
        <v>1111</v>
      </c>
      <c r="AC24" s="51">
        <f t="shared" si="2"/>
        <v>42388</v>
      </c>
      <c r="AD24" s="51">
        <f t="shared" si="2"/>
        <v>70564</v>
      </c>
      <c r="AE24" s="51">
        <f t="shared" si="2"/>
        <v>4744</v>
      </c>
      <c r="AF24" s="51">
        <f t="shared" si="2"/>
        <v>33624</v>
      </c>
      <c r="AG24" s="51">
        <f t="shared" si="2"/>
        <v>615</v>
      </c>
      <c r="AH24" s="53">
        <f t="shared" si="2"/>
        <v>189</v>
      </c>
    </row>
    <row r="25" spans="1:36" ht="75.75" customHeight="1" x14ac:dyDescent="0.3">
      <c r="A25" s="158" t="s">
        <v>44</v>
      </c>
      <c r="B25" s="159"/>
      <c r="C25" s="160"/>
      <c r="D25" s="85">
        <v>3028</v>
      </c>
      <c r="E25" s="85">
        <f>D25/200*25</f>
        <v>378.5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9</v>
      </c>
      <c r="Q25" s="32">
        <f>P25/38*25</f>
        <v>5.9210526315789469</v>
      </c>
      <c r="R25" s="38">
        <v>0</v>
      </c>
      <c r="S25" s="32">
        <f>R25/135*25</f>
        <v>0</v>
      </c>
      <c r="T25" s="38">
        <v>15725</v>
      </c>
      <c r="U25" s="32">
        <f>T25/215*25</f>
        <v>1828.4883720930231</v>
      </c>
      <c r="V25" s="47" t="s">
        <v>40</v>
      </c>
      <c r="W25" s="54">
        <v>7329</v>
      </c>
      <c r="X25" s="47"/>
      <c r="Y25" s="55">
        <f>Z25*2.43</f>
        <v>3802.9500000000003</v>
      </c>
      <c r="Z25" s="38">
        <v>1565</v>
      </c>
      <c r="AA25" s="38">
        <v>0</v>
      </c>
      <c r="AB25" s="47">
        <v>0</v>
      </c>
      <c r="AC25" s="38">
        <v>7764</v>
      </c>
      <c r="AD25" s="47">
        <v>3026</v>
      </c>
      <c r="AE25" s="47">
        <v>0</v>
      </c>
      <c r="AF25" s="47">
        <v>4772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45094</v>
      </c>
      <c r="B26" s="161" t="s">
        <v>45</v>
      </c>
      <c r="C26" s="162"/>
      <c r="D26" s="58">
        <f>D24-D25</f>
        <v>49251</v>
      </c>
      <c r="E26" s="58">
        <f t="shared" ref="E26:AA26" si="3">E24-E25</f>
        <v>6156.375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112</v>
      </c>
      <c r="Q26" s="59">
        <f t="shared" si="5"/>
        <v>73.684210526315795</v>
      </c>
      <c r="R26" s="58">
        <f>R24-R25</f>
        <v>0</v>
      </c>
      <c r="S26" s="59">
        <f t="shared" ref="S26" si="6">S24-S25</f>
        <v>0</v>
      </c>
      <c r="T26" s="58">
        <f>T24-T25</f>
        <v>66002</v>
      </c>
      <c r="U26" s="59">
        <f t="shared" si="3"/>
        <v>7674.6511627906984</v>
      </c>
      <c r="V26" s="60" t="e">
        <f t="shared" si="3"/>
        <v>#REF!</v>
      </c>
      <c r="W26" s="60">
        <f t="shared" si="3"/>
        <v>52676</v>
      </c>
      <c r="X26" s="60" t="e">
        <f t="shared" si="3"/>
        <v>#REF!</v>
      </c>
      <c r="Y26" s="61">
        <f>Y24-Y25</f>
        <v>48385.22</v>
      </c>
      <c r="Z26" s="58">
        <f>Z24-Z25</f>
        <v>7654</v>
      </c>
      <c r="AA26" s="58">
        <f t="shared" si="3"/>
        <v>127</v>
      </c>
      <c r="AB26" s="60">
        <f>AB24-AB25</f>
        <v>1111</v>
      </c>
      <c r="AC26" s="58">
        <f>AC24-AC25</f>
        <v>34624</v>
      </c>
      <c r="AD26" s="60">
        <f>AD24-AD25</f>
        <v>67538</v>
      </c>
      <c r="AE26" s="60">
        <f>AE24-AE25</f>
        <v>4744</v>
      </c>
      <c r="AF26" s="60">
        <f>AF24-AF25</f>
        <v>28852</v>
      </c>
      <c r="AG26" s="58">
        <f t="shared" ref="AG26" si="7">AG24-AG25</f>
        <v>615</v>
      </c>
      <c r="AH26" s="62">
        <f>AH24-AH25</f>
        <v>181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52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56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45095</v>
      </c>
      <c r="B20" s="168" t="s">
        <v>37</v>
      </c>
      <c r="C20" s="30" t="s">
        <v>38</v>
      </c>
      <c r="D20" s="86">
        <v>32000</v>
      </c>
      <c r="E20" s="38">
        <f t="shared" ref="E20" si="0">D20/200*25</f>
        <v>4000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45150</v>
      </c>
      <c r="U20" s="34">
        <f>T20/215*25</f>
        <v>5250</v>
      </c>
      <c r="V20" s="33" t="e">
        <f>#REF!</f>
        <v>#REF!</v>
      </c>
      <c r="W20" s="33">
        <v>44750</v>
      </c>
      <c r="X20" s="33" t="e">
        <f>#REF!</f>
        <v>#REF!</v>
      </c>
      <c r="Y20" s="35">
        <v>43759.5</v>
      </c>
      <c r="Z20" s="31">
        <v>5750</v>
      </c>
      <c r="AA20" s="31">
        <v>100</v>
      </c>
      <c r="AB20" s="33">
        <v>743</v>
      </c>
      <c r="AC20" s="31">
        <v>14610</v>
      </c>
      <c r="AD20" s="33">
        <v>22320</v>
      </c>
      <c r="AE20" s="33">
        <v>1840</v>
      </c>
      <c r="AF20" s="33">
        <v>19660</v>
      </c>
      <c r="AG20" s="31">
        <v>315</v>
      </c>
      <c r="AH20" s="36">
        <v>145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17251</v>
      </c>
      <c r="E21" s="38">
        <f>D21/200*25</f>
        <v>2156.375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112</v>
      </c>
      <c r="Q21" s="32">
        <f>P21/38*25</f>
        <v>73.68421052631578</v>
      </c>
      <c r="R21" s="38">
        <v>0</v>
      </c>
      <c r="S21" s="32">
        <f>R21/135*25</f>
        <v>0</v>
      </c>
      <c r="T21" s="38">
        <v>20852</v>
      </c>
      <c r="U21" s="32">
        <f>T21/215*25</f>
        <v>2424.6511627906975</v>
      </c>
      <c r="V21" s="34"/>
      <c r="W21" s="34">
        <v>7926</v>
      </c>
      <c r="X21" s="34">
        <v>0</v>
      </c>
      <c r="Y21" s="32">
        <v>4625.72</v>
      </c>
      <c r="Z21" s="38">
        <v>1904</v>
      </c>
      <c r="AA21" s="38">
        <v>27</v>
      </c>
      <c r="AB21" s="34">
        <v>368</v>
      </c>
      <c r="AC21" s="38">
        <v>20014</v>
      </c>
      <c r="AD21" s="34">
        <v>45218</v>
      </c>
      <c r="AE21" s="34">
        <v>2904</v>
      </c>
      <c r="AF21" s="34">
        <v>9192</v>
      </c>
      <c r="AG21" s="38">
        <v>300</v>
      </c>
      <c r="AH21" s="39">
        <v>36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49251</v>
      </c>
      <c r="E22" s="84">
        <f t="shared" si="1"/>
        <v>6156.375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112</v>
      </c>
      <c r="Q22" s="43">
        <f t="shared" si="1"/>
        <v>73.68421052631578</v>
      </c>
      <c r="R22" s="42">
        <f t="shared" si="1"/>
        <v>0</v>
      </c>
      <c r="S22" s="43">
        <f t="shared" si="1"/>
        <v>0</v>
      </c>
      <c r="T22" s="42">
        <f t="shared" si="1"/>
        <v>66002</v>
      </c>
      <c r="U22" s="43">
        <f t="shared" si="1"/>
        <v>7674.6511627906975</v>
      </c>
      <c r="V22" s="44" t="e">
        <f t="shared" si="1"/>
        <v>#REF!</v>
      </c>
      <c r="W22" s="44">
        <f t="shared" si="1"/>
        <v>52676</v>
      </c>
      <c r="X22" s="44" t="e">
        <f t="shared" si="1"/>
        <v>#REF!</v>
      </c>
      <c r="Y22" s="43">
        <f>SUM(Y20:Y21)</f>
        <v>48385.22</v>
      </c>
      <c r="Z22" s="42">
        <f t="shared" si="1"/>
        <v>7654</v>
      </c>
      <c r="AA22" s="42">
        <f>SUM(AA20:AA21)</f>
        <v>127</v>
      </c>
      <c r="AB22" s="44">
        <f t="shared" si="1"/>
        <v>1111</v>
      </c>
      <c r="AC22" s="42">
        <f>SUM(AC20:AC21)</f>
        <v>34624</v>
      </c>
      <c r="AD22" s="44">
        <f>SUM(AD20:AD21)</f>
        <v>67538</v>
      </c>
      <c r="AE22" s="44">
        <f t="shared" si="1"/>
        <v>4744</v>
      </c>
      <c r="AF22" s="44">
        <f t="shared" si="1"/>
        <v>28852</v>
      </c>
      <c r="AG22" s="42">
        <f t="shared" si="1"/>
        <v>615</v>
      </c>
      <c r="AH22" s="46">
        <f>SUM(AH20:AH21)</f>
        <v>181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100*200</f>
        <v>20000</v>
      </c>
      <c r="E23" s="38">
        <f>D23/200*25</f>
        <v>2500</v>
      </c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f>600*25</f>
        <v>15000</v>
      </c>
      <c r="X23" s="31"/>
      <c r="Y23" s="31">
        <v>10000</v>
      </c>
      <c r="Z23" s="31">
        <v>2000</v>
      </c>
      <c r="AA23" s="31"/>
      <c r="AB23" s="31"/>
      <c r="AC23" s="31">
        <v>7750</v>
      </c>
      <c r="AD23" s="31">
        <v>7560</v>
      </c>
      <c r="AE23" s="31"/>
      <c r="AF23" s="48">
        <v>10400</v>
      </c>
      <c r="AG23" s="31">
        <v>0</v>
      </c>
      <c r="AH23" s="49">
        <v>20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69251</v>
      </c>
      <c r="E24" s="51">
        <f t="shared" si="2"/>
        <v>8656.375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112</v>
      </c>
      <c r="Q24" s="52">
        <f t="shared" si="2"/>
        <v>73.68421052631578</v>
      </c>
      <c r="R24" s="51">
        <f t="shared" si="2"/>
        <v>0</v>
      </c>
      <c r="S24" s="51">
        <f t="shared" si="2"/>
        <v>0</v>
      </c>
      <c r="T24" s="51">
        <f t="shared" si="2"/>
        <v>87502</v>
      </c>
      <c r="U24" s="52">
        <f t="shared" si="2"/>
        <v>10174.651162790698</v>
      </c>
      <c r="V24" s="51" t="e">
        <f t="shared" si="2"/>
        <v>#REF!</v>
      </c>
      <c r="W24" s="51">
        <f t="shared" si="2"/>
        <v>67676</v>
      </c>
      <c r="X24" s="51" t="e">
        <f t="shared" si="2"/>
        <v>#REF!</v>
      </c>
      <c r="Y24" s="52">
        <f t="shared" si="2"/>
        <v>58385.22</v>
      </c>
      <c r="Z24" s="51">
        <f t="shared" si="2"/>
        <v>9654</v>
      </c>
      <c r="AA24" s="51">
        <f t="shared" si="2"/>
        <v>127</v>
      </c>
      <c r="AB24" s="51">
        <f t="shared" si="2"/>
        <v>1111</v>
      </c>
      <c r="AC24" s="51">
        <f t="shared" si="2"/>
        <v>42374</v>
      </c>
      <c r="AD24" s="51">
        <f t="shared" si="2"/>
        <v>75098</v>
      </c>
      <c r="AE24" s="51">
        <f t="shared" si="2"/>
        <v>4744</v>
      </c>
      <c r="AF24" s="51">
        <f t="shared" si="2"/>
        <v>39252</v>
      </c>
      <c r="AG24" s="51">
        <f t="shared" si="2"/>
        <v>615</v>
      </c>
      <c r="AH24" s="53">
        <f t="shared" si="2"/>
        <v>201</v>
      </c>
    </row>
    <row r="25" spans="1:36" ht="75.75" customHeight="1" x14ac:dyDescent="0.3">
      <c r="A25" s="158" t="s">
        <v>44</v>
      </c>
      <c r="B25" s="159"/>
      <c r="C25" s="160"/>
      <c r="D25" s="85">
        <v>4080</v>
      </c>
      <c r="E25" s="85">
        <f>D25/200*25</f>
        <v>509.99999999999994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47</v>
      </c>
      <c r="Q25" s="32">
        <f>P25/38*25</f>
        <v>30.921052631578949</v>
      </c>
      <c r="R25" s="38">
        <v>0</v>
      </c>
      <c r="S25" s="32">
        <f>R25/135*25</f>
        <v>0</v>
      </c>
      <c r="T25" s="38">
        <v>18285</v>
      </c>
      <c r="U25" s="32">
        <f>T25/215*25</f>
        <v>2126.1627906976746</v>
      </c>
      <c r="V25" s="47" t="s">
        <v>40</v>
      </c>
      <c r="W25" s="54">
        <v>8941</v>
      </c>
      <c r="X25" s="47"/>
      <c r="Y25" s="55">
        <f>Z25*2.43</f>
        <v>4291.38</v>
      </c>
      <c r="Z25" s="38">
        <v>1766</v>
      </c>
      <c r="AA25" s="38">
        <v>1</v>
      </c>
      <c r="AB25" s="47">
        <v>0</v>
      </c>
      <c r="AC25" s="38">
        <v>9398</v>
      </c>
      <c r="AD25" s="47">
        <v>3549</v>
      </c>
      <c r="AE25" s="47">
        <v>0</v>
      </c>
      <c r="AF25" s="47">
        <f>4370+1142</f>
        <v>5512</v>
      </c>
      <c r="AG25" s="38">
        <v>0</v>
      </c>
      <c r="AH25" s="56">
        <v>6</v>
      </c>
    </row>
    <row r="26" spans="1:36" s="4" customFormat="1" ht="100.5" customHeight="1" thickBot="1" x14ac:dyDescent="0.25">
      <c r="A26" s="57">
        <v>45101</v>
      </c>
      <c r="B26" s="161" t="s">
        <v>45</v>
      </c>
      <c r="C26" s="162"/>
      <c r="D26" s="58">
        <f>D24-D25</f>
        <v>65171</v>
      </c>
      <c r="E26" s="58">
        <f t="shared" ref="E26:AA26" si="3">E24-E25</f>
        <v>8146.375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65</v>
      </c>
      <c r="Q26" s="59">
        <f t="shared" si="5"/>
        <v>42.763157894736835</v>
      </c>
      <c r="R26" s="58">
        <f>R24-R25</f>
        <v>0</v>
      </c>
      <c r="S26" s="59">
        <f t="shared" ref="S26" si="6">S24-S25</f>
        <v>0</v>
      </c>
      <c r="T26" s="58">
        <f>T24-T25</f>
        <v>69217</v>
      </c>
      <c r="U26" s="59">
        <f t="shared" si="3"/>
        <v>8048.4883720930238</v>
      </c>
      <c r="V26" s="60" t="e">
        <f t="shared" si="3"/>
        <v>#REF!</v>
      </c>
      <c r="W26" s="60">
        <f t="shared" si="3"/>
        <v>58735</v>
      </c>
      <c r="X26" s="60" t="e">
        <f t="shared" si="3"/>
        <v>#REF!</v>
      </c>
      <c r="Y26" s="61">
        <f>Y24-Y25</f>
        <v>54093.840000000004</v>
      </c>
      <c r="Z26" s="58">
        <f>Z24-Z25</f>
        <v>7888</v>
      </c>
      <c r="AA26" s="58">
        <f t="shared" si="3"/>
        <v>126</v>
      </c>
      <c r="AB26" s="60">
        <f>AB24-AB25</f>
        <v>1111</v>
      </c>
      <c r="AC26" s="58">
        <f>AC24-AC25</f>
        <v>32976</v>
      </c>
      <c r="AD26" s="60">
        <f>AD24-AD25</f>
        <v>71549</v>
      </c>
      <c r="AE26" s="60">
        <f>AE24-AE25</f>
        <v>4744</v>
      </c>
      <c r="AF26" s="60">
        <f>AF24-AF25</f>
        <v>33740</v>
      </c>
      <c r="AG26" s="58">
        <f t="shared" ref="AG26" si="7">AG24-AG25</f>
        <v>615</v>
      </c>
      <c r="AH26" s="62">
        <f>AH24-AH25</f>
        <v>195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52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56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4" zoomScale="78" zoomScaleNormal="78" workbookViewId="0">
      <selection activeCell="AA20" sqref="AA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45102</v>
      </c>
      <c r="B20" s="168" t="s">
        <v>37</v>
      </c>
      <c r="C20" s="30" t="s">
        <v>38</v>
      </c>
      <c r="D20" s="86">
        <v>45000</v>
      </c>
      <c r="E20" s="38">
        <f t="shared" ref="E20" si="0">D20/200*25</f>
        <v>5625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49125</v>
      </c>
      <c r="U20" s="34">
        <f>T20/215*25</f>
        <v>5712.2093023255811</v>
      </c>
      <c r="V20" s="33" t="e">
        <f>#REF!</f>
        <v>#REF!</v>
      </c>
      <c r="W20" s="33">
        <v>46125</v>
      </c>
      <c r="X20" s="33" t="e">
        <f>#REF!</f>
        <v>#REF!</v>
      </c>
      <c r="Y20" s="35">
        <v>50843.5</v>
      </c>
      <c r="Z20" s="31">
        <v>4550</v>
      </c>
      <c r="AA20" s="31">
        <v>100</v>
      </c>
      <c r="AB20" s="33">
        <v>743</v>
      </c>
      <c r="AC20" s="31">
        <v>14610</v>
      </c>
      <c r="AD20" s="33">
        <v>22320</v>
      </c>
      <c r="AE20" s="33">
        <v>1840</v>
      </c>
      <c r="AF20" s="33">
        <v>24360</v>
      </c>
      <c r="AG20" s="31">
        <v>315</v>
      </c>
      <c r="AH20" s="36">
        <v>145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f>20171+107</f>
        <v>20278</v>
      </c>
      <c r="E21" s="38">
        <f>D21/200*25</f>
        <v>2534.75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f>65+224</f>
        <v>289</v>
      </c>
      <c r="Q21" s="32">
        <f>P21/38*25</f>
        <v>190.13157894736844</v>
      </c>
      <c r="R21" s="38">
        <v>0</v>
      </c>
      <c r="S21" s="32">
        <f>R21/135*25</f>
        <v>0</v>
      </c>
      <c r="T21" s="38">
        <v>20111</v>
      </c>
      <c r="U21" s="32">
        <f>T21/215*25</f>
        <v>2338.4883720930234</v>
      </c>
      <c r="V21" s="34"/>
      <c r="W21" s="34">
        <v>12539</v>
      </c>
      <c r="X21" s="34">
        <v>0</v>
      </c>
      <c r="Y21" s="32">
        <f>3250.34+4119.56</f>
        <v>7369.9000000000005</v>
      </c>
      <c r="Z21" s="38">
        <v>3380</v>
      </c>
      <c r="AA21" s="38">
        <v>26</v>
      </c>
      <c r="AB21" s="34">
        <v>368</v>
      </c>
      <c r="AC21" s="38">
        <f>18366+232</f>
        <v>18598</v>
      </c>
      <c r="AD21" s="34">
        <f>41669+7621</f>
        <v>49290</v>
      </c>
      <c r="AE21" s="34">
        <v>2905</v>
      </c>
      <c r="AF21" s="34">
        <f>9380+108</f>
        <v>9488</v>
      </c>
      <c r="AG21" s="38">
        <v>300</v>
      </c>
      <c r="AH21" s="39">
        <v>50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65278</v>
      </c>
      <c r="E22" s="84">
        <f t="shared" si="1"/>
        <v>8159.75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289</v>
      </c>
      <c r="Q22" s="43">
        <f t="shared" si="1"/>
        <v>190.13157894736844</v>
      </c>
      <c r="R22" s="42">
        <f t="shared" si="1"/>
        <v>0</v>
      </c>
      <c r="S22" s="43">
        <f t="shared" si="1"/>
        <v>0</v>
      </c>
      <c r="T22" s="42">
        <f t="shared" si="1"/>
        <v>69236</v>
      </c>
      <c r="U22" s="43">
        <f t="shared" si="1"/>
        <v>8050.6976744186049</v>
      </c>
      <c r="V22" s="44" t="e">
        <f t="shared" si="1"/>
        <v>#REF!</v>
      </c>
      <c r="W22" s="44">
        <f t="shared" si="1"/>
        <v>58664</v>
      </c>
      <c r="X22" s="44" t="e">
        <f t="shared" si="1"/>
        <v>#REF!</v>
      </c>
      <c r="Y22" s="43">
        <f>SUM(Y20:Y21)</f>
        <v>58213.4</v>
      </c>
      <c r="Z22" s="42">
        <f t="shared" si="1"/>
        <v>7930</v>
      </c>
      <c r="AA22" s="42">
        <f>SUM(AA20:AA21)</f>
        <v>126</v>
      </c>
      <c r="AB22" s="44">
        <f t="shared" si="1"/>
        <v>1111</v>
      </c>
      <c r="AC22" s="42">
        <f>SUM(AC20:AC21)</f>
        <v>33208</v>
      </c>
      <c r="AD22" s="44">
        <f>SUM(AD20:AD21)</f>
        <v>71610</v>
      </c>
      <c r="AE22" s="44">
        <f t="shared" si="1"/>
        <v>4745</v>
      </c>
      <c r="AF22" s="44">
        <f t="shared" si="1"/>
        <v>33848</v>
      </c>
      <c r="AG22" s="42">
        <f t="shared" si="1"/>
        <v>615</v>
      </c>
      <c r="AH22" s="46">
        <f>SUM(AH20:AH21)</f>
        <v>195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65278</v>
      </c>
      <c r="E24" s="51">
        <f t="shared" si="2"/>
        <v>8159.75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289</v>
      </c>
      <c r="Q24" s="52">
        <f t="shared" si="2"/>
        <v>190.13157894736844</v>
      </c>
      <c r="R24" s="51">
        <f t="shared" si="2"/>
        <v>0</v>
      </c>
      <c r="S24" s="51">
        <f t="shared" si="2"/>
        <v>0</v>
      </c>
      <c r="T24" s="51">
        <f t="shared" si="2"/>
        <v>69236</v>
      </c>
      <c r="U24" s="52">
        <f t="shared" si="2"/>
        <v>8050.6976744186049</v>
      </c>
      <c r="V24" s="51" t="e">
        <f t="shared" si="2"/>
        <v>#REF!</v>
      </c>
      <c r="W24" s="51">
        <f t="shared" si="2"/>
        <v>58664</v>
      </c>
      <c r="X24" s="51" t="e">
        <f t="shared" si="2"/>
        <v>#REF!</v>
      </c>
      <c r="Y24" s="52">
        <f t="shared" si="2"/>
        <v>58213.4</v>
      </c>
      <c r="Z24" s="51">
        <f t="shared" si="2"/>
        <v>7930</v>
      </c>
      <c r="AA24" s="51">
        <f t="shared" si="2"/>
        <v>126</v>
      </c>
      <c r="AB24" s="51">
        <f t="shared" si="2"/>
        <v>1111</v>
      </c>
      <c r="AC24" s="51">
        <f t="shared" si="2"/>
        <v>33208</v>
      </c>
      <c r="AD24" s="51">
        <f t="shared" si="2"/>
        <v>71610</v>
      </c>
      <c r="AE24" s="51">
        <f t="shared" si="2"/>
        <v>4745</v>
      </c>
      <c r="AF24" s="51">
        <f t="shared" si="2"/>
        <v>33848</v>
      </c>
      <c r="AG24" s="51">
        <f t="shared" si="2"/>
        <v>615</v>
      </c>
      <c r="AH24" s="53">
        <f t="shared" si="2"/>
        <v>195</v>
      </c>
    </row>
    <row r="25" spans="1:36" ht="75.75" customHeight="1" x14ac:dyDescent="0.3">
      <c r="A25" s="158" t="s">
        <v>44</v>
      </c>
      <c r="B25" s="159"/>
      <c r="C25" s="160"/>
      <c r="D25" s="85">
        <v>6514</v>
      </c>
      <c r="E25" s="85">
        <f>D25/200*25</f>
        <v>814.25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10</v>
      </c>
      <c r="Q25" s="32">
        <f>P25/38*25</f>
        <v>6.5789473684210522</v>
      </c>
      <c r="R25" s="38">
        <v>0</v>
      </c>
      <c r="S25" s="32">
        <f>R25/135*25</f>
        <v>0</v>
      </c>
      <c r="T25" s="38">
        <v>15483</v>
      </c>
      <c r="U25" s="32">
        <f>T25/215*25</f>
        <v>1800.3488372093025</v>
      </c>
      <c r="V25" s="47" t="s">
        <v>40</v>
      </c>
      <c r="W25" s="54">
        <v>8174</v>
      </c>
      <c r="X25" s="47"/>
      <c r="Y25" s="55">
        <f>Z25*2.43</f>
        <v>3730.05</v>
      </c>
      <c r="Z25" s="38">
        <v>1535</v>
      </c>
      <c r="AA25" s="38">
        <v>2</v>
      </c>
      <c r="AB25" s="47">
        <v>0</v>
      </c>
      <c r="AC25" s="38">
        <v>9018</v>
      </c>
      <c r="AD25" s="47">
        <v>3257</v>
      </c>
      <c r="AE25" s="47">
        <v>0</v>
      </c>
      <c r="AF25" s="47">
        <f>4122+910</f>
        <v>5032</v>
      </c>
      <c r="AG25" s="38">
        <v>0</v>
      </c>
      <c r="AH25" s="56">
        <v>6</v>
      </c>
    </row>
    <row r="26" spans="1:36" s="4" customFormat="1" ht="100.5" customHeight="1" thickBot="1" x14ac:dyDescent="0.25">
      <c r="A26" s="57">
        <v>45108</v>
      </c>
      <c r="B26" s="161" t="s">
        <v>45</v>
      </c>
      <c r="C26" s="162"/>
      <c r="D26" s="58">
        <f>D24-D25</f>
        <v>58764</v>
      </c>
      <c r="E26" s="58">
        <f t="shared" ref="E26:AA26" si="3">E24-E25</f>
        <v>7345.5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279</v>
      </c>
      <c r="Q26" s="59">
        <f t="shared" si="5"/>
        <v>183.5526315789474</v>
      </c>
      <c r="R26" s="58">
        <f>R24-R25</f>
        <v>0</v>
      </c>
      <c r="S26" s="59">
        <f t="shared" ref="S26" si="6">S24-S25</f>
        <v>0</v>
      </c>
      <c r="T26" s="58">
        <f>T24-T25</f>
        <v>53753</v>
      </c>
      <c r="U26" s="59">
        <f t="shared" si="3"/>
        <v>6250.3488372093025</v>
      </c>
      <c r="V26" s="60" t="e">
        <f t="shared" si="3"/>
        <v>#REF!</v>
      </c>
      <c r="W26" s="60">
        <f t="shared" si="3"/>
        <v>50490</v>
      </c>
      <c r="X26" s="60" t="e">
        <f t="shared" si="3"/>
        <v>#REF!</v>
      </c>
      <c r="Y26" s="61">
        <f>Y24-Y25</f>
        <v>54483.35</v>
      </c>
      <c r="Z26" s="58">
        <f>Z24-Z25</f>
        <v>6395</v>
      </c>
      <c r="AA26" s="58">
        <f t="shared" si="3"/>
        <v>124</v>
      </c>
      <c r="AB26" s="60">
        <f>AB24-AB25</f>
        <v>1111</v>
      </c>
      <c r="AC26" s="58">
        <f>AC24-AC25</f>
        <v>24190</v>
      </c>
      <c r="AD26" s="60">
        <f>AD24-AD25</f>
        <v>68353</v>
      </c>
      <c r="AE26" s="60">
        <f>AE24-AE25</f>
        <v>4745</v>
      </c>
      <c r="AF26" s="60">
        <f>AF24-AF25</f>
        <v>28816</v>
      </c>
      <c r="AG26" s="58">
        <f t="shared" ref="AG26" si="7">AG24-AG25</f>
        <v>615</v>
      </c>
      <c r="AH26" s="62">
        <f>AH24-AH25</f>
        <v>189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52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56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AC26" sqref="AC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45109</v>
      </c>
      <c r="B20" s="168" t="s">
        <v>37</v>
      </c>
      <c r="C20" s="30" t="s">
        <v>38</v>
      </c>
      <c r="D20" s="86">
        <v>45000</v>
      </c>
      <c r="E20" s="38">
        <f t="shared" ref="E20" si="0">D20/200*25</f>
        <v>5625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49125</v>
      </c>
      <c r="U20" s="34">
        <f>T20/215*25</f>
        <v>5712.2093023255811</v>
      </c>
      <c r="V20" s="33" t="e">
        <f>#REF!</f>
        <v>#REF!</v>
      </c>
      <c r="W20" s="33">
        <v>46125</v>
      </c>
      <c r="X20" s="33" t="e">
        <f>#REF!</f>
        <v>#REF!</v>
      </c>
      <c r="Y20" s="35">
        <v>50843.5</v>
      </c>
      <c r="Z20" s="31">
        <v>4550</v>
      </c>
      <c r="AA20" s="31">
        <v>100</v>
      </c>
      <c r="AB20" s="33">
        <v>743</v>
      </c>
      <c r="AC20" s="31">
        <v>14610</v>
      </c>
      <c r="AD20" s="33">
        <v>22320</v>
      </c>
      <c r="AE20" s="33">
        <v>1840</v>
      </c>
      <c r="AF20" s="33">
        <v>24360</v>
      </c>
      <c r="AG20" s="31">
        <v>315</v>
      </c>
      <c r="AH20" s="36">
        <v>145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13764</v>
      </c>
      <c r="E21" s="38">
        <f>D21/200*25</f>
        <v>1720.4999999999998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289</v>
      </c>
      <c r="Q21" s="32">
        <f>P21/38*25</f>
        <v>190.13157894736844</v>
      </c>
      <c r="R21" s="38">
        <v>0</v>
      </c>
      <c r="S21" s="32">
        <f>R21/135*25</f>
        <v>0</v>
      </c>
      <c r="T21" s="38">
        <v>4628</v>
      </c>
      <c r="U21" s="32">
        <f>T21/215*25</f>
        <v>538.1395348837209</v>
      </c>
      <c r="V21" s="34"/>
      <c r="W21" s="34">
        <v>4365</v>
      </c>
      <c r="X21" s="34">
        <v>0</v>
      </c>
      <c r="Y21" s="32">
        <v>3639.8500000000004</v>
      </c>
      <c r="Z21" s="38">
        <v>1845</v>
      </c>
      <c r="AA21" s="38">
        <v>26</v>
      </c>
      <c r="AB21" s="34">
        <v>368</v>
      </c>
      <c r="AC21" s="38">
        <v>9580</v>
      </c>
      <c r="AD21" s="34">
        <v>46033</v>
      </c>
      <c r="AE21" s="34">
        <v>2905</v>
      </c>
      <c r="AF21" s="34">
        <v>4456</v>
      </c>
      <c r="AG21" s="38">
        <v>300</v>
      </c>
      <c r="AH21" s="39">
        <v>44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58764</v>
      </c>
      <c r="E22" s="84">
        <f t="shared" si="1"/>
        <v>7345.5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289</v>
      </c>
      <c r="Q22" s="43">
        <f t="shared" si="1"/>
        <v>190.13157894736844</v>
      </c>
      <c r="R22" s="42">
        <f t="shared" si="1"/>
        <v>0</v>
      </c>
      <c r="S22" s="43">
        <f t="shared" si="1"/>
        <v>0</v>
      </c>
      <c r="T22" s="42">
        <f t="shared" si="1"/>
        <v>53753</v>
      </c>
      <c r="U22" s="43">
        <f t="shared" si="1"/>
        <v>6250.3488372093016</v>
      </c>
      <c r="V22" s="44" t="e">
        <f t="shared" si="1"/>
        <v>#REF!</v>
      </c>
      <c r="W22" s="44">
        <f t="shared" si="1"/>
        <v>50490</v>
      </c>
      <c r="X22" s="44" t="e">
        <f t="shared" si="1"/>
        <v>#REF!</v>
      </c>
      <c r="Y22" s="43">
        <f>SUM(Y20:Y21)</f>
        <v>54483.35</v>
      </c>
      <c r="Z22" s="42">
        <f t="shared" si="1"/>
        <v>6395</v>
      </c>
      <c r="AA22" s="42">
        <f>SUM(AA20:AA21)</f>
        <v>126</v>
      </c>
      <c r="AB22" s="44">
        <f t="shared" si="1"/>
        <v>1111</v>
      </c>
      <c r="AC22" s="42">
        <f>SUM(AC20:AC21)</f>
        <v>24190</v>
      </c>
      <c r="AD22" s="44">
        <f>SUM(AD20:AD21)</f>
        <v>68353</v>
      </c>
      <c r="AE22" s="44">
        <f t="shared" si="1"/>
        <v>4745</v>
      </c>
      <c r="AF22" s="44">
        <f t="shared" si="1"/>
        <v>28816</v>
      </c>
      <c r="AG22" s="42">
        <f t="shared" si="1"/>
        <v>615</v>
      </c>
      <c r="AH22" s="46">
        <f>SUM(AH20:AH21)</f>
        <v>189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75*200</f>
        <v>15000</v>
      </c>
      <c r="E23" s="38">
        <f>D23/200*25</f>
        <v>1875</v>
      </c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f>600*25</f>
        <v>15000</v>
      </c>
      <c r="X23" s="31"/>
      <c r="Y23" s="31">
        <v>7000</v>
      </c>
      <c r="Z23" s="31">
        <v>2000</v>
      </c>
      <c r="AA23" s="31"/>
      <c r="AB23" s="31"/>
      <c r="AC23" s="31">
        <v>8500</v>
      </c>
      <c r="AD23" s="31">
        <v>8640</v>
      </c>
      <c r="AE23" s="31"/>
      <c r="AF23" s="48">
        <v>8500</v>
      </c>
      <c r="AG23" s="31">
        <v>0</v>
      </c>
      <c r="AH23" s="49">
        <v>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73764</v>
      </c>
      <c r="E24" s="51">
        <f t="shared" si="2"/>
        <v>9220.5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289</v>
      </c>
      <c r="Q24" s="52">
        <f t="shared" si="2"/>
        <v>190.13157894736844</v>
      </c>
      <c r="R24" s="51">
        <f t="shared" si="2"/>
        <v>0</v>
      </c>
      <c r="S24" s="51">
        <f t="shared" si="2"/>
        <v>0</v>
      </c>
      <c r="T24" s="51">
        <f t="shared" si="2"/>
        <v>69878</v>
      </c>
      <c r="U24" s="52">
        <f t="shared" si="2"/>
        <v>8125.3488372093016</v>
      </c>
      <c r="V24" s="51" t="e">
        <f t="shared" si="2"/>
        <v>#REF!</v>
      </c>
      <c r="W24" s="51">
        <f t="shared" si="2"/>
        <v>65490</v>
      </c>
      <c r="X24" s="51" t="e">
        <f t="shared" si="2"/>
        <v>#REF!</v>
      </c>
      <c r="Y24" s="52">
        <f t="shared" si="2"/>
        <v>61483.35</v>
      </c>
      <c r="Z24" s="51">
        <f t="shared" si="2"/>
        <v>8395</v>
      </c>
      <c r="AA24" s="51">
        <f t="shared" si="2"/>
        <v>126</v>
      </c>
      <c r="AB24" s="51">
        <f t="shared" si="2"/>
        <v>1111</v>
      </c>
      <c r="AC24" s="51">
        <f t="shared" si="2"/>
        <v>32690</v>
      </c>
      <c r="AD24" s="51">
        <f t="shared" si="2"/>
        <v>76993</v>
      </c>
      <c r="AE24" s="51">
        <f t="shared" si="2"/>
        <v>4745</v>
      </c>
      <c r="AF24" s="51">
        <f t="shared" si="2"/>
        <v>37316</v>
      </c>
      <c r="AG24" s="51">
        <f t="shared" si="2"/>
        <v>615</v>
      </c>
      <c r="AH24" s="53">
        <f t="shared" si="2"/>
        <v>189</v>
      </c>
    </row>
    <row r="25" spans="1:36" ht="75.75" customHeight="1" x14ac:dyDescent="0.3">
      <c r="A25" s="158" t="s">
        <v>44</v>
      </c>
      <c r="B25" s="159"/>
      <c r="C25" s="160"/>
      <c r="D25" s="85">
        <v>6043</v>
      </c>
      <c r="E25" s="85">
        <f>D25/200*25</f>
        <v>755.375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32</v>
      </c>
      <c r="Q25" s="32">
        <f>P25/38*25</f>
        <v>21.052631578947366</v>
      </c>
      <c r="R25" s="38">
        <v>0</v>
      </c>
      <c r="S25" s="32">
        <f>R25/135*25</f>
        <v>0</v>
      </c>
      <c r="T25" s="38">
        <v>18860</v>
      </c>
      <c r="U25" s="32">
        <f>T25/215*25</f>
        <v>2193.0232558139537</v>
      </c>
      <c r="V25" s="47" t="s">
        <v>40</v>
      </c>
      <c r="W25" s="54">
        <v>9494</v>
      </c>
      <c r="X25" s="47"/>
      <c r="Y25" s="55">
        <f>Z25*2.43</f>
        <v>4315.68</v>
      </c>
      <c r="Z25" s="38">
        <v>1776</v>
      </c>
      <c r="AA25" s="38">
        <v>3</v>
      </c>
      <c r="AB25" s="47">
        <v>0</v>
      </c>
      <c r="AC25" s="38">
        <f>7929</f>
        <v>7929</v>
      </c>
      <c r="AD25" s="47">
        <v>6137</v>
      </c>
      <c r="AE25" s="47">
        <v>0</v>
      </c>
      <c r="AF25" s="47">
        <f>3784+2169</f>
        <v>5953</v>
      </c>
      <c r="AG25" s="38">
        <v>0</v>
      </c>
      <c r="AH25" s="56">
        <v>6</v>
      </c>
    </row>
    <row r="26" spans="1:36" s="4" customFormat="1" ht="100.5" customHeight="1" thickBot="1" x14ac:dyDescent="0.25">
      <c r="A26" s="57">
        <v>45115</v>
      </c>
      <c r="B26" s="161" t="s">
        <v>45</v>
      </c>
      <c r="C26" s="162"/>
      <c r="D26" s="58">
        <f>D24-D25</f>
        <v>67721</v>
      </c>
      <c r="E26" s="58">
        <f t="shared" ref="E26:AA26" si="3">E24-E25</f>
        <v>8465.125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257</v>
      </c>
      <c r="Q26" s="59">
        <f t="shared" si="5"/>
        <v>169.07894736842107</v>
      </c>
      <c r="R26" s="58">
        <f>R24-R25</f>
        <v>0</v>
      </c>
      <c r="S26" s="59">
        <f t="shared" ref="S26" si="6">S24-S25</f>
        <v>0</v>
      </c>
      <c r="T26" s="58">
        <f>T24-T25</f>
        <v>51018</v>
      </c>
      <c r="U26" s="59">
        <f t="shared" si="3"/>
        <v>5932.3255813953474</v>
      </c>
      <c r="V26" s="60" t="e">
        <f t="shared" si="3"/>
        <v>#REF!</v>
      </c>
      <c r="W26" s="60">
        <f t="shared" si="3"/>
        <v>55996</v>
      </c>
      <c r="X26" s="60" t="e">
        <f t="shared" si="3"/>
        <v>#REF!</v>
      </c>
      <c r="Y26" s="61">
        <f>Y24-Y25</f>
        <v>57167.67</v>
      </c>
      <c r="Z26" s="58">
        <f>Z24-Z25</f>
        <v>6619</v>
      </c>
      <c r="AA26" s="58">
        <f t="shared" si="3"/>
        <v>123</v>
      </c>
      <c r="AB26" s="60">
        <f>AB24-AB25</f>
        <v>1111</v>
      </c>
      <c r="AC26" s="58">
        <f>AC24-AC25</f>
        <v>24761</v>
      </c>
      <c r="AD26" s="60">
        <f>AD24-AD25</f>
        <v>70856</v>
      </c>
      <c r="AE26" s="60">
        <f>AE24-AE25</f>
        <v>4745</v>
      </c>
      <c r="AF26" s="60">
        <f>AF24-AF25</f>
        <v>31363</v>
      </c>
      <c r="AG26" s="58">
        <f t="shared" ref="AG26" si="7">AG24-AG25</f>
        <v>615</v>
      </c>
      <c r="AH26" s="62">
        <f>AH24-AH25</f>
        <v>183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52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56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9" zoomScale="78" zoomScaleNormal="78" workbookViewId="0">
      <selection activeCell="W31" sqref="W31:W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45116</v>
      </c>
      <c r="B20" s="168" t="s">
        <v>37</v>
      </c>
      <c r="C20" s="30" t="s">
        <v>38</v>
      </c>
      <c r="D20" s="86">
        <v>43000</v>
      </c>
      <c r="E20" s="38">
        <f t="shared" ref="E20" si="0">D20/200*25</f>
        <v>5375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44825</v>
      </c>
      <c r="U20" s="34">
        <f>T20/215*25</f>
        <v>5212.2093023255811</v>
      </c>
      <c r="V20" s="33" t="e">
        <f>#REF!</f>
        <v>#REF!</v>
      </c>
      <c r="W20" s="33">
        <v>45000</v>
      </c>
      <c r="X20" s="33" t="e">
        <f>#REF!</f>
        <v>#REF!</v>
      </c>
      <c r="Y20" s="35">
        <v>50067.5</v>
      </c>
      <c r="Z20" s="31">
        <v>3350</v>
      </c>
      <c r="AA20" s="31">
        <v>100</v>
      </c>
      <c r="AB20" s="33">
        <v>743</v>
      </c>
      <c r="AC20" s="31">
        <v>17110</v>
      </c>
      <c r="AD20" s="33">
        <v>14040</v>
      </c>
      <c r="AE20" s="33">
        <v>1840</v>
      </c>
      <c r="AF20" s="33">
        <v>20460</v>
      </c>
      <c r="AG20" s="31">
        <v>315</v>
      </c>
      <c r="AH20" s="36">
        <v>145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24721</v>
      </c>
      <c r="E21" s="38">
        <f>D21/200*25</f>
        <v>3090.125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257</v>
      </c>
      <c r="Q21" s="32">
        <f>P21/38*25</f>
        <v>169.07894736842107</v>
      </c>
      <c r="R21" s="38">
        <v>0</v>
      </c>
      <c r="S21" s="32">
        <f>R21/135*25</f>
        <v>0</v>
      </c>
      <c r="T21" s="38">
        <v>6193</v>
      </c>
      <c r="U21" s="32">
        <f>T21/215*25</f>
        <v>720.11627906976742</v>
      </c>
      <c r="V21" s="34"/>
      <c r="W21" s="34">
        <v>10996</v>
      </c>
      <c r="X21" s="34">
        <v>0</v>
      </c>
      <c r="Y21" s="32">
        <v>7100.17</v>
      </c>
      <c r="Z21" s="38">
        <v>3269</v>
      </c>
      <c r="AA21" s="38">
        <v>23</v>
      </c>
      <c r="AB21" s="34">
        <v>368</v>
      </c>
      <c r="AC21" s="38">
        <v>7651</v>
      </c>
      <c r="AD21" s="34">
        <v>56816</v>
      </c>
      <c r="AE21" s="34">
        <v>2905</v>
      </c>
      <c r="AF21" s="34">
        <v>10903</v>
      </c>
      <c r="AG21" s="38">
        <v>300</v>
      </c>
      <c r="AH21" s="39">
        <v>38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67721</v>
      </c>
      <c r="E22" s="84">
        <f t="shared" si="1"/>
        <v>8465.125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257</v>
      </c>
      <c r="Q22" s="43">
        <f t="shared" si="1"/>
        <v>169.07894736842107</v>
      </c>
      <c r="R22" s="42">
        <f t="shared" si="1"/>
        <v>0</v>
      </c>
      <c r="S22" s="43">
        <f t="shared" si="1"/>
        <v>0</v>
      </c>
      <c r="T22" s="42">
        <f t="shared" si="1"/>
        <v>51018</v>
      </c>
      <c r="U22" s="43">
        <f t="shared" si="1"/>
        <v>5932.3255813953483</v>
      </c>
      <c r="V22" s="44" t="e">
        <f t="shared" si="1"/>
        <v>#REF!</v>
      </c>
      <c r="W22" s="44">
        <f t="shared" si="1"/>
        <v>55996</v>
      </c>
      <c r="X22" s="44" t="e">
        <f t="shared" si="1"/>
        <v>#REF!</v>
      </c>
      <c r="Y22" s="43">
        <f>SUM(Y20:Y21)</f>
        <v>57167.67</v>
      </c>
      <c r="Z22" s="42">
        <f t="shared" si="1"/>
        <v>6619</v>
      </c>
      <c r="AA22" s="42">
        <f>SUM(AA20:AA21)</f>
        <v>123</v>
      </c>
      <c r="AB22" s="44">
        <f t="shared" si="1"/>
        <v>1111</v>
      </c>
      <c r="AC22" s="42">
        <f>SUM(AC20:AC21)</f>
        <v>24761</v>
      </c>
      <c r="AD22" s="44">
        <f>SUM(AD20:AD21)</f>
        <v>70856</v>
      </c>
      <c r="AE22" s="44">
        <f t="shared" si="1"/>
        <v>4745</v>
      </c>
      <c r="AF22" s="44">
        <f t="shared" si="1"/>
        <v>31363</v>
      </c>
      <c r="AG22" s="42">
        <f t="shared" si="1"/>
        <v>615</v>
      </c>
      <c r="AH22" s="46">
        <f>SUM(AH20:AH21)</f>
        <v>183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75*200</f>
        <v>15000</v>
      </c>
      <c r="E23" s="38">
        <f>D23/200*25</f>
        <v>1875</v>
      </c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f>600*25</f>
        <v>15000</v>
      </c>
      <c r="X23" s="31"/>
      <c r="Y23" s="31">
        <v>7000</v>
      </c>
      <c r="Z23" s="31">
        <v>2000</v>
      </c>
      <c r="AA23" s="31"/>
      <c r="AB23" s="31"/>
      <c r="AC23" s="31">
        <v>12000</v>
      </c>
      <c r="AD23" s="31">
        <v>11880</v>
      </c>
      <c r="AE23" s="31"/>
      <c r="AF23" s="48">
        <v>8500</v>
      </c>
      <c r="AG23" s="31">
        <v>0</v>
      </c>
      <c r="AH23" s="49">
        <v>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82721</v>
      </c>
      <c r="E24" s="51">
        <f t="shared" si="2"/>
        <v>10340.125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257</v>
      </c>
      <c r="Q24" s="52">
        <f t="shared" si="2"/>
        <v>169.07894736842107</v>
      </c>
      <c r="R24" s="51">
        <f t="shared" si="2"/>
        <v>0</v>
      </c>
      <c r="S24" s="51">
        <f t="shared" si="2"/>
        <v>0</v>
      </c>
      <c r="T24" s="51">
        <f t="shared" si="2"/>
        <v>67143</v>
      </c>
      <c r="U24" s="52">
        <f t="shared" si="2"/>
        <v>7807.3255813953483</v>
      </c>
      <c r="V24" s="51" t="e">
        <f t="shared" si="2"/>
        <v>#REF!</v>
      </c>
      <c r="W24" s="51">
        <f t="shared" si="2"/>
        <v>70996</v>
      </c>
      <c r="X24" s="51" t="e">
        <f t="shared" si="2"/>
        <v>#REF!</v>
      </c>
      <c r="Y24" s="52">
        <f t="shared" si="2"/>
        <v>64167.67</v>
      </c>
      <c r="Z24" s="51">
        <f t="shared" si="2"/>
        <v>8619</v>
      </c>
      <c r="AA24" s="51">
        <f t="shared" si="2"/>
        <v>123</v>
      </c>
      <c r="AB24" s="51">
        <f t="shared" si="2"/>
        <v>1111</v>
      </c>
      <c r="AC24" s="51">
        <f t="shared" si="2"/>
        <v>36761</v>
      </c>
      <c r="AD24" s="51">
        <f t="shared" si="2"/>
        <v>82736</v>
      </c>
      <c r="AE24" s="51">
        <f t="shared" si="2"/>
        <v>4745</v>
      </c>
      <c r="AF24" s="51">
        <f t="shared" si="2"/>
        <v>39863</v>
      </c>
      <c r="AG24" s="51">
        <f t="shared" si="2"/>
        <v>615</v>
      </c>
      <c r="AH24" s="53">
        <f t="shared" si="2"/>
        <v>183</v>
      </c>
    </row>
    <row r="25" spans="1:36" ht="75.75" customHeight="1" x14ac:dyDescent="0.3">
      <c r="A25" s="158" t="s">
        <v>44</v>
      </c>
      <c r="B25" s="159"/>
      <c r="C25" s="160"/>
      <c r="D25" s="85">
        <v>11679</v>
      </c>
      <c r="E25" s="85">
        <f>D25/200*25</f>
        <v>1459.875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42</v>
      </c>
      <c r="Q25" s="32">
        <f>P25/38*25</f>
        <v>27.631578947368425</v>
      </c>
      <c r="R25" s="38">
        <v>0</v>
      </c>
      <c r="S25" s="32">
        <f>R25/135*25</f>
        <v>0</v>
      </c>
      <c r="T25" s="38">
        <v>12667</v>
      </c>
      <c r="U25" s="32">
        <f>T25/215*25</f>
        <v>1472.9069767441861</v>
      </c>
      <c r="V25" s="47" t="s">
        <v>40</v>
      </c>
      <c r="W25" s="54">
        <v>9849</v>
      </c>
      <c r="X25" s="47"/>
      <c r="Y25" s="55">
        <f>Z25*2.43</f>
        <v>4342.41</v>
      </c>
      <c r="Z25" s="38">
        <v>1787</v>
      </c>
      <c r="AA25" s="38">
        <v>2</v>
      </c>
      <c r="AB25" s="47"/>
      <c r="AC25" s="38">
        <v>6921</v>
      </c>
      <c r="AD25" s="47">
        <v>7459</v>
      </c>
      <c r="AE25" s="47">
        <v>0</v>
      </c>
      <c r="AF25" s="47">
        <f>2792+3070</f>
        <v>5862</v>
      </c>
      <c r="AG25" s="38"/>
      <c r="AH25" s="56">
        <v>0</v>
      </c>
    </row>
    <row r="26" spans="1:36" s="4" customFormat="1" ht="100.5" customHeight="1" thickBot="1" x14ac:dyDescent="0.25">
      <c r="A26" s="57">
        <v>45122</v>
      </c>
      <c r="B26" s="161" t="s">
        <v>45</v>
      </c>
      <c r="C26" s="162"/>
      <c r="D26" s="58">
        <f>D24-D25</f>
        <v>71042</v>
      </c>
      <c r="E26" s="58">
        <f t="shared" ref="E26:AA26" si="3">E24-E25</f>
        <v>8880.25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215</v>
      </c>
      <c r="Q26" s="59">
        <f t="shared" si="5"/>
        <v>141.44736842105266</v>
      </c>
      <c r="R26" s="58">
        <f>R24-R25</f>
        <v>0</v>
      </c>
      <c r="S26" s="59">
        <f t="shared" ref="S26" si="6">S24-S25</f>
        <v>0</v>
      </c>
      <c r="T26" s="58">
        <f>T24-T25</f>
        <v>54476</v>
      </c>
      <c r="U26" s="59">
        <f t="shared" si="3"/>
        <v>6334.4186046511622</v>
      </c>
      <c r="V26" s="60" t="e">
        <f t="shared" si="3"/>
        <v>#REF!</v>
      </c>
      <c r="W26" s="60">
        <f t="shared" si="3"/>
        <v>61147</v>
      </c>
      <c r="X26" s="60" t="e">
        <f t="shared" si="3"/>
        <v>#REF!</v>
      </c>
      <c r="Y26" s="61">
        <f>Y24-Y25</f>
        <v>59825.259999999995</v>
      </c>
      <c r="Z26" s="58">
        <f>Z24-Z25</f>
        <v>6832</v>
      </c>
      <c r="AA26" s="58">
        <f t="shared" si="3"/>
        <v>121</v>
      </c>
      <c r="AB26" s="60">
        <f>AB24-AB25</f>
        <v>1111</v>
      </c>
      <c r="AC26" s="58">
        <f>AC24-AC25</f>
        <v>29840</v>
      </c>
      <c r="AD26" s="60">
        <f>AD24-AD25</f>
        <v>75277</v>
      </c>
      <c r="AE26" s="60">
        <f>AE24-AE25</f>
        <v>4745</v>
      </c>
      <c r="AF26" s="60">
        <f>AF24-AF25</f>
        <v>34001</v>
      </c>
      <c r="AG26" s="58">
        <f t="shared" ref="AG26" si="7">AG24-AG25</f>
        <v>615</v>
      </c>
      <c r="AH26" s="62">
        <f>AH24-AH25</f>
        <v>183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52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56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AH26" sqref="AH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45123</v>
      </c>
      <c r="B20" s="168" t="s">
        <v>37</v>
      </c>
      <c r="C20" s="30" t="s">
        <v>38</v>
      </c>
      <c r="D20" s="86">
        <v>53000</v>
      </c>
      <c r="E20" s="38">
        <f t="shared" ref="E20" si="0">D20/200*25</f>
        <v>6625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42050</v>
      </c>
      <c r="U20" s="34">
        <f>T20/215*25</f>
        <v>4889.5348837209303</v>
      </c>
      <c r="V20" s="33" t="e">
        <f>#REF!</f>
        <v>#REF!</v>
      </c>
      <c r="W20" s="33">
        <v>50750</v>
      </c>
      <c r="X20" s="33" t="e">
        <f>#REF!</f>
        <v>#REF!</v>
      </c>
      <c r="Y20" s="35">
        <v>54273</v>
      </c>
      <c r="Z20" s="31">
        <v>4200</v>
      </c>
      <c r="AA20" s="31">
        <v>100</v>
      </c>
      <c r="AB20" s="33">
        <v>743</v>
      </c>
      <c r="AC20" s="31">
        <v>22360</v>
      </c>
      <c r="AD20" s="33">
        <v>22680</v>
      </c>
      <c r="AE20" s="33">
        <v>1840</v>
      </c>
      <c r="AF20" s="33">
        <v>26160</v>
      </c>
      <c r="AG20" s="31">
        <v>315</v>
      </c>
      <c r="AH20" s="36">
        <v>145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18042</v>
      </c>
      <c r="E21" s="38">
        <f>D21/200*25</f>
        <v>2255.25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215</v>
      </c>
      <c r="Q21" s="32">
        <f>P21/38*25</f>
        <v>141.44736842105263</v>
      </c>
      <c r="R21" s="38">
        <v>0</v>
      </c>
      <c r="S21" s="32">
        <f>R21/135*25</f>
        <v>0</v>
      </c>
      <c r="T21" s="38">
        <v>12426</v>
      </c>
      <c r="U21" s="32">
        <f>T21/215*25</f>
        <v>1444.8837209302326</v>
      </c>
      <c r="V21" s="34"/>
      <c r="W21" s="34">
        <v>10397</v>
      </c>
      <c r="X21" s="34">
        <v>0</v>
      </c>
      <c r="Y21" s="32">
        <v>5552.2600000000011</v>
      </c>
      <c r="Z21" s="38">
        <v>2632</v>
      </c>
      <c r="AA21" s="38">
        <v>21</v>
      </c>
      <c r="AB21" s="34">
        <v>368</v>
      </c>
      <c r="AC21" s="38">
        <v>7480</v>
      </c>
      <c r="AD21" s="34">
        <v>52597</v>
      </c>
      <c r="AE21" s="34">
        <v>2905</v>
      </c>
      <c r="AF21" s="34">
        <v>7841</v>
      </c>
      <c r="AG21" s="38">
        <v>300</v>
      </c>
      <c r="AH21" s="39">
        <v>38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71042</v>
      </c>
      <c r="E22" s="84">
        <f t="shared" si="1"/>
        <v>8880.25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215</v>
      </c>
      <c r="Q22" s="43">
        <f t="shared" si="1"/>
        <v>141.44736842105263</v>
      </c>
      <c r="R22" s="42">
        <f t="shared" si="1"/>
        <v>0</v>
      </c>
      <c r="S22" s="43">
        <f t="shared" si="1"/>
        <v>0</v>
      </c>
      <c r="T22" s="42">
        <f t="shared" si="1"/>
        <v>54476</v>
      </c>
      <c r="U22" s="43">
        <f t="shared" si="1"/>
        <v>6334.4186046511632</v>
      </c>
      <c r="V22" s="44" t="e">
        <f t="shared" si="1"/>
        <v>#REF!</v>
      </c>
      <c r="W22" s="44">
        <f t="shared" si="1"/>
        <v>61147</v>
      </c>
      <c r="X22" s="44" t="e">
        <f t="shared" si="1"/>
        <v>#REF!</v>
      </c>
      <c r="Y22" s="43">
        <f>SUM(Y20:Y21)</f>
        <v>59825.26</v>
      </c>
      <c r="Z22" s="42">
        <f t="shared" si="1"/>
        <v>6832</v>
      </c>
      <c r="AA22" s="42">
        <f>SUM(AA20:AA21)</f>
        <v>121</v>
      </c>
      <c r="AB22" s="44">
        <f t="shared" si="1"/>
        <v>1111</v>
      </c>
      <c r="AC22" s="42">
        <f>SUM(AC20:AC21)</f>
        <v>29840</v>
      </c>
      <c r="AD22" s="44">
        <f>SUM(AD20:AD21)</f>
        <v>75277</v>
      </c>
      <c r="AE22" s="44">
        <f t="shared" si="1"/>
        <v>4745</v>
      </c>
      <c r="AF22" s="44">
        <f t="shared" si="1"/>
        <v>34001</v>
      </c>
      <c r="AG22" s="42">
        <f t="shared" si="1"/>
        <v>615</v>
      </c>
      <c r="AH22" s="46">
        <f>SUM(AH20:AH21)</f>
        <v>183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71042</v>
      </c>
      <c r="E24" s="51">
        <f t="shared" si="2"/>
        <v>8880.25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215</v>
      </c>
      <c r="Q24" s="52">
        <f t="shared" si="2"/>
        <v>141.44736842105263</v>
      </c>
      <c r="R24" s="51">
        <f t="shared" si="2"/>
        <v>0</v>
      </c>
      <c r="S24" s="51">
        <f t="shared" si="2"/>
        <v>0</v>
      </c>
      <c r="T24" s="51">
        <f t="shared" si="2"/>
        <v>54476</v>
      </c>
      <c r="U24" s="52">
        <f t="shared" si="2"/>
        <v>6334.4186046511632</v>
      </c>
      <c r="V24" s="51" t="e">
        <f t="shared" si="2"/>
        <v>#REF!</v>
      </c>
      <c r="W24" s="51">
        <f t="shared" si="2"/>
        <v>61147</v>
      </c>
      <c r="X24" s="51" t="e">
        <f t="shared" si="2"/>
        <v>#REF!</v>
      </c>
      <c r="Y24" s="52">
        <f t="shared" si="2"/>
        <v>59825.26</v>
      </c>
      <c r="Z24" s="51">
        <f t="shared" si="2"/>
        <v>6832</v>
      </c>
      <c r="AA24" s="51">
        <f t="shared" si="2"/>
        <v>121</v>
      </c>
      <c r="AB24" s="51">
        <f t="shared" si="2"/>
        <v>1111</v>
      </c>
      <c r="AC24" s="51">
        <f t="shared" si="2"/>
        <v>29840</v>
      </c>
      <c r="AD24" s="51">
        <f t="shared" si="2"/>
        <v>75277</v>
      </c>
      <c r="AE24" s="51">
        <f t="shared" si="2"/>
        <v>4745</v>
      </c>
      <c r="AF24" s="51">
        <f t="shared" si="2"/>
        <v>34001</v>
      </c>
      <c r="AG24" s="51">
        <f t="shared" si="2"/>
        <v>615</v>
      </c>
      <c r="AH24" s="53">
        <f t="shared" si="2"/>
        <v>183</v>
      </c>
    </row>
    <row r="25" spans="1:36" ht="75.75" customHeight="1" x14ac:dyDescent="0.3">
      <c r="A25" s="158" t="s">
        <v>44</v>
      </c>
      <c r="B25" s="159"/>
      <c r="C25" s="160"/>
      <c r="D25" s="85">
        <v>12386</v>
      </c>
      <c r="E25" s="85">
        <f>D25/200*25</f>
        <v>1548.25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25</v>
      </c>
      <c r="Q25" s="32">
        <f>P25/38*25</f>
        <v>16.447368421052634</v>
      </c>
      <c r="R25" s="38">
        <v>0</v>
      </c>
      <c r="S25" s="32">
        <f>R25/135*25</f>
        <v>0</v>
      </c>
      <c r="T25" s="38">
        <v>9747</v>
      </c>
      <c r="U25" s="32">
        <f>T25/215*25</f>
        <v>1133.372093023256</v>
      </c>
      <c r="V25" s="47" t="s">
        <v>40</v>
      </c>
      <c r="W25" s="54">
        <v>9286</v>
      </c>
      <c r="X25" s="47"/>
      <c r="Y25" s="55">
        <f>Z25*2.43</f>
        <v>3681.4500000000003</v>
      </c>
      <c r="Z25" s="38">
        <v>1515</v>
      </c>
      <c r="AA25" s="38">
        <v>1</v>
      </c>
      <c r="AB25" s="47"/>
      <c r="AC25" s="38">
        <v>5930</v>
      </c>
      <c r="AD25" s="47">
        <v>7662</v>
      </c>
      <c r="AE25" s="47">
        <v>0</v>
      </c>
      <c r="AF25" s="47">
        <f>3606+1876</f>
        <v>5482</v>
      </c>
      <c r="AG25" s="38">
        <v>150</v>
      </c>
      <c r="AH25" s="56">
        <v>4</v>
      </c>
    </row>
    <row r="26" spans="1:36" s="4" customFormat="1" ht="100.5" customHeight="1" thickBot="1" x14ac:dyDescent="0.25">
      <c r="A26" s="57">
        <v>45129</v>
      </c>
      <c r="B26" s="161" t="s">
        <v>45</v>
      </c>
      <c r="C26" s="162"/>
      <c r="D26" s="58">
        <f>D24-D25</f>
        <v>58656</v>
      </c>
      <c r="E26" s="58">
        <f t="shared" ref="E26:AA26" si="3">E24-E25</f>
        <v>7332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190</v>
      </c>
      <c r="Q26" s="59">
        <f t="shared" si="5"/>
        <v>125</v>
      </c>
      <c r="R26" s="58">
        <f>R24-R25</f>
        <v>0</v>
      </c>
      <c r="S26" s="59">
        <f t="shared" ref="S26" si="6">S24-S25</f>
        <v>0</v>
      </c>
      <c r="T26" s="58">
        <f>T24-T25</f>
        <v>44729</v>
      </c>
      <c r="U26" s="59">
        <f t="shared" si="3"/>
        <v>5201.0465116279074</v>
      </c>
      <c r="V26" s="60" t="e">
        <f t="shared" si="3"/>
        <v>#REF!</v>
      </c>
      <c r="W26" s="60">
        <f t="shared" si="3"/>
        <v>51861</v>
      </c>
      <c r="X26" s="60" t="e">
        <f t="shared" si="3"/>
        <v>#REF!</v>
      </c>
      <c r="Y26" s="61">
        <f>Y24-Y25</f>
        <v>56143.810000000005</v>
      </c>
      <c r="Z26" s="58">
        <f>Z24-Z25</f>
        <v>5317</v>
      </c>
      <c r="AA26" s="58">
        <f t="shared" si="3"/>
        <v>120</v>
      </c>
      <c r="AB26" s="60">
        <f>AB24-AB25</f>
        <v>1111</v>
      </c>
      <c r="AC26" s="58">
        <f>AC24-AC25</f>
        <v>23910</v>
      </c>
      <c r="AD26" s="60">
        <f>AD24-AD25</f>
        <v>67615</v>
      </c>
      <c r="AE26" s="60">
        <f>AE24-AE25</f>
        <v>4745</v>
      </c>
      <c r="AF26" s="60">
        <f>AF24-AF25</f>
        <v>28519</v>
      </c>
      <c r="AG26" s="58">
        <f t="shared" ref="AG26" si="7">AG24-AG25</f>
        <v>465</v>
      </c>
      <c r="AH26" s="62">
        <f>AH24-AH25</f>
        <v>179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52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56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W31" sqref="W31:W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99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45130</v>
      </c>
      <c r="B20" s="168" t="s">
        <v>37</v>
      </c>
      <c r="C20" s="30" t="s">
        <v>38</v>
      </c>
      <c r="D20" s="86">
        <v>38000</v>
      </c>
      <c r="E20" s="38">
        <f t="shared" ref="E20" si="0">D20/200*25</f>
        <v>4750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27000</v>
      </c>
      <c r="U20" s="34">
        <f>T20/215*25</f>
        <v>3139.5348837209303</v>
      </c>
      <c r="V20" s="33" t="e">
        <f>#REF!</f>
        <v>#REF!</v>
      </c>
      <c r="W20" s="33">
        <v>41125</v>
      </c>
      <c r="X20" s="33" t="e">
        <f>#REF!</f>
        <v>#REF!</v>
      </c>
      <c r="Y20" s="35">
        <v>48562.5</v>
      </c>
      <c r="Z20" s="31">
        <v>1850</v>
      </c>
      <c r="AA20" s="31">
        <v>100</v>
      </c>
      <c r="AB20" s="33">
        <v>743</v>
      </c>
      <c r="AC20" s="31">
        <v>18410</v>
      </c>
      <c r="AD20" s="33">
        <v>20520</v>
      </c>
      <c r="AE20" s="33">
        <v>1840</v>
      </c>
      <c r="AF20" s="33">
        <v>17660</v>
      </c>
      <c r="AG20" s="31">
        <v>315</v>
      </c>
      <c r="AH20" s="36">
        <v>145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20656</v>
      </c>
      <c r="E21" s="38">
        <f>D21/200*25</f>
        <v>2582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190</v>
      </c>
      <c r="Q21" s="32">
        <f>P21/38*25</f>
        <v>125</v>
      </c>
      <c r="R21" s="38">
        <v>0</v>
      </c>
      <c r="S21" s="32">
        <f>R21/135*25</f>
        <v>0</v>
      </c>
      <c r="T21" s="38">
        <v>17729</v>
      </c>
      <c r="U21" s="32">
        <f>T21/215*25</f>
        <v>2061.5116279069766</v>
      </c>
      <c r="V21" s="34"/>
      <c r="W21" s="34">
        <v>10736</v>
      </c>
      <c r="X21" s="34">
        <v>0</v>
      </c>
      <c r="Y21" s="32">
        <v>7581.3100000000013</v>
      </c>
      <c r="Z21" s="38">
        <v>3467</v>
      </c>
      <c r="AA21" s="38">
        <v>20</v>
      </c>
      <c r="AB21" s="34">
        <v>368</v>
      </c>
      <c r="AC21" s="38">
        <v>5500</v>
      </c>
      <c r="AD21" s="34">
        <v>47095</v>
      </c>
      <c r="AE21" s="34">
        <v>2905</v>
      </c>
      <c r="AF21" s="34">
        <v>10859</v>
      </c>
      <c r="AG21" s="38">
        <v>150</v>
      </c>
      <c r="AH21" s="39">
        <v>34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58656</v>
      </c>
      <c r="E22" s="84">
        <f t="shared" si="1"/>
        <v>7332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190</v>
      </c>
      <c r="Q22" s="43">
        <f t="shared" si="1"/>
        <v>125</v>
      </c>
      <c r="R22" s="42">
        <f t="shared" si="1"/>
        <v>0</v>
      </c>
      <c r="S22" s="43">
        <f t="shared" si="1"/>
        <v>0</v>
      </c>
      <c r="T22" s="42">
        <f t="shared" si="1"/>
        <v>44729</v>
      </c>
      <c r="U22" s="43">
        <f t="shared" si="1"/>
        <v>5201.0465116279065</v>
      </c>
      <c r="V22" s="44" t="e">
        <f t="shared" si="1"/>
        <v>#REF!</v>
      </c>
      <c r="W22" s="44">
        <f t="shared" si="1"/>
        <v>51861</v>
      </c>
      <c r="X22" s="44" t="e">
        <f t="shared" si="1"/>
        <v>#REF!</v>
      </c>
      <c r="Y22" s="43">
        <f>SUM(Y20:Y21)</f>
        <v>56143.81</v>
      </c>
      <c r="Z22" s="42">
        <f t="shared" si="1"/>
        <v>5317</v>
      </c>
      <c r="AA22" s="42">
        <f>SUM(AA20:AA21)</f>
        <v>120</v>
      </c>
      <c r="AB22" s="44">
        <f t="shared" si="1"/>
        <v>1111</v>
      </c>
      <c r="AC22" s="42">
        <f>SUM(AC20:AC21)</f>
        <v>23910</v>
      </c>
      <c r="AD22" s="44">
        <f>SUM(AD20:AD21)</f>
        <v>67615</v>
      </c>
      <c r="AE22" s="44">
        <f t="shared" si="1"/>
        <v>4745</v>
      </c>
      <c r="AF22" s="44">
        <f t="shared" si="1"/>
        <v>28519</v>
      </c>
      <c r="AG22" s="42">
        <f t="shared" si="1"/>
        <v>465</v>
      </c>
      <c r="AH22" s="46">
        <f>SUM(AH20:AH21)</f>
        <v>179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75*200</f>
        <v>15000</v>
      </c>
      <c r="E23" s="38">
        <f>D23/200*25</f>
        <v>1875</v>
      </c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f>600*25</f>
        <v>15000</v>
      </c>
      <c r="X23" s="31"/>
      <c r="Y23" s="31">
        <v>7000</v>
      </c>
      <c r="Z23" s="31">
        <v>3000</v>
      </c>
      <c r="AA23" s="31"/>
      <c r="AB23" s="31"/>
      <c r="AC23" s="31">
        <v>11500</v>
      </c>
      <c r="AD23" s="31">
        <v>11520</v>
      </c>
      <c r="AE23" s="31"/>
      <c r="AF23" s="48">
        <v>18000</v>
      </c>
      <c r="AG23" s="31">
        <v>900</v>
      </c>
      <c r="AH23" s="49">
        <v>100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73656</v>
      </c>
      <c r="E24" s="51">
        <f t="shared" si="2"/>
        <v>9207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190</v>
      </c>
      <c r="Q24" s="52">
        <f t="shared" si="2"/>
        <v>125</v>
      </c>
      <c r="R24" s="51">
        <f t="shared" si="2"/>
        <v>0</v>
      </c>
      <c r="S24" s="51">
        <f t="shared" si="2"/>
        <v>0</v>
      </c>
      <c r="T24" s="51">
        <f t="shared" si="2"/>
        <v>60854</v>
      </c>
      <c r="U24" s="52">
        <f t="shared" si="2"/>
        <v>7076.0465116279065</v>
      </c>
      <c r="V24" s="51" t="e">
        <f t="shared" si="2"/>
        <v>#REF!</v>
      </c>
      <c r="W24" s="51">
        <f t="shared" si="2"/>
        <v>66861</v>
      </c>
      <c r="X24" s="51" t="e">
        <f t="shared" si="2"/>
        <v>#REF!</v>
      </c>
      <c r="Y24" s="52">
        <f t="shared" si="2"/>
        <v>63143.81</v>
      </c>
      <c r="Z24" s="51">
        <f t="shared" si="2"/>
        <v>8317</v>
      </c>
      <c r="AA24" s="51">
        <f t="shared" si="2"/>
        <v>120</v>
      </c>
      <c r="AB24" s="51">
        <f t="shared" si="2"/>
        <v>1111</v>
      </c>
      <c r="AC24" s="51">
        <f t="shared" si="2"/>
        <v>35410</v>
      </c>
      <c r="AD24" s="51">
        <f t="shared" si="2"/>
        <v>79135</v>
      </c>
      <c r="AE24" s="51">
        <f t="shared" si="2"/>
        <v>4745</v>
      </c>
      <c r="AF24" s="51">
        <f t="shared" si="2"/>
        <v>46519</v>
      </c>
      <c r="AG24" s="51">
        <f t="shared" si="2"/>
        <v>1365</v>
      </c>
      <c r="AH24" s="53">
        <f t="shared" si="2"/>
        <v>279</v>
      </c>
    </row>
    <row r="25" spans="1:36" ht="75.75" customHeight="1" x14ac:dyDescent="0.3">
      <c r="A25" s="158" t="s">
        <v>44</v>
      </c>
      <c r="B25" s="159"/>
      <c r="C25" s="160"/>
      <c r="D25" s="85">
        <v>14066</v>
      </c>
      <c r="E25" s="85">
        <f>D25/200*25</f>
        <v>1758.25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41</v>
      </c>
      <c r="Q25" s="32">
        <f>P25/38*25</f>
        <v>26.973684210526315</v>
      </c>
      <c r="R25" s="38">
        <v>0</v>
      </c>
      <c r="S25" s="32">
        <f>R25/135*25</f>
        <v>0</v>
      </c>
      <c r="T25" s="38">
        <v>8897</v>
      </c>
      <c r="U25" s="32">
        <f>T25/215*25</f>
        <v>1034.5348837209303</v>
      </c>
      <c r="V25" s="47" t="s">
        <v>40</v>
      </c>
      <c r="W25" s="54">
        <v>9789</v>
      </c>
      <c r="X25" s="47"/>
      <c r="Y25" s="55">
        <f>Z25*2.43</f>
        <v>4169.88</v>
      </c>
      <c r="Z25" s="38">
        <v>1716</v>
      </c>
      <c r="AA25" s="38">
        <v>9</v>
      </c>
      <c r="AB25" s="47"/>
      <c r="AC25" s="38">
        <v>6048</v>
      </c>
      <c r="AD25" s="47">
        <v>8154</v>
      </c>
      <c r="AE25" s="47">
        <v>0</v>
      </c>
      <c r="AF25" s="47">
        <f>5588+476</f>
        <v>6064</v>
      </c>
      <c r="AG25" s="38">
        <v>0</v>
      </c>
      <c r="AH25" s="56">
        <v>2</v>
      </c>
    </row>
    <row r="26" spans="1:36" s="4" customFormat="1" ht="100.5" customHeight="1" thickBot="1" x14ac:dyDescent="0.25">
      <c r="A26" s="57">
        <v>45136</v>
      </c>
      <c r="B26" s="161" t="s">
        <v>45</v>
      </c>
      <c r="C26" s="162"/>
      <c r="D26" s="58">
        <f>D24-D25</f>
        <v>59590</v>
      </c>
      <c r="E26" s="58">
        <f t="shared" ref="E26:AA26" si="3">E24-E25</f>
        <v>7448.75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149</v>
      </c>
      <c r="Q26" s="59">
        <f t="shared" si="5"/>
        <v>98.026315789473685</v>
      </c>
      <c r="R26" s="58">
        <f>R24-R25</f>
        <v>0</v>
      </c>
      <c r="S26" s="59">
        <f t="shared" ref="S26" si="6">S24-S25</f>
        <v>0</v>
      </c>
      <c r="T26" s="58">
        <f>T24-T25</f>
        <v>51957</v>
      </c>
      <c r="U26" s="59">
        <f t="shared" si="3"/>
        <v>6041.5116279069762</v>
      </c>
      <c r="V26" s="60" t="e">
        <f t="shared" si="3"/>
        <v>#REF!</v>
      </c>
      <c r="W26" s="60">
        <f t="shared" si="3"/>
        <v>57072</v>
      </c>
      <c r="X26" s="60" t="e">
        <f t="shared" si="3"/>
        <v>#REF!</v>
      </c>
      <c r="Y26" s="61">
        <f>Y24-Y25</f>
        <v>58973.93</v>
      </c>
      <c r="Z26" s="58">
        <f>Z24-Z25</f>
        <v>6601</v>
      </c>
      <c r="AA26" s="58">
        <f t="shared" si="3"/>
        <v>111</v>
      </c>
      <c r="AB26" s="60">
        <f>AB24-AB25</f>
        <v>1111</v>
      </c>
      <c r="AC26" s="58">
        <f>AC24-AC25</f>
        <v>29362</v>
      </c>
      <c r="AD26" s="60">
        <f>AD24-AD25</f>
        <v>70981</v>
      </c>
      <c r="AE26" s="60">
        <f>AE24-AE25</f>
        <v>4745</v>
      </c>
      <c r="AF26" s="60">
        <f>AF24-AF25</f>
        <v>40455</v>
      </c>
      <c r="AG26" s="58">
        <f t="shared" ref="AG26" si="7">AG24-AG25</f>
        <v>1365</v>
      </c>
      <c r="AH26" s="62">
        <f>AH24-AH25</f>
        <v>277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66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67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9" zoomScale="78" zoomScaleNormal="78" workbookViewId="0">
      <selection activeCell="W31" sqref="W31:W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9.285156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45137</v>
      </c>
      <c r="B20" s="168" t="s">
        <v>37</v>
      </c>
      <c r="C20" s="30" t="s">
        <v>38</v>
      </c>
      <c r="D20" s="86">
        <v>40000</v>
      </c>
      <c r="E20" s="38">
        <f t="shared" ref="E20" si="0">D20/200*25</f>
        <v>5000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33450</v>
      </c>
      <c r="U20" s="34">
        <f>T20/215*25</f>
        <v>3889.5348837209303</v>
      </c>
      <c r="V20" s="33" t="e">
        <f>#REF!</f>
        <v>#REF!</v>
      </c>
      <c r="W20" s="33">
        <v>50000</v>
      </c>
      <c r="X20" s="33" t="e">
        <f>#REF!</f>
        <v>#REF!</v>
      </c>
      <c r="Y20" s="35">
        <v>51553</v>
      </c>
      <c r="Z20" s="31">
        <v>3200</v>
      </c>
      <c r="AA20" s="31">
        <v>100</v>
      </c>
      <c r="AB20" s="33">
        <v>743</v>
      </c>
      <c r="AC20" s="31">
        <v>23910</v>
      </c>
      <c r="AD20" s="33">
        <v>24480</v>
      </c>
      <c r="AE20" s="33">
        <v>1840</v>
      </c>
      <c r="AF20" s="33">
        <v>28460</v>
      </c>
      <c r="AG20" s="31">
        <v>1215</v>
      </c>
      <c r="AH20" s="36">
        <v>245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19590</v>
      </c>
      <c r="E21" s="38">
        <f>D21/200*25</f>
        <v>2448.75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149</v>
      </c>
      <c r="Q21" s="32">
        <f>P21/38*25</f>
        <v>98.026315789473685</v>
      </c>
      <c r="R21" s="38">
        <v>0</v>
      </c>
      <c r="S21" s="32">
        <f>R21/135*25</f>
        <v>0</v>
      </c>
      <c r="T21" s="38">
        <v>18507</v>
      </c>
      <c r="U21" s="32">
        <f>T21/215*25</f>
        <v>2151.9767441860467</v>
      </c>
      <c r="V21" s="34"/>
      <c r="W21" s="34">
        <v>7072</v>
      </c>
      <c r="X21" s="34">
        <v>0</v>
      </c>
      <c r="Y21" s="32">
        <v>7420.9300000000021</v>
      </c>
      <c r="Z21" s="38">
        <v>3401</v>
      </c>
      <c r="AA21" s="38">
        <v>11</v>
      </c>
      <c r="AB21" s="34">
        <v>368</v>
      </c>
      <c r="AC21" s="38">
        <v>5452</v>
      </c>
      <c r="AD21" s="34">
        <v>46501</v>
      </c>
      <c r="AE21" s="34">
        <v>2905</v>
      </c>
      <c r="AF21" s="34">
        <v>11995</v>
      </c>
      <c r="AG21" s="38">
        <v>150</v>
      </c>
      <c r="AH21" s="39">
        <v>32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59590</v>
      </c>
      <c r="E22" s="84">
        <f t="shared" si="1"/>
        <v>7448.75</v>
      </c>
      <c r="F22" s="42">
        <f t="shared" si="1"/>
        <v>0</v>
      </c>
      <c r="G22" s="43">
        <f>SUM(G20:G21)</f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>SUM(P20:P21)</f>
        <v>149</v>
      </c>
      <c r="Q22" s="43">
        <f t="shared" si="1"/>
        <v>98.026315789473685</v>
      </c>
      <c r="R22" s="42">
        <f t="shared" si="1"/>
        <v>0</v>
      </c>
      <c r="S22" s="43">
        <f t="shared" si="1"/>
        <v>0</v>
      </c>
      <c r="T22" s="42">
        <f t="shared" si="1"/>
        <v>51957</v>
      </c>
      <c r="U22" s="43">
        <f t="shared" si="1"/>
        <v>6041.5116279069771</v>
      </c>
      <c r="V22" s="44" t="e">
        <f t="shared" si="1"/>
        <v>#REF!</v>
      </c>
      <c r="W22" s="44">
        <f t="shared" si="1"/>
        <v>57072</v>
      </c>
      <c r="X22" s="44" t="e">
        <f t="shared" si="1"/>
        <v>#REF!</v>
      </c>
      <c r="Y22" s="43">
        <f>SUM(Y20:Y21)</f>
        <v>58973.93</v>
      </c>
      <c r="Z22" s="42">
        <f t="shared" si="1"/>
        <v>6601</v>
      </c>
      <c r="AA22" s="42">
        <f>SUM(AA20:AA21)</f>
        <v>111</v>
      </c>
      <c r="AB22" s="44">
        <f t="shared" si="1"/>
        <v>1111</v>
      </c>
      <c r="AC22" s="42">
        <f>SUM(AC20:AC21)</f>
        <v>29362</v>
      </c>
      <c r="AD22" s="44">
        <f>SUM(AD20:AD21)</f>
        <v>70981</v>
      </c>
      <c r="AE22" s="44">
        <f t="shared" si="1"/>
        <v>4745</v>
      </c>
      <c r="AF22" s="44">
        <f t="shared" si="1"/>
        <v>40455</v>
      </c>
      <c r="AG22" s="42">
        <f t="shared" si="1"/>
        <v>1365</v>
      </c>
      <c r="AH22" s="46">
        <f>SUM(AH20:AH21)</f>
        <v>277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100*200</f>
        <v>20000</v>
      </c>
      <c r="E23" s="38">
        <f>D23/200*25</f>
        <v>2500</v>
      </c>
      <c r="F23" s="31"/>
      <c r="G23" s="38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100*215</f>
        <v>21500</v>
      </c>
      <c r="U23" s="32">
        <f>T23/215*25</f>
        <v>2500</v>
      </c>
      <c r="V23" s="31"/>
      <c r="W23" s="31">
        <v>15000</v>
      </c>
      <c r="X23" s="31"/>
      <c r="Y23" s="31">
        <v>7000</v>
      </c>
      <c r="Z23" s="31">
        <v>2000</v>
      </c>
      <c r="AA23" s="31">
        <v>100</v>
      </c>
      <c r="AB23" s="31"/>
      <c r="AC23" s="31">
        <v>7500</v>
      </c>
      <c r="AD23" s="31">
        <v>7560</v>
      </c>
      <c r="AE23" s="31"/>
      <c r="AF23" s="48">
        <v>9000</v>
      </c>
      <c r="AG23" s="31">
        <v>600</v>
      </c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79590</v>
      </c>
      <c r="E24" s="51">
        <f t="shared" si="2"/>
        <v>9948.75</v>
      </c>
      <c r="F24" s="51">
        <f t="shared" si="2"/>
        <v>0</v>
      </c>
      <c r="G24" s="51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149</v>
      </c>
      <c r="Q24" s="52">
        <f t="shared" si="2"/>
        <v>98.026315789473685</v>
      </c>
      <c r="R24" s="51">
        <f t="shared" si="2"/>
        <v>0</v>
      </c>
      <c r="S24" s="51">
        <f t="shared" si="2"/>
        <v>0</v>
      </c>
      <c r="T24" s="51">
        <f t="shared" si="2"/>
        <v>73457</v>
      </c>
      <c r="U24" s="52">
        <f t="shared" si="2"/>
        <v>8541.5116279069771</v>
      </c>
      <c r="V24" s="51" t="e">
        <f t="shared" si="2"/>
        <v>#REF!</v>
      </c>
      <c r="W24" s="51">
        <f t="shared" si="2"/>
        <v>72072</v>
      </c>
      <c r="X24" s="51" t="e">
        <f t="shared" si="2"/>
        <v>#REF!</v>
      </c>
      <c r="Y24" s="52">
        <f t="shared" si="2"/>
        <v>65973.929999999993</v>
      </c>
      <c r="Z24" s="51">
        <f t="shared" si="2"/>
        <v>8601</v>
      </c>
      <c r="AA24" s="51">
        <f t="shared" si="2"/>
        <v>211</v>
      </c>
      <c r="AB24" s="51">
        <f t="shared" si="2"/>
        <v>1111</v>
      </c>
      <c r="AC24" s="51">
        <f t="shared" si="2"/>
        <v>36862</v>
      </c>
      <c r="AD24" s="51">
        <f t="shared" si="2"/>
        <v>78541</v>
      </c>
      <c r="AE24" s="51">
        <f t="shared" si="2"/>
        <v>4745</v>
      </c>
      <c r="AF24" s="51">
        <f t="shared" si="2"/>
        <v>49455</v>
      </c>
      <c r="AG24" s="51">
        <f t="shared" si="2"/>
        <v>1965</v>
      </c>
      <c r="AH24" s="53">
        <f t="shared" si="2"/>
        <v>277</v>
      </c>
    </row>
    <row r="25" spans="1:36" ht="75.75" customHeight="1" x14ac:dyDescent="0.3">
      <c r="A25" s="158" t="s">
        <v>44</v>
      </c>
      <c r="B25" s="159"/>
      <c r="C25" s="160"/>
      <c r="D25" s="85">
        <v>12621</v>
      </c>
      <c r="E25" s="85">
        <f>D25/200*25</f>
        <v>1577.625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81</v>
      </c>
      <c r="Q25" s="32">
        <f>P25/38*25</f>
        <v>53.289473684210535</v>
      </c>
      <c r="R25" s="38">
        <v>0</v>
      </c>
      <c r="S25" s="32">
        <f>R25/135*25</f>
        <v>0</v>
      </c>
      <c r="T25" s="38">
        <v>5926</v>
      </c>
      <c r="U25" s="32">
        <f>T25/215*25</f>
        <v>689.06976744186045</v>
      </c>
      <c r="V25" s="47" t="s">
        <v>40</v>
      </c>
      <c r="W25" s="54">
        <v>7655</v>
      </c>
      <c r="X25" s="47"/>
      <c r="Y25" s="55">
        <f>Z25*2.43</f>
        <v>3768.9300000000003</v>
      </c>
      <c r="Z25" s="38">
        <v>1551</v>
      </c>
      <c r="AA25" s="38">
        <v>3</v>
      </c>
      <c r="AB25" s="47">
        <v>0</v>
      </c>
      <c r="AC25" s="38">
        <v>3698</v>
      </c>
      <c r="AD25" s="47">
        <v>7546</v>
      </c>
      <c r="AE25" s="47">
        <v>0</v>
      </c>
      <c r="AF25" s="47">
        <v>4868</v>
      </c>
      <c r="AG25" s="38">
        <v>0</v>
      </c>
      <c r="AH25" s="56">
        <v>4</v>
      </c>
    </row>
    <row r="26" spans="1:36" s="4" customFormat="1" ht="100.5" customHeight="1" thickBot="1" x14ac:dyDescent="0.25">
      <c r="A26" s="57">
        <v>45143</v>
      </c>
      <c r="B26" s="161" t="s">
        <v>45</v>
      </c>
      <c r="C26" s="162"/>
      <c r="D26" s="58">
        <f>D24-D25</f>
        <v>66969</v>
      </c>
      <c r="E26" s="58">
        <f t="shared" ref="E26:AA26" si="3">E24-E25</f>
        <v>8371.125</v>
      </c>
      <c r="F26" s="58">
        <f>F24-F25</f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68</v>
      </c>
      <c r="Q26" s="59">
        <f t="shared" si="5"/>
        <v>44.73684210526315</v>
      </c>
      <c r="R26" s="58">
        <f>R24-R25</f>
        <v>0</v>
      </c>
      <c r="S26" s="59">
        <f t="shared" ref="S26" si="6">S24-S25</f>
        <v>0</v>
      </c>
      <c r="T26" s="58">
        <f>T24-T25</f>
        <v>67531</v>
      </c>
      <c r="U26" s="59">
        <f t="shared" si="3"/>
        <v>7852.4418604651164</v>
      </c>
      <c r="V26" s="60" t="e">
        <f t="shared" si="3"/>
        <v>#REF!</v>
      </c>
      <c r="W26" s="60">
        <f t="shared" si="3"/>
        <v>64417</v>
      </c>
      <c r="X26" s="60" t="e">
        <f t="shared" si="3"/>
        <v>#REF!</v>
      </c>
      <c r="Y26" s="61">
        <f>Y24-Y25</f>
        <v>62204.999999999993</v>
      </c>
      <c r="Z26" s="58">
        <f>Z24-Z25</f>
        <v>7050</v>
      </c>
      <c r="AA26" s="58">
        <f t="shared" si="3"/>
        <v>208</v>
      </c>
      <c r="AB26" s="60">
        <f>AB24-AB25</f>
        <v>1111</v>
      </c>
      <c r="AC26" s="58">
        <f>AC24-AC25</f>
        <v>33164</v>
      </c>
      <c r="AD26" s="60">
        <f>AD24-AD25</f>
        <v>70995</v>
      </c>
      <c r="AE26" s="60">
        <f>AE24-AE25</f>
        <v>4745</v>
      </c>
      <c r="AF26" s="60">
        <f>AF24-AF25</f>
        <v>44587</v>
      </c>
      <c r="AG26" s="58">
        <f t="shared" ref="AG26" si="7">AG24-AG25</f>
        <v>1965</v>
      </c>
      <c r="AH26" s="62">
        <f>AH24-AH25</f>
        <v>273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W29" s="64" t="s">
        <v>48</v>
      </c>
      <c r="AB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V30" s="69"/>
      <c r="W30" s="69"/>
      <c r="X30" s="69"/>
      <c r="AB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W31" s="70" t="s">
        <v>52</v>
      </c>
      <c r="AB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V32" s="72"/>
      <c r="W32" s="65" t="s">
        <v>56</v>
      </c>
      <c r="X32" s="72" t="s">
        <v>57</v>
      </c>
      <c r="AB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8" zoomScaleNormal="78" workbookViewId="0">
      <selection activeCell="B20" sqref="B20:B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11.425781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45144</v>
      </c>
      <c r="B20" s="168" t="s">
        <v>37</v>
      </c>
      <c r="C20" s="30" t="s">
        <v>38</v>
      </c>
      <c r="D20" s="86">
        <f>38200-10200</f>
        <v>28000</v>
      </c>
      <c r="E20" s="38">
        <f t="shared" ref="E20" si="0">D20/200*25</f>
        <v>3500</v>
      </c>
      <c r="F20" s="31"/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f>59985-21500</f>
        <v>38485</v>
      </c>
      <c r="U20" s="34">
        <f>T20/215*25</f>
        <v>4475</v>
      </c>
      <c r="V20" s="33" t="e">
        <f>#REF!</f>
        <v>#REF!</v>
      </c>
      <c r="W20" s="33">
        <f>54500-15000</f>
        <v>39500</v>
      </c>
      <c r="X20" s="33" t="e">
        <f>#REF!</f>
        <v>#REF!</v>
      </c>
      <c r="Y20" s="35">
        <f>54343.1-7000</f>
        <v>47343.1</v>
      </c>
      <c r="Z20" s="31">
        <v>4200</v>
      </c>
      <c r="AA20" s="31">
        <v>200</v>
      </c>
      <c r="AB20" s="33">
        <f>264+879</f>
        <v>1143</v>
      </c>
      <c r="AC20" s="31">
        <f>17432-7000</f>
        <v>10432</v>
      </c>
      <c r="AD20" s="33">
        <f>29160-7200</f>
        <v>21960</v>
      </c>
      <c r="AE20" s="33">
        <v>1840</v>
      </c>
      <c r="AF20" s="33">
        <f>8100+11000+1060-2700</f>
        <v>17460</v>
      </c>
      <c r="AG20" s="31">
        <v>1365</v>
      </c>
      <c r="AH20" s="36">
        <v>174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f>21785+17184</f>
        <v>38969</v>
      </c>
      <c r="E21" s="38">
        <f>D21/200*25</f>
        <v>4871.125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68</v>
      </c>
      <c r="Q21" s="32">
        <f>P21/38*25</f>
        <v>44.736842105263158</v>
      </c>
      <c r="R21" s="38">
        <v>0</v>
      </c>
      <c r="S21" s="32">
        <f>R21/135*25</f>
        <v>0</v>
      </c>
      <c r="T21" s="38">
        <f>19031+10015</f>
        <v>29046</v>
      </c>
      <c r="U21" s="32">
        <f>T21/215*25</f>
        <v>3377.441860465116</v>
      </c>
      <c r="V21" s="34"/>
      <c r="W21" s="34">
        <f>8917+16000</f>
        <v>24917</v>
      </c>
      <c r="X21" s="34">
        <v>0</v>
      </c>
      <c r="Y21" s="32">
        <f>8147.5+6714</f>
        <v>14861.5</v>
      </c>
      <c r="Z21" s="38">
        <v>3700</v>
      </c>
      <c r="AA21" s="38">
        <v>8</v>
      </c>
      <c r="AB21" s="34">
        <v>0</v>
      </c>
      <c r="AC21" s="38">
        <f>5504+17228</f>
        <v>22732</v>
      </c>
      <c r="AD21" s="34">
        <f>43635+5400</f>
        <v>49035</v>
      </c>
      <c r="AE21" s="34">
        <v>2905</v>
      </c>
      <c r="AF21" s="34">
        <f>12527+14600</f>
        <v>27127</v>
      </c>
      <c r="AG21" s="38">
        <v>600</v>
      </c>
      <c r="AH21" s="39">
        <f>28+71</f>
        <v>99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66969</v>
      </c>
      <c r="E22" s="84">
        <f t="shared" si="1"/>
        <v>8371.125</v>
      </c>
      <c r="F22" s="42">
        <f t="shared" si="1"/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68</v>
      </c>
      <c r="Q22" s="43">
        <f t="shared" si="1"/>
        <v>44.736842105263158</v>
      </c>
      <c r="R22" s="42">
        <f t="shared" si="1"/>
        <v>0</v>
      </c>
      <c r="S22" s="43">
        <f t="shared" si="1"/>
        <v>0</v>
      </c>
      <c r="T22" s="42">
        <f t="shared" si="1"/>
        <v>67531</v>
      </c>
      <c r="U22" s="43">
        <f t="shared" si="1"/>
        <v>7852.4418604651164</v>
      </c>
      <c r="V22" s="44" t="e">
        <f t="shared" si="1"/>
        <v>#REF!</v>
      </c>
      <c r="W22" s="44">
        <f t="shared" si="1"/>
        <v>64417</v>
      </c>
      <c r="X22" s="44" t="e">
        <f t="shared" si="1"/>
        <v>#REF!</v>
      </c>
      <c r="Y22" s="43">
        <f t="shared" si="1"/>
        <v>62204.6</v>
      </c>
      <c r="Z22" s="42">
        <f t="shared" si="1"/>
        <v>7900</v>
      </c>
      <c r="AA22" s="42">
        <f t="shared" si="1"/>
        <v>208</v>
      </c>
      <c r="AB22" s="44">
        <f t="shared" si="1"/>
        <v>1143</v>
      </c>
      <c r="AC22" s="42">
        <f t="shared" si="1"/>
        <v>33164</v>
      </c>
      <c r="AD22" s="44">
        <f t="shared" si="1"/>
        <v>70995</v>
      </c>
      <c r="AE22" s="44">
        <f t="shared" si="1"/>
        <v>4745</v>
      </c>
      <c r="AF22" s="44">
        <f t="shared" si="1"/>
        <v>44587</v>
      </c>
      <c r="AG22" s="42">
        <f t="shared" si="1"/>
        <v>1965</v>
      </c>
      <c r="AH22" s="46">
        <f t="shared" si="1"/>
        <v>273</v>
      </c>
      <c r="AI22" s="63"/>
    </row>
    <row r="23" spans="1:36" ht="48" customHeight="1" x14ac:dyDescent="0.3">
      <c r="A23" s="171" t="s">
        <v>42</v>
      </c>
      <c r="B23" s="172"/>
      <c r="C23" s="173"/>
      <c r="D23" s="31">
        <f>51*200</f>
        <v>10200</v>
      </c>
      <c r="E23" s="38">
        <f>D23/200*25</f>
        <v>1275</v>
      </c>
      <c r="F23" s="31">
        <f>49*208</f>
        <v>10192</v>
      </c>
      <c r="G23" s="32">
        <f>F23/208*25</f>
        <v>1225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100*215</f>
        <v>21500</v>
      </c>
      <c r="U23" s="32">
        <f>T23/215*25</f>
        <v>2500</v>
      </c>
      <c r="V23" s="31"/>
      <c r="W23" s="31">
        <v>15000</v>
      </c>
      <c r="X23" s="31"/>
      <c r="Y23" s="31">
        <v>7000</v>
      </c>
      <c r="Z23" s="31">
        <v>2000</v>
      </c>
      <c r="AA23" s="31">
        <v>0</v>
      </c>
      <c r="AB23" s="31"/>
      <c r="AC23" s="31">
        <v>7000</v>
      </c>
      <c r="AD23" s="31">
        <v>7200</v>
      </c>
      <c r="AE23" s="31"/>
      <c r="AF23" s="48">
        <v>2700</v>
      </c>
      <c r="AG23" s="31">
        <v>0</v>
      </c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77169</v>
      </c>
      <c r="E24" s="51">
        <f t="shared" si="2"/>
        <v>9646.125</v>
      </c>
      <c r="F24" s="51">
        <f t="shared" si="2"/>
        <v>10192</v>
      </c>
      <c r="G24" s="51">
        <f t="shared" si="2"/>
        <v>1225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68</v>
      </c>
      <c r="Q24" s="52">
        <f t="shared" si="2"/>
        <v>44.736842105263158</v>
      </c>
      <c r="R24" s="51">
        <f t="shared" si="2"/>
        <v>0</v>
      </c>
      <c r="S24" s="51">
        <f t="shared" si="2"/>
        <v>0</v>
      </c>
      <c r="T24" s="51">
        <f t="shared" si="2"/>
        <v>89031</v>
      </c>
      <c r="U24" s="52">
        <f t="shared" si="2"/>
        <v>10352.441860465116</v>
      </c>
      <c r="V24" s="51" t="e">
        <f t="shared" si="2"/>
        <v>#REF!</v>
      </c>
      <c r="W24" s="51">
        <f t="shared" si="2"/>
        <v>79417</v>
      </c>
      <c r="X24" s="51" t="e">
        <f t="shared" si="2"/>
        <v>#REF!</v>
      </c>
      <c r="Y24" s="52">
        <f t="shared" si="2"/>
        <v>69204.600000000006</v>
      </c>
      <c r="Z24" s="51">
        <f t="shared" si="2"/>
        <v>9900</v>
      </c>
      <c r="AA24" s="51">
        <f t="shared" si="2"/>
        <v>208</v>
      </c>
      <c r="AB24" s="51">
        <f t="shared" si="2"/>
        <v>1143</v>
      </c>
      <c r="AC24" s="51">
        <f t="shared" si="2"/>
        <v>40164</v>
      </c>
      <c r="AD24" s="51">
        <f t="shared" si="2"/>
        <v>78195</v>
      </c>
      <c r="AE24" s="51">
        <f t="shared" si="2"/>
        <v>4745</v>
      </c>
      <c r="AF24" s="51">
        <f t="shared" si="2"/>
        <v>47287</v>
      </c>
      <c r="AG24" s="51">
        <f t="shared" si="2"/>
        <v>1965</v>
      </c>
      <c r="AH24" s="53">
        <f t="shared" si="2"/>
        <v>273</v>
      </c>
    </row>
    <row r="25" spans="1:36" ht="75.75" customHeight="1" x14ac:dyDescent="0.3">
      <c r="A25" s="158" t="s">
        <v>44</v>
      </c>
      <c r="B25" s="159"/>
      <c r="C25" s="160"/>
      <c r="D25" s="85">
        <v>12169</v>
      </c>
      <c r="E25" s="85">
        <f>D25/200*25</f>
        <v>1521.125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4</v>
      </c>
      <c r="Q25" s="32">
        <f>P25/38*25</f>
        <v>2.6315789473684208</v>
      </c>
      <c r="R25" s="38">
        <v>0</v>
      </c>
      <c r="S25" s="32">
        <f>R25/135*25</f>
        <v>0</v>
      </c>
      <c r="T25" s="38">
        <v>9089</v>
      </c>
      <c r="U25" s="32">
        <f>T25/215*25</f>
        <v>1056.8604651162791</v>
      </c>
      <c r="V25" s="47" t="s">
        <v>40</v>
      </c>
      <c r="W25" s="54">
        <v>8061</v>
      </c>
      <c r="X25" s="47"/>
      <c r="Y25" s="55">
        <f>Z25*2.43</f>
        <v>3681.4500000000003</v>
      </c>
      <c r="Z25" s="38">
        <v>1515</v>
      </c>
      <c r="AA25" s="38">
        <v>7</v>
      </c>
      <c r="AB25" s="47">
        <v>0</v>
      </c>
      <c r="AC25" s="38">
        <v>5537</v>
      </c>
      <c r="AD25" s="47">
        <v>6837</v>
      </c>
      <c r="AE25" s="47">
        <v>0</v>
      </c>
      <c r="AF25" s="47">
        <v>5125</v>
      </c>
      <c r="AG25" s="38">
        <v>0</v>
      </c>
      <c r="AH25" s="56">
        <v>6</v>
      </c>
    </row>
    <row r="26" spans="1:36" s="4" customFormat="1" ht="100.5" customHeight="1" thickBot="1" x14ac:dyDescent="0.25">
      <c r="A26" s="57">
        <v>45150</v>
      </c>
      <c r="B26" s="161" t="s">
        <v>45</v>
      </c>
      <c r="C26" s="162"/>
      <c r="D26" s="58">
        <f>D24-D25</f>
        <v>65000</v>
      </c>
      <c r="E26" s="58">
        <f t="shared" ref="E26:AA26" si="3">E24-E25</f>
        <v>8125</v>
      </c>
      <c r="F26" s="58">
        <f>F24-F25</f>
        <v>10192</v>
      </c>
      <c r="G26" s="58">
        <f t="shared" si="3"/>
        <v>1225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64</v>
      </c>
      <c r="Q26" s="59">
        <f t="shared" si="5"/>
        <v>42.10526315789474</v>
      </c>
      <c r="R26" s="58">
        <f>R24-R25</f>
        <v>0</v>
      </c>
      <c r="S26" s="59">
        <f t="shared" ref="S26" si="6">S24-S25</f>
        <v>0</v>
      </c>
      <c r="T26" s="58">
        <f>T24-T25</f>
        <v>79942</v>
      </c>
      <c r="U26" s="59">
        <f t="shared" si="3"/>
        <v>9295.5813953488378</v>
      </c>
      <c r="V26" s="60" t="e">
        <f t="shared" si="3"/>
        <v>#REF!</v>
      </c>
      <c r="W26" s="60">
        <f t="shared" si="3"/>
        <v>71356</v>
      </c>
      <c r="X26" s="60" t="e">
        <f t="shared" si="3"/>
        <v>#REF!</v>
      </c>
      <c r="Y26" s="61">
        <f>Y24-Y25</f>
        <v>65523.150000000009</v>
      </c>
      <c r="Z26" s="58">
        <f>Z24-Z25</f>
        <v>8385</v>
      </c>
      <c r="AA26" s="58">
        <f t="shared" si="3"/>
        <v>201</v>
      </c>
      <c r="AB26" s="60">
        <f>AB24-AB25</f>
        <v>1143</v>
      </c>
      <c r="AC26" s="58">
        <f>AC24-AC25</f>
        <v>34627</v>
      </c>
      <c r="AD26" s="60">
        <f>AD24-AD25</f>
        <v>71358</v>
      </c>
      <c r="AE26" s="60">
        <f>AE24-AE25</f>
        <v>4745</v>
      </c>
      <c r="AF26" s="60">
        <f>AF24-AF25</f>
        <v>42162</v>
      </c>
      <c r="AG26" s="58">
        <f t="shared" ref="AG26" si="7">AG24-AG25</f>
        <v>1965</v>
      </c>
      <c r="AH26" s="62">
        <f>AH24-AH25</f>
        <v>267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W26" sqref="W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11.425781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45151</v>
      </c>
      <c r="B20" s="168" t="s">
        <v>37</v>
      </c>
      <c r="C20" s="30" t="s">
        <v>38</v>
      </c>
      <c r="D20" s="86">
        <v>22200</v>
      </c>
      <c r="E20" s="38">
        <f t="shared" ref="E20" si="0">D20/200*25</f>
        <v>2775</v>
      </c>
      <c r="F20" s="31">
        <v>10192</v>
      </c>
      <c r="G20" s="32">
        <f>F20/208*25</f>
        <v>1225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55685</v>
      </c>
      <c r="U20" s="34">
        <f>T20/215*25</f>
        <v>6475</v>
      </c>
      <c r="V20" s="33" t="e">
        <f>#REF!</f>
        <v>#REF!</v>
      </c>
      <c r="W20" s="33">
        <v>46000</v>
      </c>
      <c r="X20" s="33" t="e">
        <f>#REF!</f>
        <v>#REF!</v>
      </c>
      <c r="Y20" s="35">
        <v>50941.1</v>
      </c>
      <c r="Z20" s="31">
        <v>4800</v>
      </c>
      <c r="AA20" s="31">
        <v>200</v>
      </c>
      <c r="AB20" s="33">
        <f>264+879</f>
        <v>1143</v>
      </c>
      <c r="AC20" s="31">
        <v>9932</v>
      </c>
      <c r="AD20" s="33">
        <v>16920</v>
      </c>
      <c r="AE20" s="33">
        <v>1840</v>
      </c>
      <c r="AF20" s="33">
        <v>17460</v>
      </c>
      <c r="AG20" s="31">
        <v>1365</v>
      </c>
      <c r="AH20" s="36">
        <v>174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42800</v>
      </c>
      <c r="E21" s="38">
        <f>D21/200*25</f>
        <v>5350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64</v>
      </c>
      <c r="Q21" s="32">
        <f>P21/38*25</f>
        <v>42.105263157894733</v>
      </c>
      <c r="R21" s="38">
        <v>0</v>
      </c>
      <c r="S21" s="32">
        <f>R21/135*25</f>
        <v>0</v>
      </c>
      <c r="T21" s="38">
        <v>24257</v>
      </c>
      <c r="U21" s="32">
        <f>T21/215*25</f>
        <v>2820.5813953488373</v>
      </c>
      <c r="V21" s="34"/>
      <c r="W21" s="34">
        <v>25356</v>
      </c>
      <c r="X21" s="34">
        <v>0</v>
      </c>
      <c r="Y21" s="32">
        <v>14582.05</v>
      </c>
      <c r="Z21" s="38">
        <v>3585</v>
      </c>
      <c r="AA21" s="38">
        <v>1</v>
      </c>
      <c r="AB21" s="34">
        <v>0</v>
      </c>
      <c r="AC21" s="38">
        <v>24695</v>
      </c>
      <c r="AD21" s="34">
        <v>54438</v>
      </c>
      <c r="AE21" s="34">
        <v>2905</v>
      </c>
      <c r="AF21" s="34">
        <v>24702</v>
      </c>
      <c r="AG21" s="38">
        <v>600</v>
      </c>
      <c r="AH21" s="39">
        <v>93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65000</v>
      </c>
      <c r="E22" s="84">
        <f t="shared" si="1"/>
        <v>8125</v>
      </c>
      <c r="F22" s="42">
        <f t="shared" si="1"/>
        <v>10192</v>
      </c>
      <c r="G22" s="43">
        <f t="shared" si="1"/>
        <v>1225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64</v>
      </c>
      <c r="Q22" s="43">
        <f t="shared" si="1"/>
        <v>42.105263157894733</v>
      </c>
      <c r="R22" s="42">
        <f t="shared" si="1"/>
        <v>0</v>
      </c>
      <c r="S22" s="43">
        <f t="shared" si="1"/>
        <v>0</v>
      </c>
      <c r="T22" s="42">
        <f t="shared" si="1"/>
        <v>79942</v>
      </c>
      <c r="U22" s="43">
        <f t="shared" si="1"/>
        <v>9295.5813953488378</v>
      </c>
      <c r="V22" s="44" t="e">
        <f t="shared" si="1"/>
        <v>#REF!</v>
      </c>
      <c r="W22" s="44">
        <f t="shared" si="1"/>
        <v>71356</v>
      </c>
      <c r="X22" s="44" t="e">
        <f t="shared" si="1"/>
        <v>#REF!</v>
      </c>
      <c r="Y22" s="43">
        <f t="shared" si="1"/>
        <v>65523.149999999994</v>
      </c>
      <c r="Z22" s="42">
        <f t="shared" si="1"/>
        <v>8385</v>
      </c>
      <c r="AA22" s="42">
        <f t="shared" si="1"/>
        <v>201</v>
      </c>
      <c r="AB22" s="44">
        <f t="shared" si="1"/>
        <v>1143</v>
      </c>
      <c r="AC22" s="42">
        <f t="shared" si="1"/>
        <v>34627</v>
      </c>
      <c r="AD22" s="44">
        <f t="shared" si="1"/>
        <v>71358</v>
      </c>
      <c r="AE22" s="44">
        <f t="shared" si="1"/>
        <v>4745</v>
      </c>
      <c r="AF22" s="44">
        <f t="shared" si="1"/>
        <v>42162</v>
      </c>
      <c r="AG22" s="42">
        <f t="shared" si="1"/>
        <v>1965</v>
      </c>
      <c r="AH22" s="46">
        <f t="shared" si="1"/>
        <v>267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100*208</f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100*215</f>
        <v>21500</v>
      </c>
      <c r="U23" s="32">
        <f>T23/215*25</f>
        <v>2500</v>
      </c>
      <c r="V23" s="31"/>
      <c r="W23" s="31">
        <v>15000</v>
      </c>
      <c r="X23" s="31"/>
      <c r="Y23" s="31">
        <v>7000</v>
      </c>
      <c r="Z23" s="31">
        <v>2000</v>
      </c>
      <c r="AA23" s="31">
        <v>0</v>
      </c>
      <c r="AB23" s="31"/>
      <c r="AC23" s="31">
        <v>7500</v>
      </c>
      <c r="AD23" s="31">
        <v>7560</v>
      </c>
      <c r="AE23" s="31"/>
      <c r="AF23" s="48"/>
      <c r="AG23" s="31">
        <v>0</v>
      </c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65000</v>
      </c>
      <c r="E24" s="51">
        <f t="shared" si="2"/>
        <v>8125</v>
      </c>
      <c r="F24" s="51">
        <f t="shared" si="2"/>
        <v>30992</v>
      </c>
      <c r="G24" s="51">
        <f t="shared" si="2"/>
        <v>3725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64</v>
      </c>
      <c r="Q24" s="52">
        <f t="shared" si="2"/>
        <v>42.105263157894733</v>
      </c>
      <c r="R24" s="51">
        <f t="shared" si="2"/>
        <v>0</v>
      </c>
      <c r="S24" s="51">
        <f t="shared" si="2"/>
        <v>0</v>
      </c>
      <c r="T24" s="51">
        <f t="shared" si="2"/>
        <v>101442</v>
      </c>
      <c r="U24" s="52">
        <f t="shared" si="2"/>
        <v>11795.581395348838</v>
      </c>
      <c r="V24" s="51" t="e">
        <f t="shared" si="2"/>
        <v>#REF!</v>
      </c>
      <c r="W24" s="51">
        <f t="shared" si="2"/>
        <v>86356</v>
      </c>
      <c r="X24" s="51" t="e">
        <f t="shared" si="2"/>
        <v>#REF!</v>
      </c>
      <c r="Y24" s="52">
        <f t="shared" si="2"/>
        <v>72523.149999999994</v>
      </c>
      <c r="Z24" s="51">
        <f t="shared" si="2"/>
        <v>10385</v>
      </c>
      <c r="AA24" s="51">
        <f t="shared" si="2"/>
        <v>201</v>
      </c>
      <c r="AB24" s="51">
        <f t="shared" si="2"/>
        <v>1143</v>
      </c>
      <c r="AC24" s="51">
        <f t="shared" si="2"/>
        <v>42127</v>
      </c>
      <c r="AD24" s="51">
        <f t="shared" si="2"/>
        <v>78918</v>
      </c>
      <c r="AE24" s="51">
        <f t="shared" si="2"/>
        <v>4745</v>
      </c>
      <c r="AF24" s="51">
        <f t="shared" si="2"/>
        <v>42162</v>
      </c>
      <c r="AG24" s="51">
        <f t="shared" si="2"/>
        <v>1965</v>
      </c>
      <c r="AH24" s="53">
        <f t="shared" si="2"/>
        <v>267</v>
      </c>
    </row>
    <row r="25" spans="1:36" ht="75.75" customHeight="1" x14ac:dyDescent="0.3">
      <c r="A25" s="158" t="s">
        <v>44</v>
      </c>
      <c r="B25" s="159"/>
      <c r="C25" s="160"/>
      <c r="D25" s="85">
        <v>10974</v>
      </c>
      <c r="E25" s="85">
        <f>D25/200*25</f>
        <v>1371.75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9</v>
      </c>
      <c r="Q25" s="32">
        <f>P25/38*25</f>
        <v>5.9210526315789469</v>
      </c>
      <c r="R25" s="38">
        <v>0</v>
      </c>
      <c r="S25" s="32">
        <f>R25/135*25</f>
        <v>0</v>
      </c>
      <c r="T25" s="38">
        <v>10181</v>
      </c>
      <c r="U25" s="32">
        <f>T25/215*25</f>
        <v>1183.8372093023256</v>
      </c>
      <c r="V25" s="47" t="s">
        <v>40</v>
      </c>
      <c r="W25" s="54">
        <v>7714</v>
      </c>
      <c r="X25" s="47"/>
      <c r="Y25" s="55">
        <f>Z25*2.43</f>
        <v>3878.28</v>
      </c>
      <c r="Z25" s="38">
        <v>1596</v>
      </c>
      <c r="AA25" s="38">
        <v>10</v>
      </c>
      <c r="AB25" s="47">
        <v>0</v>
      </c>
      <c r="AC25" s="38">
        <v>5859</v>
      </c>
      <c r="AD25" s="47">
        <v>5921</v>
      </c>
      <c r="AE25" s="47">
        <v>0</v>
      </c>
      <c r="AF25" s="47">
        <f>3877+1017</f>
        <v>4894</v>
      </c>
      <c r="AG25" s="38">
        <v>0</v>
      </c>
      <c r="AH25" s="56">
        <v>4</v>
      </c>
    </row>
    <row r="26" spans="1:36" s="4" customFormat="1" ht="100.5" customHeight="1" thickBot="1" x14ac:dyDescent="0.25">
      <c r="A26" s="57">
        <v>45157</v>
      </c>
      <c r="B26" s="161" t="s">
        <v>45</v>
      </c>
      <c r="C26" s="162"/>
      <c r="D26" s="58">
        <f>D24-D25</f>
        <v>54026</v>
      </c>
      <c r="E26" s="58">
        <f t="shared" ref="E26:AA26" si="3">E24-E25</f>
        <v>6753.25</v>
      </c>
      <c r="F26" s="58">
        <f>F24-F25</f>
        <v>30992</v>
      </c>
      <c r="G26" s="58">
        <f t="shared" si="3"/>
        <v>3725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55</v>
      </c>
      <c r="Q26" s="59">
        <f t="shared" si="5"/>
        <v>36.184210526315788</v>
      </c>
      <c r="R26" s="58">
        <f>R24-R25</f>
        <v>0</v>
      </c>
      <c r="S26" s="59">
        <f t="shared" ref="S26" si="6">S24-S25</f>
        <v>0</v>
      </c>
      <c r="T26" s="58">
        <f>T24-T25</f>
        <v>91261</v>
      </c>
      <c r="U26" s="59">
        <f t="shared" si="3"/>
        <v>10611.744186046511</v>
      </c>
      <c r="V26" s="60" t="e">
        <f t="shared" si="3"/>
        <v>#REF!</v>
      </c>
      <c r="W26" s="60">
        <f t="shared" si="3"/>
        <v>78642</v>
      </c>
      <c r="X26" s="60" t="e">
        <f t="shared" si="3"/>
        <v>#REF!</v>
      </c>
      <c r="Y26" s="61">
        <f>Y24-Y25</f>
        <v>68644.87</v>
      </c>
      <c r="Z26" s="58">
        <f>Z24-Z25</f>
        <v>8789</v>
      </c>
      <c r="AA26" s="58">
        <f t="shared" si="3"/>
        <v>191</v>
      </c>
      <c r="AB26" s="60">
        <f>AB24-AB25</f>
        <v>1143</v>
      </c>
      <c r="AC26" s="58">
        <f>AC24-AC25</f>
        <v>36268</v>
      </c>
      <c r="AD26" s="60">
        <f>AD24-AD25</f>
        <v>72997</v>
      </c>
      <c r="AE26" s="60">
        <f>AE24-AE25</f>
        <v>4745</v>
      </c>
      <c r="AF26" s="60">
        <f>AF24-AF25</f>
        <v>37268</v>
      </c>
      <c r="AG26" s="58">
        <f t="shared" ref="AG26" si="7">AG24-AG25</f>
        <v>1965</v>
      </c>
      <c r="AH26" s="62">
        <f>AH24-AH25</f>
        <v>263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11.425781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45158</v>
      </c>
      <c r="B20" s="168" t="s">
        <v>37</v>
      </c>
      <c r="C20" s="30" t="s">
        <v>38</v>
      </c>
      <c r="D20" s="86">
        <v>22200</v>
      </c>
      <c r="E20" s="38">
        <f t="shared" ref="E20" si="0">D20/200*25</f>
        <v>2775</v>
      </c>
      <c r="F20" s="31">
        <v>30992</v>
      </c>
      <c r="G20" s="32">
        <f>F20/208*25</f>
        <v>3725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69660</v>
      </c>
      <c r="U20" s="34">
        <f>T20/215*25</f>
        <v>8100</v>
      </c>
      <c r="V20" s="33" t="e">
        <f>#REF!</f>
        <v>#REF!</v>
      </c>
      <c r="W20" s="33">
        <v>54000</v>
      </c>
      <c r="X20" s="33" t="e">
        <f>#REF!</f>
        <v>#REF!</v>
      </c>
      <c r="Y20" s="35">
        <v>54417.599999999999</v>
      </c>
      <c r="Z20" s="31">
        <v>5350</v>
      </c>
      <c r="AA20" s="31">
        <v>180</v>
      </c>
      <c r="AB20" s="33">
        <f>264+879</f>
        <v>1143</v>
      </c>
      <c r="AC20" s="31">
        <v>12432</v>
      </c>
      <c r="AD20" s="33">
        <v>15840</v>
      </c>
      <c r="AE20" s="33">
        <v>1840</v>
      </c>
      <c r="AF20" s="33">
        <v>13860</v>
      </c>
      <c r="AG20" s="31">
        <v>1365</v>
      </c>
      <c r="AH20" s="36">
        <v>174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31826</v>
      </c>
      <c r="E21" s="38">
        <f>D21/200*25</f>
        <v>3978.25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55</v>
      </c>
      <c r="Q21" s="32">
        <f>P21/38*25</f>
        <v>36.184210526315788</v>
      </c>
      <c r="R21" s="38">
        <v>0</v>
      </c>
      <c r="S21" s="32">
        <f>R21/135*25</f>
        <v>0</v>
      </c>
      <c r="T21" s="38">
        <v>21601</v>
      </c>
      <c r="U21" s="32">
        <f>T21/215*25</f>
        <v>2511.7441860465119</v>
      </c>
      <c r="V21" s="34"/>
      <c r="W21" s="34">
        <v>24642</v>
      </c>
      <c r="X21" s="34">
        <v>0</v>
      </c>
      <c r="Y21" s="32">
        <v>14227.269999999997</v>
      </c>
      <c r="Z21" s="38">
        <f>3439-850</f>
        <v>2589</v>
      </c>
      <c r="AA21" s="38">
        <v>11</v>
      </c>
      <c r="AB21" s="34">
        <v>0</v>
      </c>
      <c r="AC21" s="38">
        <v>23836</v>
      </c>
      <c r="AD21" s="34">
        <v>57157</v>
      </c>
      <c r="AE21" s="34">
        <v>2905</v>
      </c>
      <c r="AF21" s="34">
        <v>23408</v>
      </c>
      <c r="AG21" s="38">
        <v>600</v>
      </c>
      <c r="AH21" s="39">
        <v>89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54026</v>
      </c>
      <c r="E22" s="84">
        <f t="shared" si="1"/>
        <v>6753.25</v>
      </c>
      <c r="F22" s="42">
        <f t="shared" si="1"/>
        <v>30992</v>
      </c>
      <c r="G22" s="43">
        <f t="shared" si="1"/>
        <v>3725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55</v>
      </c>
      <c r="Q22" s="43">
        <f t="shared" si="1"/>
        <v>36.184210526315788</v>
      </c>
      <c r="R22" s="42">
        <f t="shared" si="1"/>
        <v>0</v>
      </c>
      <c r="S22" s="43">
        <f t="shared" si="1"/>
        <v>0</v>
      </c>
      <c r="T22" s="42">
        <f t="shared" si="1"/>
        <v>91261</v>
      </c>
      <c r="U22" s="43">
        <f t="shared" si="1"/>
        <v>10611.744186046511</v>
      </c>
      <c r="V22" s="44" t="e">
        <f t="shared" si="1"/>
        <v>#REF!</v>
      </c>
      <c r="W22" s="44">
        <f t="shared" si="1"/>
        <v>78642</v>
      </c>
      <c r="X22" s="44" t="e">
        <f t="shared" si="1"/>
        <v>#REF!</v>
      </c>
      <c r="Y22" s="43">
        <f t="shared" si="1"/>
        <v>68644.87</v>
      </c>
      <c r="Z22" s="42">
        <f t="shared" si="1"/>
        <v>7939</v>
      </c>
      <c r="AA22" s="42">
        <f t="shared" si="1"/>
        <v>191</v>
      </c>
      <c r="AB22" s="44">
        <f t="shared" si="1"/>
        <v>1143</v>
      </c>
      <c r="AC22" s="42">
        <f t="shared" si="1"/>
        <v>36268</v>
      </c>
      <c r="AD22" s="44">
        <f t="shared" si="1"/>
        <v>72997</v>
      </c>
      <c r="AE22" s="44">
        <f t="shared" si="1"/>
        <v>4745</v>
      </c>
      <c r="AF22" s="44">
        <f t="shared" si="1"/>
        <v>37268</v>
      </c>
      <c r="AG22" s="42">
        <f t="shared" si="1"/>
        <v>1965</v>
      </c>
      <c r="AH22" s="46">
        <f t="shared" si="1"/>
        <v>263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75*208</f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v>15000</v>
      </c>
      <c r="X23" s="31"/>
      <c r="Y23" s="31">
        <v>7000</v>
      </c>
      <c r="Z23" s="31">
        <v>2000</v>
      </c>
      <c r="AA23" s="31">
        <v>0</v>
      </c>
      <c r="AB23" s="31"/>
      <c r="AC23" s="31">
        <v>4500</v>
      </c>
      <c r="AD23" s="31">
        <v>4680</v>
      </c>
      <c r="AE23" s="31"/>
      <c r="AF23" s="48"/>
      <c r="AG23" s="31">
        <v>0</v>
      </c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54026</v>
      </c>
      <c r="E24" s="51">
        <f t="shared" si="2"/>
        <v>6753.25</v>
      </c>
      <c r="F24" s="51">
        <f t="shared" si="2"/>
        <v>46592</v>
      </c>
      <c r="G24" s="51">
        <f t="shared" si="2"/>
        <v>5600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55</v>
      </c>
      <c r="Q24" s="52">
        <f t="shared" si="2"/>
        <v>36.184210526315788</v>
      </c>
      <c r="R24" s="51">
        <f t="shared" si="2"/>
        <v>0</v>
      </c>
      <c r="S24" s="51">
        <f t="shared" si="2"/>
        <v>0</v>
      </c>
      <c r="T24" s="51">
        <f t="shared" si="2"/>
        <v>107386</v>
      </c>
      <c r="U24" s="52">
        <f t="shared" si="2"/>
        <v>12486.744186046511</v>
      </c>
      <c r="V24" s="51" t="e">
        <f t="shared" si="2"/>
        <v>#REF!</v>
      </c>
      <c r="W24" s="51">
        <f t="shared" si="2"/>
        <v>93642</v>
      </c>
      <c r="X24" s="51" t="e">
        <f t="shared" si="2"/>
        <v>#REF!</v>
      </c>
      <c r="Y24" s="52">
        <f t="shared" si="2"/>
        <v>75644.87</v>
      </c>
      <c r="Z24" s="51">
        <f t="shared" si="2"/>
        <v>9939</v>
      </c>
      <c r="AA24" s="51">
        <f t="shared" si="2"/>
        <v>191</v>
      </c>
      <c r="AB24" s="51">
        <f t="shared" si="2"/>
        <v>1143</v>
      </c>
      <c r="AC24" s="51">
        <f t="shared" si="2"/>
        <v>40768</v>
      </c>
      <c r="AD24" s="51">
        <f t="shared" si="2"/>
        <v>77677</v>
      </c>
      <c r="AE24" s="51">
        <f t="shared" si="2"/>
        <v>4745</v>
      </c>
      <c r="AF24" s="51">
        <f t="shared" si="2"/>
        <v>37268</v>
      </c>
      <c r="AG24" s="51">
        <f t="shared" si="2"/>
        <v>1965</v>
      </c>
      <c r="AH24" s="53">
        <f t="shared" si="2"/>
        <v>263</v>
      </c>
    </row>
    <row r="25" spans="1:36" ht="75.75" customHeight="1" x14ac:dyDescent="0.3">
      <c r="A25" s="158" t="s">
        <v>44</v>
      </c>
      <c r="B25" s="159"/>
      <c r="C25" s="160"/>
      <c r="D25" s="85">
        <v>9768</v>
      </c>
      <c r="E25" s="85">
        <f>D25/200*25</f>
        <v>1221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43</v>
      </c>
      <c r="Q25" s="32">
        <f>P25/38*25</f>
        <v>28.289473684210524</v>
      </c>
      <c r="R25" s="38">
        <v>0</v>
      </c>
      <c r="S25" s="32">
        <f>R25/135*25</f>
        <v>0</v>
      </c>
      <c r="T25" s="38">
        <v>9769</v>
      </c>
      <c r="U25" s="32">
        <f>T25/215*25</f>
        <v>1135.9302325581396</v>
      </c>
      <c r="V25" s="47" t="s">
        <v>40</v>
      </c>
      <c r="W25" s="54">
        <v>7677</v>
      </c>
      <c r="X25" s="47"/>
      <c r="Y25" s="55">
        <f>Z25*2.43</f>
        <v>3465.1800000000003</v>
      </c>
      <c r="Z25" s="38">
        <v>1426</v>
      </c>
      <c r="AA25" s="38">
        <v>4</v>
      </c>
      <c r="AB25" s="47">
        <v>0</v>
      </c>
      <c r="AC25" s="38">
        <f>5948</f>
        <v>5948</v>
      </c>
      <c r="AD25" s="47">
        <v>5581</v>
      </c>
      <c r="AE25" s="47">
        <v>0</v>
      </c>
      <c r="AF25" s="47">
        <f>3432+1292</f>
        <v>4724</v>
      </c>
      <c r="AG25" s="38">
        <v>0</v>
      </c>
      <c r="AH25" s="56">
        <v>2</v>
      </c>
    </row>
    <row r="26" spans="1:36" s="4" customFormat="1" ht="100.5" customHeight="1" thickBot="1" x14ac:dyDescent="0.25">
      <c r="A26" s="57">
        <v>45164</v>
      </c>
      <c r="B26" s="161" t="s">
        <v>45</v>
      </c>
      <c r="C26" s="162"/>
      <c r="D26" s="58">
        <f>D24-D25</f>
        <v>44258</v>
      </c>
      <c r="E26" s="58">
        <f t="shared" ref="E26:AA26" si="3">E24-E25</f>
        <v>5532.25</v>
      </c>
      <c r="F26" s="58">
        <f>F24-F25</f>
        <v>46592</v>
      </c>
      <c r="G26" s="58">
        <f t="shared" si="3"/>
        <v>5600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12</v>
      </c>
      <c r="Q26" s="59">
        <f t="shared" si="5"/>
        <v>7.8947368421052637</v>
      </c>
      <c r="R26" s="58">
        <f>R24-R25</f>
        <v>0</v>
      </c>
      <c r="S26" s="59">
        <f t="shared" ref="S26" si="6">S24-S25</f>
        <v>0</v>
      </c>
      <c r="T26" s="58">
        <f>T24-T25</f>
        <v>97617</v>
      </c>
      <c r="U26" s="59">
        <f t="shared" si="3"/>
        <v>11350.813953488372</v>
      </c>
      <c r="V26" s="60" t="e">
        <f t="shared" si="3"/>
        <v>#REF!</v>
      </c>
      <c r="W26" s="60">
        <f t="shared" si="3"/>
        <v>85965</v>
      </c>
      <c r="X26" s="60" t="e">
        <f t="shared" si="3"/>
        <v>#REF!</v>
      </c>
      <c r="Y26" s="61">
        <f>Y24-Y25</f>
        <v>72179.69</v>
      </c>
      <c r="Z26" s="58">
        <f>Z24-Z25</f>
        <v>8513</v>
      </c>
      <c r="AA26" s="58">
        <f t="shared" si="3"/>
        <v>187</v>
      </c>
      <c r="AB26" s="60">
        <f>AB24-AB25</f>
        <v>1143</v>
      </c>
      <c r="AC26" s="58">
        <f>AC24-AC25</f>
        <v>34820</v>
      </c>
      <c r="AD26" s="60">
        <f>AD24-AD25</f>
        <v>72096</v>
      </c>
      <c r="AE26" s="60">
        <f>AE24-AE25</f>
        <v>4745</v>
      </c>
      <c r="AF26" s="60">
        <f>AF24-AF25</f>
        <v>32544</v>
      </c>
      <c r="AG26" s="58">
        <f t="shared" ref="AG26" si="7">AG24-AG25</f>
        <v>1965</v>
      </c>
      <c r="AH26" s="62">
        <f>AH24-AH25</f>
        <v>261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F24" sqref="F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11.425781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4.42578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45165</v>
      </c>
      <c r="B20" s="168" t="s">
        <v>37</v>
      </c>
      <c r="C20" s="30" t="s">
        <v>38</v>
      </c>
      <c r="D20" s="86">
        <v>17000</v>
      </c>
      <c r="E20" s="38">
        <f t="shared" ref="E20" si="0">D20/200*25</f>
        <v>2125</v>
      </c>
      <c r="F20" s="31">
        <v>46592</v>
      </c>
      <c r="G20" s="32">
        <f>F20/208*25</f>
        <v>5600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73960</v>
      </c>
      <c r="U20" s="34">
        <f>T20/215*25</f>
        <v>8600</v>
      </c>
      <c r="V20" s="33" t="e">
        <f>#REF!</f>
        <v>#REF!</v>
      </c>
      <c r="W20" s="33">
        <v>61250</v>
      </c>
      <c r="X20" s="33" t="e">
        <f>#REF!</f>
        <v>#REF!</v>
      </c>
      <c r="Y20" s="35">
        <f>57651.14+0.36</f>
        <v>57651.5</v>
      </c>
      <c r="Z20" s="31">
        <v>5800</v>
      </c>
      <c r="AA20" s="31">
        <v>170</v>
      </c>
      <c r="AB20" s="33">
        <f>264+879</f>
        <v>1143</v>
      </c>
      <c r="AC20" s="31">
        <v>12682</v>
      </c>
      <c r="AD20" s="33">
        <v>16200</v>
      </c>
      <c r="AE20" s="33">
        <v>1840</v>
      </c>
      <c r="AF20" s="33">
        <v>8260</v>
      </c>
      <c r="AG20" s="31">
        <v>1365</v>
      </c>
      <c r="AH20" s="36">
        <v>174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27258</v>
      </c>
      <c r="E21" s="38">
        <f>D21/200*25</f>
        <v>3407.25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12</v>
      </c>
      <c r="Q21" s="32">
        <f>P21/38*25</f>
        <v>7.8947368421052628</v>
      </c>
      <c r="R21" s="38">
        <v>0</v>
      </c>
      <c r="S21" s="32">
        <f>R21/135*25</f>
        <v>0</v>
      </c>
      <c r="T21" s="38">
        <v>23657</v>
      </c>
      <c r="U21" s="32">
        <f>T21/215*25</f>
        <v>2750.8139534883721</v>
      </c>
      <c r="V21" s="34"/>
      <c r="W21" s="34">
        <v>24715</v>
      </c>
      <c r="X21" s="34">
        <v>0</v>
      </c>
      <c r="Y21" s="32">
        <v>14528.589999999997</v>
      </c>
      <c r="Z21" s="38">
        <v>2713</v>
      </c>
      <c r="AA21" s="38">
        <v>17</v>
      </c>
      <c r="AB21" s="34">
        <v>0</v>
      </c>
      <c r="AC21" s="38">
        <v>22138</v>
      </c>
      <c r="AD21" s="34">
        <v>55896</v>
      </c>
      <c r="AE21" s="34">
        <v>2905</v>
      </c>
      <c r="AF21" s="34">
        <v>24284</v>
      </c>
      <c r="AG21" s="38">
        <v>600</v>
      </c>
      <c r="AH21" s="39">
        <v>87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44258</v>
      </c>
      <c r="E22" s="84">
        <f t="shared" si="1"/>
        <v>5532.25</v>
      </c>
      <c r="F22" s="42">
        <f t="shared" si="1"/>
        <v>46592</v>
      </c>
      <c r="G22" s="43">
        <f t="shared" si="1"/>
        <v>5600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12</v>
      </c>
      <c r="Q22" s="43">
        <f t="shared" si="1"/>
        <v>7.8947368421052628</v>
      </c>
      <c r="R22" s="42">
        <f t="shared" si="1"/>
        <v>0</v>
      </c>
      <c r="S22" s="43">
        <f t="shared" si="1"/>
        <v>0</v>
      </c>
      <c r="T22" s="42">
        <f t="shared" si="1"/>
        <v>97617</v>
      </c>
      <c r="U22" s="43">
        <f t="shared" si="1"/>
        <v>11350.813953488372</v>
      </c>
      <c r="V22" s="44" t="e">
        <f t="shared" si="1"/>
        <v>#REF!</v>
      </c>
      <c r="W22" s="44">
        <f t="shared" si="1"/>
        <v>85965</v>
      </c>
      <c r="X22" s="44" t="e">
        <f t="shared" si="1"/>
        <v>#REF!</v>
      </c>
      <c r="Y22" s="43">
        <f t="shared" si="1"/>
        <v>72180.09</v>
      </c>
      <c r="Z22" s="42">
        <f t="shared" si="1"/>
        <v>8513</v>
      </c>
      <c r="AA22" s="42">
        <f t="shared" si="1"/>
        <v>187</v>
      </c>
      <c r="AB22" s="44">
        <f t="shared" si="1"/>
        <v>1143</v>
      </c>
      <c r="AC22" s="42">
        <f t="shared" si="1"/>
        <v>34820</v>
      </c>
      <c r="AD22" s="44">
        <f t="shared" si="1"/>
        <v>72096</v>
      </c>
      <c r="AE22" s="44">
        <f t="shared" si="1"/>
        <v>4745</v>
      </c>
      <c r="AF22" s="44">
        <f t="shared" si="1"/>
        <v>32544</v>
      </c>
      <c r="AG22" s="42">
        <f t="shared" si="1"/>
        <v>1965</v>
      </c>
      <c r="AH22" s="46">
        <f t="shared" si="1"/>
        <v>261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50*208</f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50*215</f>
        <v>10750</v>
      </c>
      <c r="U23" s="32">
        <f>T23/215*25</f>
        <v>1250</v>
      </c>
      <c r="V23" s="31"/>
      <c r="W23" s="31">
        <v>15000</v>
      </c>
      <c r="X23" s="31"/>
      <c r="Y23" s="31">
        <v>7000</v>
      </c>
      <c r="Z23" s="31">
        <v>2000</v>
      </c>
      <c r="AA23" s="31">
        <v>0</v>
      </c>
      <c r="AB23" s="31"/>
      <c r="AC23" s="31">
        <v>5000</v>
      </c>
      <c r="AD23" s="31">
        <v>5040</v>
      </c>
      <c r="AE23" s="31"/>
      <c r="AF23" s="48">
        <f>18000+5000</f>
        <v>23000</v>
      </c>
      <c r="AG23" s="31">
        <v>0</v>
      </c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44258</v>
      </c>
      <c r="E24" s="51">
        <f t="shared" si="2"/>
        <v>5532.25</v>
      </c>
      <c r="F24" s="51">
        <f t="shared" si="2"/>
        <v>56992</v>
      </c>
      <c r="G24" s="51">
        <f t="shared" si="2"/>
        <v>6850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12</v>
      </c>
      <c r="Q24" s="52">
        <f t="shared" si="2"/>
        <v>7.8947368421052628</v>
      </c>
      <c r="R24" s="51">
        <f t="shared" si="2"/>
        <v>0</v>
      </c>
      <c r="S24" s="51">
        <f t="shared" si="2"/>
        <v>0</v>
      </c>
      <c r="T24" s="51">
        <f t="shared" si="2"/>
        <v>108367</v>
      </c>
      <c r="U24" s="52">
        <f t="shared" si="2"/>
        <v>12600.813953488372</v>
      </c>
      <c r="V24" s="51" t="e">
        <f t="shared" si="2"/>
        <v>#REF!</v>
      </c>
      <c r="W24" s="51">
        <f t="shared" si="2"/>
        <v>100965</v>
      </c>
      <c r="X24" s="51" t="e">
        <f t="shared" si="2"/>
        <v>#REF!</v>
      </c>
      <c r="Y24" s="52">
        <f t="shared" si="2"/>
        <v>79180.09</v>
      </c>
      <c r="Z24" s="51">
        <f t="shared" si="2"/>
        <v>10513</v>
      </c>
      <c r="AA24" s="51">
        <f t="shared" si="2"/>
        <v>187</v>
      </c>
      <c r="AB24" s="51">
        <f t="shared" si="2"/>
        <v>1143</v>
      </c>
      <c r="AC24" s="51">
        <f t="shared" si="2"/>
        <v>39820</v>
      </c>
      <c r="AD24" s="51">
        <f t="shared" si="2"/>
        <v>77136</v>
      </c>
      <c r="AE24" s="51">
        <f t="shared" si="2"/>
        <v>4745</v>
      </c>
      <c r="AF24" s="51">
        <f t="shared" si="2"/>
        <v>55544</v>
      </c>
      <c r="AG24" s="51">
        <f t="shared" si="2"/>
        <v>1965</v>
      </c>
      <c r="AH24" s="53">
        <f t="shared" si="2"/>
        <v>261</v>
      </c>
    </row>
    <row r="25" spans="1:36" ht="75.75" customHeight="1" x14ac:dyDescent="0.3">
      <c r="A25" s="158" t="s">
        <v>44</v>
      </c>
      <c r="B25" s="159"/>
      <c r="C25" s="160"/>
      <c r="D25" s="85">
        <v>8776</v>
      </c>
      <c r="E25" s="85">
        <f>D25/200*25</f>
        <v>1097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6</v>
      </c>
      <c r="Q25" s="32">
        <f>P25/38*25</f>
        <v>3.9473684210526314</v>
      </c>
      <c r="R25" s="38">
        <v>0</v>
      </c>
      <c r="S25" s="32">
        <f>R25/135*25</f>
        <v>0</v>
      </c>
      <c r="T25" s="38">
        <v>8182</v>
      </c>
      <c r="U25" s="32">
        <f>T25/215*25</f>
        <v>951.39534883720933</v>
      </c>
      <c r="V25" s="47" t="s">
        <v>40</v>
      </c>
      <c r="W25" s="54">
        <v>6441</v>
      </c>
      <c r="X25" s="47"/>
      <c r="Y25" s="55">
        <f>Z25*2.43</f>
        <v>3061.8</v>
      </c>
      <c r="Z25" s="38">
        <v>1260</v>
      </c>
      <c r="AA25" s="38">
        <v>16</v>
      </c>
      <c r="AB25" s="47">
        <v>0</v>
      </c>
      <c r="AC25" s="38">
        <v>4872</v>
      </c>
      <c r="AD25" s="47">
        <v>4810</v>
      </c>
      <c r="AE25" s="47">
        <v>0</v>
      </c>
      <c r="AF25" s="47">
        <f>2813+1098</f>
        <v>3911</v>
      </c>
      <c r="AG25" s="38">
        <v>0</v>
      </c>
      <c r="AH25" s="56">
        <v>4</v>
      </c>
    </row>
    <row r="26" spans="1:36" s="4" customFormat="1" ht="100.5" customHeight="1" thickBot="1" x14ac:dyDescent="0.25">
      <c r="A26" s="57">
        <v>45171</v>
      </c>
      <c r="B26" s="161" t="s">
        <v>45</v>
      </c>
      <c r="C26" s="162"/>
      <c r="D26" s="58">
        <f>D24-D25</f>
        <v>35482</v>
      </c>
      <c r="E26" s="58">
        <f t="shared" ref="E26:AA26" si="3">E24-E25</f>
        <v>4435.25</v>
      </c>
      <c r="F26" s="58">
        <f>F24-F25</f>
        <v>56992</v>
      </c>
      <c r="G26" s="58">
        <f t="shared" si="3"/>
        <v>6850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6</v>
      </c>
      <c r="Q26" s="59">
        <f t="shared" si="5"/>
        <v>3.9473684210526314</v>
      </c>
      <c r="R26" s="58">
        <f>R24-R25</f>
        <v>0</v>
      </c>
      <c r="S26" s="59">
        <f t="shared" ref="S26" si="6">S24-S25</f>
        <v>0</v>
      </c>
      <c r="T26" s="58">
        <f>T24-T25</f>
        <v>100185</v>
      </c>
      <c r="U26" s="59">
        <f t="shared" si="3"/>
        <v>11649.418604651162</v>
      </c>
      <c r="V26" s="60" t="e">
        <f t="shared" si="3"/>
        <v>#REF!</v>
      </c>
      <c r="W26" s="60">
        <f t="shared" si="3"/>
        <v>94524</v>
      </c>
      <c r="X26" s="60" t="e">
        <f t="shared" si="3"/>
        <v>#REF!</v>
      </c>
      <c r="Y26" s="61">
        <f>Y24-Y25</f>
        <v>76118.289999999994</v>
      </c>
      <c r="Z26" s="58">
        <f>Z24-Z25</f>
        <v>9253</v>
      </c>
      <c r="AA26" s="58">
        <f t="shared" si="3"/>
        <v>171</v>
      </c>
      <c r="AB26" s="60">
        <f>AB24-AB25</f>
        <v>1143</v>
      </c>
      <c r="AC26" s="58">
        <f>AC24-AC25</f>
        <v>34948</v>
      </c>
      <c r="AD26" s="60">
        <f>AD24-AD25</f>
        <v>72326</v>
      </c>
      <c r="AE26" s="60">
        <f>AE24-AE25</f>
        <v>4745</v>
      </c>
      <c r="AF26" s="60">
        <f>AF24-AF25</f>
        <v>51633</v>
      </c>
      <c r="AG26" s="58">
        <f t="shared" ref="AG26" si="7">AG24-AG25</f>
        <v>1965</v>
      </c>
      <c r="AH26" s="62">
        <f>AH24-AH25</f>
        <v>257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Z30" sqref="Z3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8" style="1" customWidth="1"/>
    <col min="5" max="5" width="11.7109375" style="1" customWidth="1"/>
    <col min="6" max="6" width="11.425781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6.5703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45172</v>
      </c>
      <c r="B20" s="168" t="s">
        <v>37</v>
      </c>
      <c r="C20" s="30" t="s">
        <v>38</v>
      </c>
      <c r="D20" s="86">
        <v>5000</v>
      </c>
      <c r="E20" s="38">
        <f t="shared" ref="E20" si="0">D20/200*25</f>
        <v>625</v>
      </c>
      <c r="F20" s="31">
        <v>56992</v>
      </c>
      <c r="G20" s="32">
        <f>F20/208*25</f>
        <v>6850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75250</v>
      </c>
      <c r="U20" s="34">
        <f>T20/215*25</f>
        <v>8750</v>
      </c>
      <c r="V20" s="33" t="e">
        <f>#REF!</f>
        <v>#REF!</v>
      </c>
      <c r="W20" s="33">
        <v>77250</v>
      </c>
      <c r="X20" s="33" t="e">
        <f>#REF!</f>
        <v>#REF!</v>
      </c>
      <c r="Y20" s="35">
        <v>69000</v>
      </c>
      <c r="Z20" s="31">
        <v>4400</v>
      </c>
      <c r="AA20" s="31">
        <v>50</v>
      </c>
      <c r="AB20" s="33">
        <f>264+879</f>
        <v>1143</v>
      </c>
      <c r="AC20" s="31">
        <f>14182+360</f>
        <v>14542</v>
      </c>
      <c r="AD20" s="33">
        <v>22680</v>
      </c>
      <c r="AE20" s="33">
        <v>0</v>
      </c>
      <c r="AF20" s="33">
        <f>12150+12000+1060</f>
        <v>25210</v>
      </c>
      <c r="AG20" s="31">
        <v>1365</v>
      </c>
      <c r="AH20" s="36">
        <v>124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f>27258+3224</f>
        <v>30482</v>
      </c>
      <c r="E21" s="38">
        <f>D21/200*25</f>
        <v>3810.25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6</v>
      </c>
      <c r="Q21" s="32">
        <f>P21/38*25</f>
        <v>3.9473684210526314</v>
      </c>
      <c r="R21" s="38">
        <v>0</v>
      </c>
      <c r="S21" s="32">
        <f>R21/135*25</f>
        <v>0</v>
      </c>
      <c r="T21" s="38">
        <f>23657+1278</f>
        <v>24935</v>
      </c>
      <c r="U21" s="32">
        <f>T21/215*25</f>
        <v>2899.4186046511632</v>
      </c>
      <c r="V21" s="34"/>
      <c r="W21" s="34">
        <f>24715-7441</f>
        <v>17274</v>
      </c>
      <c r="X21" s="34">
        <v>0</v>
      </c>
      <c r="Y21" s="32">
        <f>14528.59-7410</f>
        <v>7118.59</v>
      </c>
      <c r="Z21" s="38">
        <f>2713+2140</f>
        <v>4853</v>
      </c>
      <c r="AA21" s="38">
        <f>17+104</f>
        <v>121</v>
      </c>
      <c r="AB21" s="34">
        <v>0</v>
      </c>
      <c r="AC21" s="38">
        <f>22138-1732</f>
        <v>20406</v>
      </c>
      <c r="AD21" s="34">
        <f>55896-6250</f>
        <v>49646</v>
      </c>
      <c r="AE21" s="34">
        <v>0</v>
      </c>
      <c r="AF21" s="34">
        <f>24284+2139</f>
        <v>26423</v>
      </c>
      <c r="AG21" s="38">
        <v>600</v>
      </c>
      <c r="AH21" s="39">
        <f>87+46</f>
        <v>133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35482</v>
      </c>
      <c r="E22" s="84">
        <f t="shared" si="1"/>
        <v>4435.25</v>
      </c>
      <c r="F22" s="42">
        <f t="shared" si="1"/>
        <v>56992</v>
      </c>
      <c r="G22" s="43">
        <f t="shared" si="1"/>
        <v>6850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6</v>
      </c>
      <c r="Q22" s="43">
        <f t="shared" si="1"/>
        <v>3.9473684210526314</v>
      </c>
      <c r="R22" s="42">
        <f t="shared" si="1"/>
        <v>0</v>
      </c>
      <c r="S22" s="43">
        <f t="shared" si="1"/>
        <v>0</v>
      </c>
      <c r="T22" s="42">
        <f>SUM(T20:T21)</f>
        <v>100185</v>
      </c>
      <c r="U22" s="43">
        <f t="shared" si="1"/>
        <v>11649.418604651164</v>
      </c>
      <c r="V22" s="44" t="e">
        <f t="shared" si="1"/>
        <v>#REF!</v>
      </c>
      <c r="W22" s="44">
        <f t="shared" si="1"/>
        <v>94524</v>
      </c>
      <c r="X22" s="44" t="e">
        <f t="shared" si="1"/>
        <v>#REF!</v>
      </c>
      <c r="Y22" s="43">
        <f t="shared" si="1"/>
        <v>76118.59</v>
      </c>
      <c r="Z22" s="42">
        <f t="shared" si="1"/>
        <v>9253</v>
      </c>
      <c r="AA22" s="42">
        <f t="shared" si="1"/>
        <v>171</v>
      </c>
      <c r="AB22" s="44">
        <f t="shared" si="1"/>
        <v>1143</v>
      </c>
      <c r="AC22" s="42">
        <f t="shared" si="1"/>
        <v>34948</v>
      </c>
      <c r="AD22" s="44">
        <f t="shared" si="1"/>
        <v>72326</v>
      </c>
      <c r="AE22" s="44">
        <f t="shared" si="1"/>
        <v>0</v>
      </c>
      <c r="AF22" s="44">
        <f t="shared" si="1"/>
        <v>51633</v>
      </c>
      <c r="AG22" s="42">
        <f t="shared" si="1"/>
        <v>1965</v>
      </c>
      <c r="AH22" s="46">
        <f t="shared" si="1"/>
        <v>257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35482</v>
      </c>
      <c r="E24" s="51">
        <f t="shared" si="2"/>
        <v>4435.25</v>
      </c>
      <c r="F24" s="51">
        <f t="shared" si="2"/>
        <v>56992</v>
      </c>
      <c r="G24" s="51">
        <f t="shared" si="2"/>
        <v>6850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6</v>
      </c>
      <c r="Q24" s="52">
        <f t="shared" si="2"/>
        <v>3.9473684210526314</v>
      </c>
      <c r="R24" s="51">
        <f t="shared" si="2"/>
        <v>0</v>
      </c>
      <c r="S24" s="51">
        <f t="shared" si="2"/>
        <v>0</v>
      </c>
      <c r="T24" s="51">
        <f t="shared" si="2"/>
        <v>100185</v>
      </c>
      <c r="U24" s="52">
        <f t="shared" si="2"/>
        <v>11649.418604651164</v>
      </c>
      <c r="V24" s="51" t="e">
        <f t="shared" si="2"/>
        <v>#REF!</v>
      </c>
      <c r="W24" s="51">
        <f t="shared" si="2"/>
        <v>94524</v>
      </c>
      <c r="X24" s="51" t="e">
        <f t="shared" si="2"/>
        <v>#REF!</v>
      </c>
      <c r="Y24" s="52">
        <f t="shared" si="2"/>
        <v>76118.59</v>
      </c>
      <c r="Z24" s="51">
        <f t="shared" si="2"/>
        <v>9253</v>
      </c>
      <c r="AA24" s="51">
        <f t="shared" si="2"/>
        <v>171</v>
      </c>
      <c r="AB24" s="51">
        <f t="shared" si="2"/>
        <v>1143</v>
      </c>
      <c r="AC24" s="51">
        <f t="shared" si="2"/>
        <v>34948</v>
      </c>
      <c r="AD24" s="51">
        <f t="shared" si="2"/>
        <v>72326</v>
      </c>
      <c r="AE24" s="51">
        <f t="shared" si="2"/>
        <v>0</v>
      </c>
      <c r="AF24" s="51">
        <f t="shared" si="2"/>
        <v>51633</v>
      </c>
      <c r="AG24" s="51">
        <f t="shared" si="2"/>
        <v>1965</v>
      </c>
      <c r="AH24" s="53">
        <f t="shared" si="2"/>
        <v>257</v>
      </c>
    </row>
    <row r="25" spans="1:36" ht="75.75" customHeight="1" x14ac:dyDescent="0.3">
      <c r="A25" s="158" t="s">
        <v>44</v>
      </c>
      <c r="B25" s="159"/>
      <c r="C25" s="160"/>
      <c r="D25" s="85">
        <v>9668</v>
      </c>
      <c r="E25" s="85">
        <f>D25/200*25</f>
        <v>1208.5</v>
      </c>
      <c r="F25" s="38">
        <v>0</v>
      </c>
      <c r="G25" s="32">
        <f>F25/208*25</f>
        <v>0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6</v>
      </c>
      <c r="Q25" s="32">
        <f>P25/38*25</f>
        <v>3.9473684210526314</v>
      </c>
      <c r="R25" s="38">
        <v>0</v>
      </c>
      <c r="S25" s="32">
        <f>R25/135*25</f>
        <v>0</v>
      </c>
      <c r="T25" s="38">
        <v>8683</v>
      </c>
      <c r="U25" s="32">
        <f>T25/215*25</f>
        <v>1009.6511627906978</v>
      </c>
      <c r="V25" s="47" t="s">
        <v>40</v>
      </c>
      <c r="W25" s="54">
        <v>6945</v>
      </c>
      <c r="X25" s="47"/>
      <c r="Y25" s="55">
        <f>Z25*2.43</f>
        <v>3122.55</v>
      </c>
      <c r="Z25" s="38">
        <v>1285</v>
      </c>
      <c r="AA25" s="38">
        <v>1</v>
      </c>
      <c r="AB25" s="47">
        <v>0</v>
      </c>
      <c r="AC25" s="38">
        <v>5389</v>
      </c>
      <c r="AD25" s="47">
        <v>5088</v>
      </c>
      <c r="AE25" s="47">
        <v>0</v>
      </c>
      <c r="AF25" s="47">
        <f>3106+1227</f>
        <v>4333</v>
      </c>
      <c r="AG25" s="38">
        <v>230</v>
      </c>
      <c r="AH25" s="56">
        <v>20</v>
      </c>
    </row>
    <row r="26" spans="1:36" s="4" customFormat="1" ht="100.5" customHeight="1" thickBot="1" x14ac:dyDescent="0.25">
      <c r="A26" s="57">
        <v>45178</v>
      </c>
      <c r="B26" s="161" t="s">
        <v>45</v>
      </c>
      <c r="C26" s="162"/>
      <c r="D26" s="58">
        <f>D24-D25</f>
        <v>25814</v>
      </c>
      <c r="E26" s="58">
        <f t="shared" ref="E26:AA26" si="3">E24-E25</f>
        <v>3226.75</v>
      </c>
      <c r="F26" s="58">
        <f>F24-F25</f>
        <v>56992</v>
      </c>
      <c r="G26" s="58">
        <f t="shared" si="3"/>
        <v>6850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91502</v>
      </c>
      <c r="U26" s="59">
        <f t="shared" si="3"/>
        <v>10639.767441860466</v>
      </c>
      <c r="V26" s="60" t="e">
        <f t="shared" si="3"/>
        <v>#REF!</v>
      </c>
      <c r="W26" s="60">
        <f t="shared" si="3"/>
        <v>87579</v>
      </c>
      <c r="X26" s="60" t="e">
        <f t="shared" si="3"/>
        <v>#REF!</v>
      </c>
      <c r="Y26" s="61">
        <f>Y24-Y25</f>
        <v>72996.039999999994</v>
      </c>
      <c r="Z26" s="58">
        <f>Z24-Z25</f>
        <v>7968</v>
      </c>
      <c r="AA26" s="58">
        <f t="shared" si="3"/>
        <v>170</v>
      </c>
      <c r="AB26" s="60">
        <f>AB24-AB25</f>
        <v>1143</v>
      </c>
      <c r="AC26" s="58">
        <f>AC24-AC25</f>
        <v>29559</v>
      </c>
      <c r="AD26" s="60">
        <f>AD24-AD25</f>
        <v>67238</v>
      </c>
      <c r="AE26" s="60">
        <f>AE24-AE25</f>
        <v>0</v>
      </c>
      <c r="AF26" s="60">
        <f>AF24-AF25</f>
        <v>47300</v>
      </c>
      <c r="AG26" s="58">
        <f t="shared" ref="AG26" si="7">AG24-AG25</f>
        <v>1735</v>
      </c>
      <c r="AH26" s="62">
        <f>AH24-AH25</f>
        <v>237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C13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1.425781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6.5703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45179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45552</v>
      </c>
      <c r="G20" s="32">
        <f>F20/208*25</f>
        <v>5475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61275</v>
      </c>
      <c r="U20" s="34">
        <f>T20/215*25</f>
        <v>7125</v>
      </c>
      <c r="V20" s="33" t="e">
        <f>#REF!</f>
        <v>#REF!</v>
      </c>
      <c r="W20" s="33">
        <v>71000</v>
      </c>
      <c r="X20" s="33" t="e">
        <f>#REF!</f>
        <v>#REF!</v>
      </c>
      <c r="Y20" s="35">
        <v>66570</v>
      </c>
      <c r="Z20" s="31">
        <v>3400</v>
      </c>
      <c r="AA20" s="31">
        <v>50</v>
      </c>
      <c r="AB20" s="33">
        <f>264+879</f>
        <v>1143</v>
      </c>
      <c r="AC20" s="31">
        <v>7042</v>
      </c>
      <c r="AD20" s="33">
        <v>11880</v>
      </c>
      <c r="AE20" s="33">
        <v>1840</v>
      </c>
      <c r="AF20" s="33">
        <v>22410</v>
      </c>
      <c r="AG20" s="31">
        <v>1365</v>
      </c>
      <c r="AH20" s="36">
        <v>104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25814</v>
      </c>
      <c r="E21" s="38">
        <f>D21/200*25</f>
        <v>3226.75</v>
      </c>
      <c r="F21" s="38">
        <v>11440</v>
      </c>
      <c r="G21" s="32">
        <f>F21/208*25</f>
        <v>1375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30227</v>
      </c>
      <c r="U21" s="32">
        <f>T21/215*25</f>
        <v>3514.7674418604652</v>
      </c>
      <c r="V21" s="34"/>
      <c r="W21" s="34">
        <v>16579</v>
      </c>
      <c r="X21" s="34">
        <v>0</v>
      </c>
      <c r="Y21" s="32">
        <v>6426.04</v>
      </c>
      <c r="Z21" s="38">
        <v>4568</v>
      </c>
      <c r="AA21" s="38">
        <v>120</v>
      </c>
      <c r="AB21" s="34">
        <v>0</v>
      </c>
      <c r="AC21" s="38">
        <v>22517</v>
      </c>
      <c r="AD21" s="34">
        <v>55358</v>
      </c>
      <c r="AE21" s="34">
        <v>0</v>
      </c>
      <c r="AF21" s="34">
        <v>24890</v>
      </c>
      <c r="AG21" s="38">
        <v>370</v>
      </c>
      <c r="AH21" s="39">
        <v>133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25814</v>
      </c>
      <c r="E22" s="84">
        <f t="shared" si="1"/>
        <v>3226.75</v>
      </c>
      <c r="F22" s="42">
        <f t="shared" si="1"/>
        <v>56992</v>
      </c>
      <c r="G22" s="43">
        <f t="shared" si="1"/>
        <v>6850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91502</v>
      </c>
      <c r="U22" s="43">
        <f t="shared" si="1"/>
        <v>10639.767441860466</v>
      </c>
      <c r="V22" s="44" t="e">
        <f t="shared" si="1"/>
        <v>#REF!</v>
      </c>
      <c r="W22" s="44">
        <f t="shared" si="1"/>
        <v>87579</v>
      </c>
      <c r="X22" s="44" t="e">
        <f t="shared" si="1"/>
        <v>#REF!</v>
      </c>
      <c r="Y22" s="43">
        <f t="shared" si="1"/>
        <v>72996.039999999994</v>
      </c>
      <c r="Z22" s="42">
        <f t="shared" si="1"/>
        <v>7968</v>
      </c>
      <c r="AA22" s="42">
        <f t="shared" si="1"/>
        <v>170</v>
      </c>
      <c r="AB22" s="44">
        <f t="shared" si="1"/>
        <v>1143</v>
      </c>
      <c r="AC22" s="42">
        <f t="shared" si="1"/>
        <v>29559</v>
      </c>
      <c r="AD22" s="44">
        <f t="shared" si="1"/>
        <v>67238</v>
      </c>
      <c r="AE22" s="44">
        <f t="shared" si="1"/>
        <v>1840</v>
      </c>
      <c r="AF22" s="44">
        <f t="shared" si="1"/>
        <v>47300</v>
      </c>
      <c r="AG22" s="42">
        <f t="shared" si="1"/>
        <v>1735</v>
      </c>
      <c r="AH22" s="46">
        <f t="shared" si="1"/>
        <v>237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100*208</f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100*215</f>
        <v>21500</v>
      </c>
      <c r="U23" s="32">
        <f>T23/215*25</f>
        <v>2500</v>
      </c>
      <c r="V23" s="31"/>
      <c r="W23" s="31">
        <v>15000</v>
      </c>
      <c r="X23" s="31"/>
      <c r="Y23" s="31">
        <v>9000</v>
      </c>
      <c r="Z23" s="31">
        <v>4000</v>
      </c>
      <c r="AA23" s="31">
        <v>0</v>
      </c>
      <c r="AB23" s="31"/>
      <c r="AC23" s="31">
        <f>14000+6600</f>
        <v>20600</v>
      </c>
      <c r="AD23" s="31">
        <v>10080</v>
      </c>
      <c r="AE23" s="31"/>
      <c r="AF23" s="48">
        <f>18000+7000</f>
        <v>25000</v>
      </c>
      <c r="AG23" s="31">
        <v>300</v>
      </c>
      <c r="AH23" s="49">
        <v>100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25814</v>
      </c>
      <c r="E24" s="51">
        <f t="shared" si="2"/>
        <v>3226.75</v>
      </c>
      <c r="F24" s="51">
        <f t="shared" si="2"/>
        <v>77792</v>
      </c>
      <c r="G24" s="51">
        <f t="shared" si="2"/>
        <v>9350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113002</v>
      </c>
      <c r="U24" s="52">
        <f t="shared" si="2"/>
        <v>13139.767441860466</v>
      </c>
      <c r="V24" s="51" t="e">
        <f t="shared" si="2"/>
        <v>#REF!</v>
      </c>
      <c r="W24" s="51">
        <f t="shared" si="2"/>
        <v>102579</v>
      </c>
      <c r="X24" s="51" t="e">
        <f t="shared" si="2"/>
        <v>#REF!</v>
      </c>
      <c r="Y24" s="52">
        <f t="shared" si="2"/>
        <v>81996.039999999994</v>
      </c>
      <c r="Z24" s="51">
        <f t="shared" si="2"/>
        <v>11968</v>
      </c>
      <c r="AA24" s="51">
        <f t="shared" si="2"/>
        <v>170</v>
      </c>
      <c r="AB24" s="51">
        <f t="shared" si="2"/>
        <v>1143</v>
      </c>
      <c r="AC24" s="51">
        <f t="shared" si="2"/>
        <v>50159</v>
      </c>
      <c r="AD24" s="51">
        <f t="shared" si="2"/>
        <v>77318</v>
      </c>
      <c r="AE24" s="51">
        <f t="shared" si="2"/>
        <v>1840</v>
      </c>
      <c r="AF24" s="51">
        <f t="shared" si="2"/>
        <v>72300</v>
      </c>
      <c r="AG24" s="51">
        <f t="shared" si="2"/>
        <v>2035</v>
      </c>
      <c r="AH24" s="53">
        <f t="shared" si="2"/>
        <v>337</v>
      </c>
    </row>
    <row r="25" spans="1:36" ht="75.75" customHeight="1" x14ac:dyDescent="0.3">
      <c r="A25" s="158" t="s">
        <v>44</v>
      </c>
      <c r="B25" s="159"/>
      <c r="C25" s="160"/>
      <c r="D25" s="85">
        <v>9778</v>
      </c>
      <c r="E25" s="85">
        <f>D25/200*25</f>
        <v>1222.25</v>
      </c>
      <c r="F25" s="38">
        <v>1022</v>
      </c>
      <c r="G25" s="32">
        <f>F25/208*25</f>
        <v>122.83653846153845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9233</v>
      </c>
      <c r="U25" s="32">
        <f>T25/215*25</f>
        <v>1073.6046511627906</v>
      </c>
      <c r="V25" s="47" t="s">
        <v>40</v>
      </c>
      <c r="W25" s="54">
        <v>8008</v>
      </c>
      <c r="X25" s="47"/>
      <c r="Y25" s="55">
        <f>Z25*2.43</f>
        <v>3637.71</v>
      </c>
      <c r="Z25" s="38">
        <v>1497</v>
      </c>
      <c r="AA25" s="38">
        <v>0</v>
      </c>
      <c r="AB25" s="47">
        <v>0</v>
      </c>
      <c r="AC25" s="38">
        <v>5906</v>
      </c>
      <c r="AD25" s="47">
        <v>6160</v>
      </c>
      <c r="AE25" s="47"/>
      <c r="AF25" s="47">
        <f>3667+1554</f>
        <v>5221</v>
      </c>
      <c r="AG25" s="38"/>
      <c r="AH25" s="56">
        <v>20</v>
      </c>
    </row>
    <row r="26" spans="1:36" s="4" customFormat="1" ht="100.5" customHeight="1" thickBot="1" x14ac:dyDescent="0.25">
      <c r="A26" s="57">
        <v>45185</v>
      </c>
      <c r="B26" s="161" t="s">
        <v>45</v>
      </c>
      <c r="C26" s="162"/>
      <c r="D26" s="58">
        <f>D24-D25</f>
        <v>16036</v>
      </c>
      <c r="E26" s="58">
        <f t="shared" ref="E26:AA26" si="3">E24-E25</f>
        <v>2004.5</v>
      </c>
      <c r="F26" s="58">
        <f>F24-F25</f>
        <v>76770</v>
      </c>
      <c r="G26" s="58">
        <f t="shared" si="3"/>
        <v>9227.163461538461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103769</v>
      </c>
      <c r="U26" s="59">
        <f t="shared" si="3"/>
        <v>12066.162790697676</v>
      </c>
      <c r="V26" s="60" t="e">
        <f t="shared" si="3"/>
        <v>#REF!</v>
      </c>
      <c r="W26" s="60">
        <f t="shared" si="3"/>
        <v>94571</v>
      </c>
      <c r="X26" s="60" t="e">
        <f t="shared" si="3"/>
        <v>#REF!</v>
      </c>
      <c r="Y26" s="61">
        <f>Y24-Y25</f>
        <v>78358.329999999987</v>
      </c>
      <c r="Z26" s="58">
        <f>Z24-Z25</f>
        <v>10471</v>
      </c>
      <c r="AA26" s="58">
        <f t="shared" si="3"/>
        <v>170</v>
      </c>
      <c r="AB26" s="60">
        <f>AB24-AB25</f>
        <v>1143</v>
      </c>
      <c r="AC26" s="58">
        <f>AC24-AC25</f>
        <v>44253</v>
      </c>
      <c r="AD26" s="60">
        <f>AD24-AD25</f>
        <v>71158</v>
      </c>
      <c r="AE26" s="60">
        <f>AE24-AE25</f>
        <v>1840</v>
      </c>
      <c r="AF26" s="60">
        <f>AF24-AF25</f>
        <v>67079</v>
      </c>
      <c r="AG26" s="58">
        <f t="shared" ref="AG26" si="7">AG24-AG25</f>
        <v>2035</v>
      </c>
      <c r="AH26" s="62">
        <f>AH24-AH25</f>
        <v>317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H16:I16"/>
    <mergeCell ref="D17:E17"/>
    <mergeCell ref="F17:G17"/>
    <mergeCell ref="H17:I17"/>
    <mergeCell ref="J17:K17"/>
    <mergeCell ref="D16:E16"/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AF27" sqref="AF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1.42578125" style="1" customWidth="1"/>
    <col min="7" max="7" width="13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6.57031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.7109375" style="1" customWidth="1"/>
    <col min="28" max="28" width="13.140625" style="1" bestFit="1" customWidth="1"/>
    <col min="29" max="29" width="16.28515625" style="1" bestFit="1" customWidth="1"/>
    <col min="30" max="30" width="14" style="1" customWidth="1"/>
    <col min="31" max="31" width="21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3"/>
      <c r="F14" s="197" t="s">
        <v>2</v>
      </c>
      <c r="G14" s="198"/>
      <c r="H14" s="198"/>
      <c r="I14" s="198"/>
      <c r="J14" s="198"/>
      <c r="K14" s="198"/>
      <c r="L14" s="198"/>
      <c r="M14" s="199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09" t="s">
        <v>6</v>
      </c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6"/>
      <c r="F15" s="200"/>
      <c r="G15" s="201"/>
      <c r="H15" s="201"/>
      <c r="I15" s="201"/>
      <c r="J15" s="201"/>
      <c r="K15" s="201"/>
      <c r="L15" s="201"/>
      <c r="M15" s="202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1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11" t="s">
        <v>18</v>
      </c>
      <c r="AE16" s="10" t="s">
        <v>19</v>
      </c>
      <c r="AF16" s="12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45186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53872</v>
      </c>
      <c r="G20" s="32">
        <f>F20/208*25</f>
        <v>6475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74175</v>
      </c>
      <c r="U20" s="34">
        <f>T20/215*25</f>
        <v>8625</v>
      </c>
      <c r="V20" s="33" t="e">
        <f>#REF!</f>
        <v>#REF!</v>
      </c>
      <c r="W20" s="33">
        <v>77500</v>
      </c>
      <c r="X20" s="33" t="e">
        <f>#REF!</f>
        <v>#REF!</v>
      </c>
      <c r="Y20" s="35">
        <f>73260.5+0.7</f>
        <v>73261.2</v>
      </c>
      <c r="Z20" s="31">
        <v>6450</v>
      </c>
      <c r="AA20" s="31">
        <v>50</v>
      </c>
      <c r="AB20" s="33">
        <v>1143</v>
      </c>
      <c r="AC20" s="31">
        <v>23892</v>
      </c>
      <c r="AD20" s="33">
        <v>21960</v>
      </c>
      <c r="AE20" s="33">
        <v>0</v>
      </c>
      <c r="AF20" s="33">
        <v>43710</v>
      </c>
      <c r="AG20" s="31">
        <v>1665</v>
      </c>
      <c r="AH20" s="36">
        <v>184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16036</v>
      </c>
      <c r="E21" s="38">
        <f>D21/200*25</f>
        <v>2004.5000000000002</v>
      </c>
      <c r="F21" s="38">
        <v>22898</v>
      </c>
      <c r="G21" s="32">
        <f>F21/208*25</f>
        <v>2752.1634615384619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29594</v>
      </c>
      <c r="U21" s="32">
        <f>T21/215*25</f>
        <v>3441.1627906976746</v>
      </c>
      <c r="V21" s="34"/>
      <c r="W21" s="34">
        <v>17071</v>
      </c>
      <c r="X21" s="34">
        <v>0</v>
      </c>
      <c r="Y21" s="32">
        <v>5096.83</v>
      </c>
      <c r="Z21" s="38">
        <v>4021</v>
      </c>
      <c r="AA21" s="38">
        <v>120</v>
      </c>
      <c r="AB21" s="34">
        <v>0</v>
      </c>
      <c r="AC21" s="38">
        <v>20361</v>
      </c>
      <c r="AD21" s="34">
        <v>49198</v>
      </c>
      <c r="AE21" s="34">
        <v>0</v>
      </c>
      <c r="AF21" s="34">
        <v>23369</v>
      </c>
      <c r="AG21" s="38">
        <v>370</v>
      </c>
      <c r="AH21" s="39">
        <v>133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16036</v>
      </c>
      <c r="E22" s="84">
        <f t="shared" si="1"/>
        <v>2004.5000000000002</v>
      </c>
      <c r="F22" s="42">
        <f t="shared" si="1"/>
        <v>76770</v>
      </c>
      <c r="G22" s="43">
        <f t="shared" si="1"/>
        <v>9227.163461538461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103769</v>
      </c>
      <c r="U22" s="43">
        <f t="shared" si="1"/>
        <v>12066.162790697676</v>
      </c>
      <c r="V22" s="44" t="e">
        <f t="shared" si="1"/>
        <v>#REF!</v>
      </c>
      <c r="W22" s="44">
        <f t="shared" si="1"/>
        <v>94571</v>
      </c>
      <c r="X22" s="44" t="e">
        <f t="shared" si="1"/>
        <v>#REF!</v>
      </c>
      <c r="Y22" s="43">
        <f t="shared" si="1"/>
        <v>78358.03</v>
      </c>
      <c r="Z22" s="42">
        <f t="shared" si="1"/>
        <v>10471</v>
      </c>
      <c r="AA22" s="42">
        <f t="shared" si="1"/>
        <v>170</v>
      </c>
      <c r="AB22" s="44">
        <f t="shared" si="1"/>
        <v>1143</v>
      </c>
      <c r="AC22" s="42">
        <f t="shared" si="1"/>
        <v>44253</v>
      </c>
      <c r="AD22" s="44">
        <f t="shared" si="1"/>
        <v>71158</v>
      </c>
      <c r="AE22" s="44">
        <f t="shared" si="1"/>
        <v>0</v>
      </c>
      <c r="AF22" s="44">
        <f t="shared" si="1"/>
        <v>67079</v>
      </c>
      <c r="AG22" s="42">
        <f t="shared" si="1"/>
        <v>2035</v>
      </c>
      <c r="AH22" s="46">
        <f t="shared" si="1"/>
        <v>317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16036</v>
      </c>
      <c r="E24" s="51">
        <f t="shared" si="2"/>
        <v>2004.5000000000002</v>
      </c>
      <c r="F24" s="51">
        <f t="shared" si="2"/>
        <v>76770</v>
      </c>
      <c r="G24" s="51">
        <f t="shared" si="2"/>
        <v>9227.163461538461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103769</v>
      </c>
      <c r="U24" s="52">
        <f t="shared" si="2"/>
        <v>12066.162790697676</v>
      </c>
      <c r="V24" s="51" t="e">
        <f t="shared" si="2"/>
        <v>#REF!</v>
      </c>
      <c r="W24" s="51">
        <f t="shared" si="2"/>
        <v>94571</v>
      </c>
      <c r="X24" s="51" t="e">
        <f t="shared" si="2"/>
        <v>#REF!</v>
      </c>
      <c r="Y24" s="52">
        <f t="shared" si="2"/>
        <v>78358.03</v>
      </c>
      <c r="Z24" s="51">
        <f t="shared" si="2"/>
        <v>10471</v>
      </c>
      <c r="AA24" s="51">
        <f t="shared" si="2"/>
        <v>170</v>
      </c>
      <c r="AB24" s="51">
        <f t="shared" si="2"/>
        <v>1143</v>
      </c>
      <c r="AC24" s="51">
        <f t="shared" si="2"/>
        <v>44253</v>
      </c>
      <c r="AD24" s="51">
        <f t="shared" si="2"/>
        <v>71158</v>
      </c>
      <c r="AE24" s="51">
        <f t="shared" si="2"/>
        <v>0</v>
      </c>
      <c r="AF24" s="51">
        <f t="shared" si="2"/>
        <v>67079</v>
      </c>
      <c r="AG24" s="51">
        <f t="shared" si="2"/>
        <v>2035</v>
      </c>
      <c r="AH24" s="53">
        <f t="shared" si="2"/>
        <v>317</v>
      </c>
    </row>
    <row r="25" spans="1:36" ht="75.75" customHeight="1" x14ac:dyDescent="0.3">
      <c r="A25" s="158" t="s">
        <v>44</v>
      </c>
      <c r="B25" s="159"/>
      <c r="C25" s="160"/>
      <c r="D25" s="85">
        <v>6546</v>
      </c>
      <c r="E25" s="85">
        <f>D25/200*25</f>
        <v>818.24999999999989</v>
      </c>
      <c r="F25" s="38">
        <v>3126</v>
      </c>
      <c r="G25" s="32">
        <f>F25/208*25</f>
        <v>375.72115384615381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9971</v>
      </c>
      <c r="U25" s="32">
        <f>T25/215*25</f>
        <v>1159.4186046511627</v>
      </c>
      <c r="V25" s="47" t="s">
        <v>40</v>
      </c>
      <c r="W25" s="54">
        <v>8298</v>
      </c>
      <c r="X25" s="47"/>
      <c r="Y25" s="55">
        <f>Z25*2.43</f>
        <v>3601.26</v>
      </c>
      <c r="Z25" s="38">
        <v>1482</v>
      </c>
      <c r="AA25" s="38">
        <v>38</v>
      </c>
      <c r="AB25" s="47">
        <v>0</v>
      </c>
      <c r="AC25" s="38">
        <v>6829</v>
      </c>
      <c r="AD25" s="47">
        <v>5339</v>
      </c>
      <c r="AE25" s="47"/>
      <c r="AF25" s="47">
        <f>3667+1145</f>
        <v>4812</v>
      </c>
      <c r="AG25" s="38">
        <v>0</v>
      </c>
      <c r="AH25" s="56">
        <v>20</v>
      </c>
    </row>
    <row r="26" spans="1:36" s="4" customFormat="1" ht="100.5" customHeight="1" thickBot="1" x14ac:dyDescent="0.25">
      <c r="A26" s="57">
        <v>45192</v>
      </c>
      <c r="B26" s="161" t="s">
        <v>45</v>
      </c>
      <c r="C26" s="162"/>
      <c r="D26" s="58">
        <f>D24-D25</f>
        <v>9490</v>
      </c>
      <c r="E26" s="58">
        <f t="shared" ref="E26:AA26" si="3">E24-E25</f>
        <v>1186.2500000000005</v>
      </c>
      <c r="F26" s="58">
        <f>F24-F25</f>
        <v>73644</v>
      </c>
      <c r="G26" s="58">
        <f t="shared" si="3"/>
        <v>8851.4423076923067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93798</v>
      </c>
      <c r="U26" s="59">
        <f t="shared" si="3"/>
        <v>10906.744186046513</v>
      </c>
      <c r="V26" s="60" t="e">
        <f t="shared" si="3"/>
        <v>#REF!</v>
      </c>
      <c r="W26" s="60">
        <f t="shared" si="3"/>
        <v>86273</v>
      </c>
      <c r="X26" s="60" t="e">
        <f t="shared" si="3"/>
        <v>#REF!</v>
      </c>
      <c r="Y26" s="61">
        <f>Y24-Y25</f>
        <v>74756.77</v>
      </c>
      <c r="Z26" s="58">
        <f>Z24-Z25</f>
        <v>8989</v>
      </c>
      <c r="AA26" s="58">
        <f t="shared" si="3"/>
        <v>132</v>
      </c>
      <c r="AB26" s="60">
        <f>AB24-AB25</f>
        <v>1143</v>
      </c>
      <c r="AC26" s="58">
        <f>AC24-AC25</f>
        <v>37424</v>
      </c>
      <c r="AD26" s="60">
        <f>AD24-AD25</f>
        <v>65819</v>
      </c>
      <c r="AE26" s="60">
        <f>AE24-AE25</f>
        <v>0</v>
      </c>
      <c r="AF26" s="60">
        <f>AF24-AF25</f>
        <v>62267</v>
      </c>
      <c r="AG26" s="58">
        <f t="shared" ref="AG26" si="7">AG24-AG25</f>
        <v>2035</v>
      </c>
      <c r="AH26" s="62">
        <f>AH24-AH25</f>
        <v>297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7">
    <mergeCell ref="D18:E18"/>
    <mergeCell ref="F18:G18"/>
    <mergeCell ref="H18:I18"/>
    <mergeCell ref="A10:AI10"/>
    <mergeCell ref="A11:AI11"/>
    <mergeCell ref="A14:C15"/>
    <mergeCell ref="D14:E15"/>
    <mergeCell ref="F14:M15"/>
    <mergeCell ref="P14:V15"/>
    <mergeCell ref="W14:Z14"/>
    <mergeCell ref="AA14:AA15"/>
    <mergeCell ref="AB14:AE15"/>
    <mergeCell ref="AF14:AF15"/>
    <mergeCell ref="AG14:AH15"/>
    <mergeCell ref="W15:Z15"/>
    <mergeCell ref="T16:U16"/>
    <mergeCell ref="H16:I16"/>
    <mergeCell ref="D17:E17"/>
    <mergeCell ref="F17:G17"/>
    <mergeCell ref="H17:I17"/>
    <mergeCell ref="J17:K17"/>
    <mergeCell ref="D16:E16"/>
    <mergeCell ref="P17:Q17"/>
    <mergeCell ref="R17:S17"/>
    <mergeCell ref="T17:U17"/>
    <mergeCell ref="J16:K16"/>
    <mergeCell ref="L16:M16"/>
    <mergeCell ref="N16:O16"/>
    <mergeCell ref="P16:Q16"/>
    <mergeCell ref="R16:S16"/>
    <mergeCell ref="L17:M17"/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U31" sqref="U31:U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4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45193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43472</v>
      </c>
      <c r="G20" s="32">
        <f>F20/208*25</f>
        <v>5225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67725</v>
      </c>
      <c r="U20" s="34">
        <f>T20/215*25</f>
        <v>7875</v>
      </c>
      <c r="V20" s="33" t="e">
        <f>#REF!</f>
        <v>#REF!</v>
      </c>
      <c r="W20" s="33">
        <v>69250</v>
      </c>
      <c r="X20" s="33" t="e">
        <f>#REF!</f>
        <v>#REF!</v>
      </c>
      <c r="Y20" s="35">
        <v>68401.2</v>
      </c>
      <c r="Z20" s="31">
        <v>4450</v>
      </c>
      <c r="AA20" s="31">
        <v>50</v>
      </c>
      <c r="AB20" s="33">
        <v>1143</v>
      </c>
      <c r="AC20" s="31">
        <v>18392</v>
      </c>
      <c r="AD20" s="33">
        <v>21960</v>
      </c>
      <c r="AE20" s="33">
        <v>0</v>
      </c>
      <c r="AF20" s="33">
        <v>37410</v>
      </c>
      <c r="AG20" s="31">
        <v>1665</v>
      </c>
      <c r="AH20" s="36">
        <v>164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9490</v>
      </c>
      <c r="E21" s="38">
        <f>D21/200*25</f>
        <v>1186.25</v>
      </c>
      <c r="F21" s="38">
        <v>30172</v>
      </c>
      <c r="G21" s="32">
        <f>F21/208*25</f>
        <v>3626.4423076923081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26073</v>
      </c>
      <c r="U21" s="32">
        <f>T21/215*25</f>
        <v>3031.7441860465115</v>
      </c>
      <c r="V21" s="34"/>
      <c r="W21" s="34">
        <v>17023</v>
      </c>
      <c r="X21" s="34">
        <v>0</v>
      </c>
      <c r="Y21" s="32">
        <v>6355.57</v>
      </c>
      <c r="Z21" s="38">
        <v>4539</v>
      </c>
      <c r="AA21" s="38">
        <v>82</v>
      </c>
      <c r="AB21" s="34">
        <v>0</v>
      </c>
      <c r="AC21" s="38">
        <v>19032</v>
      </c>
      <c r="AD21" s="34">
        <v>43859</v>
      </c>
      <c r="AE21" s="34">
        <v>0</v>
      </c>
      <c r="AF21" s="34">
        <v>24857</v>
      </c>
      <c r="AG21" s="38">
        <v>370</v>
      </c>
      <c r="AH21" s="39">
        <v>133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9490</v>
      </c>
      <c r="E22" s="84">
        <f t="shared" si="1"/>
        <v>1186.25</v>
      </c>
      <c r="F22" s="42">
        <f t="shared" si="1"/>
        <v>73644</v>
      </c>
      <c r="G22" s="43">
        <f t="shared" si="1"/>
        <v>8851.4423076923085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93798</v>
      </c>
      <c r="U22" s="43">
        <f t="shared" si="1"/>
        <v>10906.744186046511</v>
      </c>
      <c r="V22" s="44" t="e">
        <f t="shared" si="1"/>
        <v>#REF!</v>
      </c>
      <c r="W22" s="44">
        <f t="shared" si="1"/>
        <v>86273</v>
      </c>
      <c r="X22" s="44" t="e">
        <f t="shared" si="1"/>
        <v>#REF!</v>
      </c>
      <c r="Y22" s="43">
        <f t="shared" si="1"/>
        <v>74756.76999999999</v>
      </c>
      <c r="Z22" s="42">
        <f t="shared" si="1"/>
        <v>8989</v>
      </c>
      <c r="AA22" s="42">
        <f t="shared" si="1"/>
        <v>132</v>
      </c>
      <c r="AB22" s="44">
        <f t="shared" si="1"/>
        <v>1143</v>
      </c>
      <c r="AC22" s="42">
        <f t="shared" si="1"/>
        <v>37424</v>
      </c>
      <c r="AD22" s="44">
        <f>SUM(AD20:AD21)</f>
        <v>65819</v>
      </c>
      <c r="AE22" s="44">
        <f t="shared" si="1"/>
        <v>0</v>
      </c>
      <c r="AF22" s="44">
        <f t="shared" si="1"/>
        <v>62267</v>
      </c>
      <c r="AG22" s="42">
        <f t="shared" si="1"/>
        <v>2035</v>
      </c>
      <c r="AH22" s="46">
        <f t="shared" si="1"/>
        <v>297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100*208</f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100*215</f>
        <v>21500</v>
      </c>
      <c r="U23" s="32">
        <f>T23/215*25</f>
        <v>2500</v>
      </c>
      <c r="V23" s="31"/>
      <c r="W23" s="31">
        <v>15000</v>
      </c>
      <c r="X23" s="31"/>
      <c r="Y23" s="31"/>
      <c r="Z23" s="31">
        <v>2000</v>
      </c>
      <c r="AA23" s="31">
        <v>0</v>
      </c>
      <c r="AB23" s="31"/>
      <c r="AC23" s="31">
        <v>19250</v>
      </c>
      <c r="AD23" s="31"/>
      <c r="AE23" s="31"/>
      <c r="AF23" s="48">
        <f>9000+5000</f>
        <v>14000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9490</v>
      </c>
      <c r="E24" s="51">
        <f t="shared" si="2"/>
        <v>1186.25</v>
      </c>
      <c r="F24" s="51">
        <f t="shared" si="2"/>
        <v>94444</v>
      </c>
      <c r="G24" s="51">
        <f t="shared" si="2"/>
        <v>11351.442307692309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115298</v>
      </c>
      <c r="U24" s="52">
        <f t="shared" si="2"/>
        <v>13406.744186046511</v>
      </c>
      <c r="V24" s="51" t="e">
        <f t="shared" si="2"/>
        <v>#REF!</v>
      </c>
      <c r="W24" s="51">
        <f t="shared" si="2"/>
        <v>101273</v>
      </c>
      <c r="X24" s="51" t="e">
        <f t="shared" si="2"/>
        <v>#REF!</v>
      </c>
      <c r="Y24" s="52">
        <f t="shared" si="2"/>
        <v>74756.76999999999</v>
      </c>
      <c r="Z24" s="51">
        <f t="shared" si="2"/>
        <v>10989</v>
      </c>
      <c r="AA24" s="51">
        <f t="shared" si="2"/>
        <v>132</v>
      </c>
      <c r="AB24" s="51">
        <f t="shared" si="2"/>
        <v>1143</v>
      </c>
      <c r="AC24" s="51">
        <f t="shared" si="2"/>
        <v>56674</v>
      </c>
      <c r="AD24" s="51">
        <f t="shared" si="2"/>
        <v>65819</v>
      </c>
      <c r="AE24" s="51">
        <f t="shared" si="2"/>
        <v>0</v>
      </c>
      <c r="AF24" s="51">
        <f t="shared" si="2"/>
        <v>76267</v>
      </c>
      <c r="AG24" s="51">
        <f t="shared" si="2"/>
        <v>2035</v>
      </c>
      <c r="AH24" s="53">
        <f t="shared" si="2"/>
        <v>297</v>
      </c>
    </row>
    <row r="25" spans="1:36" ht="75.75" customHeight="1" x14ac:dyDescent="0.3">
      <c r="A25" s="158" t="s">
        <v>44</v>
      </c>
      <c r="B25" s="159"/>
      <c r="C25" s="160"/>
      <c r="D25" s="85">
        <v>3611</v>
      </c>
      <c r="E25" s="85">
        <f>D25/200*25</f>
        <v>451.375</v>
      </c>
      <c r="F25" s="38">
        <v>2621</v>
      </c>
      <c r="G25" s="32">
        <f>F25/208*25</f>
        <v>315.02403846153845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7593</v>
      </c>
      <c r="U25" s="32">
        <f>T25/215*25</f>
        <v>882.90697674418595</v>
      </c>
      <c r="V25" s="47" t="s">
        <v>40</v>
      </c>
      <c r="W25" s="54">
        <v>6529</v>
      </c>
      <c r="X25" s="47"/>
      <c r="Y25" s="55">
        <f>Z25*2.43</f>
        <v>2736.1800000000003</v>
      </c>
      <c r="Z25" s="38">
        <v>1126</v>
      </c>
      <c r="AA25" s="38">
        <v>28</v>
      </c>
      <c r="AB25" s="47">
        <v>0</v>
      </c>
      <c r="AC25" s="38">
        <f>5387</f>
        <v>5387</v>
      </c>
      <c r="AD25" s="47">
        <v>3829</v>
      </c>
      <c r="AE25" s="47"/>
      <c r="AF25" s="47">
        <f>2700+907</f>
        <v>3607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45199</v>
      </c>
      <c r="B26" s="161" t="s">
        <v>45</v>
      </c>
      <c r="C26" s="162"/>
      <c r="D26" s="58">
        <f>D24-D25</f>
        <v>5879</v>
      </c>
      <c r="E26" s="58">
        <f t="shared" ref="E26:AA26" si="3">E24-E25</f>
        <v>734.875</v>
      </c>
      <c r="F26" s="58">
        <f>F24-F25</f>
        <v>91823</v>
      </c>
      <c r="G26" s="58">
        <f t="shared" si="3"/>
        <v>11036.41826923077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107705</v>
      </c>
      <c r="U26" s="59">
        <f t="shared" si="3"/>
        <v>12523.837209302326</v>
      </c>
      <c r="V26" s="60" t="e">
        <f t="shared" si="3"/>
        <v>#REF!</v>
      </c>
      <c r="W26" s="60">
        <f t="shared" si="3"/>
        <v>94744</v>
      </c>
      <c r="X26" s="60" t="e">
        <f t="shared" si="3"/>
        <v>#REF!</v>
      </c>
      <c r="Y26" s="61">
        <f>Y24-Y25</f>
        <v>72020.59</v>
      </c>
      <c r="Z26" s="58">
        <f>Z24-Z25</f>
        <v>9863</v>
      </c>
      <c r="AA26" s="58">
        <f t="shared" si="3"/>
        <v>104</v>
      </c>
      <c r="AB26" s="60">
        <f>AB24-AB25</f>
        <v>1143</v>
      </c>
      <c r="AC26" s="58">
        <f>AC24-AC25</f>
        <v>51287</v>
      </c>
      <c r="AD26" s="60">
        <f>AD24-AD25</f>
        <v>61990</v>
      </c>
      <c r="AE26" s="60">
        <f>AE24-AE25</f>
        <v>0</v>
      </c>
      <c r="AF26" s="60">
        <f>AF24-AF25</f>
        <v>72660</v>
      </c>
      <c r="AG26" s="58">
        <f t="shared" ref="AG26" si="7">AG24-AG25</f>
        <v>2035</v>
      </c>
      <c r="AH26" s="62">
        <f>AH24-AH25</f>
        <v>289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B26:C26"/>
    <mergeCell ref="T18:U18"/>
    <mergeCell ref="A20:A22"/>
    <mergeCell ref="B20:B22"/>
    <mergeCell ref="A23:C23"/>
    <mergeCell ref="A24:C24"/>
    <mergeCell ref="A25:C25"/>
    <mergeCell ref="J18:K18"/>
    <mergeCell ref="L18:M18"/>
    <mergeCell ref="N18:O18"/>
    <mergeCell ref="P18:Q18"/>
    <mergeCell ref="R18:S18"/>
    <mergeCell ref="A16:A19"/>
    <mergeCell ref="B16:C19"/>
    <mergeCell ref="F16:G16"/>
    <mergeCell ref="N17:O17"/>
    <mergeCell ref="P17:Q17"/>
    <mergeCell ref="R17:S17"/>
    <mergeCell ref="T17:U17"/>
    <mergeCell ref="J16:K16"/>
    <mergeCell ref="L16:M16"/>
    <mergeCell ref="N16:O16"/>
    <mergeCell ref="P16:Q16"/>
    <mergeCell ref="R16:S16"/>
    <mergeCell ref="T16:U16"/>
    <mergeCell ref="H16:I16"/>
    <mergeCell ref="D14:M15"/>
    <mergeCell ref="D18:E18"/>
    <mergeCell ref="F18:G18"/>
    <mergeCell ref="H18:I18"/>
    <mergeCell ref="D17:E17"/>
    <mergeCell ref="F17:G17"/>
    <mergeCell ref="H17:I17"/>
    <mergeCell ref="J17:K17"/>
    <mergeCell ref="L17:M17"/>
    <mergeCell ref="D16:E16"/>
    <mergeCell ref="A10:AI10"/>
    <mergeCell ref="A11:AI11"/>
    <mergeCell ref="A14:C15"/>
    <mergeCell ref="P14:V15"/>
    <mergeCell ref="W14:Z14"/>
    <mergeCell ref="AA14:AA15"/>
    <mergeCell ref="AG14:AH15"/>
    <mergeCell ref="W15:Z15"/>
    <mergeCell ref="AB14:AF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AA22" sqref="AA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109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45200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45552</v>
      </c>
      <c r="G20" s="32">
        <f>F20/208*25</f>
        <v>5475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81700</v>
      </c>
      <c r="U20" s="34">
        <f>T20/215*25</f>
        <v>9500</v>
      </c>
      <c r="V20" s="33" t="e">
        <f>#REF!</f>
        <v>#REF!</v>
      </c>
      <c r="W20" s="33">
        <v>74000</v>
      </c>
      <c r="X20" s="33" t="e">
        <f>#REF!</f>
        <v>#REF!</v>
      </c>
      <c r="Y20" s="35">
        <v>64027.199999999997</v>
      </c>
      <c r="Z20" s="31">
        <v>4650</v>
      </c>
      <c r="AA20" s="31">
        <v>44</v>
      </c>
      <c r="AB20" s="33">
        <v>1143</v>
      </c>
      <c r="AC20" s="31">
        <v>30392</v>
      </c>
      <c r="AD20" s="33">
        <v>14400</v>
      </c>
      <c r="AE20" s="33">
        <v>0</v>
      </c>
      <c r="AF20" s="33">
        <v>43710</v>
      </c>
      <c r="AG20" s="31">
        <v>1665</v>
      </c>
      <c r="AH20" s="36">
        <v>164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5879</v>
      </c>
      <c r="E21" s="38">
        <f>D21/200*25</f>
        <v>734.875</v>
      </c>
      <c r="F21" s="38">
        <v>46271</v>
      </c>
      <c r="G21" s="32">
        <f>F21/208*25</f>
        <v>5561.4182692307695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26005</v>
      </c>
      <c r="U21" s="32">
        <f>T21/215*25</f>
        <v>3023.8372093023254</v>
      </c>
      <c r="V21" s="34"/>
      <c r="W21" s="34">
        <v>20744</v>
      </c>
      <c r="X21" s="34">
        <v>0</v>
      </c>
      <c r="Y21" s="32">
        <v>7993.39</v>
      </c>
      <c r="Z21" s="38">
        <v>5213</v>
      </c>
      <c r="AA21" s="38">
        <v>60</v>
      </c>
      <c r="AB21" s="34">
        <v>0</v>
      </c>
      <c r="AC21" s="38">
        <v>20895</v>
      </c>
      <c r="AD21" s="34">
        <v>47590</v>
      </c>
      <c r="AE21" s="34">
        <v>0</v>
      </c>
      <c r="AF21" s="34">
        <v>28950</v>
      </c>
      <c r="AG21" s="38">
        <v>370</v>
      </c>
      <c r="AH21" s="39">
        <v>125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5879</v>
      </c>
      <c r="E22" s="84">
        <f t="shared" si="1"/>
        <v>734.875</v>
      </c>
      <c r="F22" s="42">
        <f t="shared" si="1"/>
        <v>91823</v>
      </c>
      <c r="G22" s="43">
        <f t="shared" si="1"/>
        <v>11036.41826923077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107705</v>
      </c>
      <c r="U22" s="43">
        <f t="shared" si="1"/>
        <v>12523.837209302324</v>
      </c>
      <c r="V22" s="44" t="e">
        <f t="shared" si="1"/>
        <v>#REF!</v>
      </c>
      <c r="W22" s="44">
        <f t="shared" si="1"/>
        <v>94744</v>
      </c>
      <c r="X22" s="44" t="e">
        <f t="shared" si="1"/>
        <v>#REF!</v>
      </c>
      <c r="Y22" s="43">
        <f t="shared" si="1"/>
        <v>72020.59</v>
      </c>
      <c r="Z22" s="42">
        <f t="shared" si="1"/>
        <v>9863</v>
      </c>
      <c r="AA22" s="42">
        <f t="shared" si="1"/>
        <v>104</v>
      </c>
      <c r="AB22" s="44">
        <f t="shared" si="1"/>
        <v>1143</v>
      </c>
      <c r="AC22" s="42">
        <f t="shared" si="1"/>
        <v>51287</v>
      </c>
      <c r="AD22" s="44">
        <f>SUM(AD20:AD21)</f>
        <v>61990</v>
      </c>
      <c r="AE22" s="44">
        <f t="shared" si="1"/>
        <v>0</v>
      </c>
      <c r="AF22" s="44">
        <f t="shared" si="1"/>
        <v>72660</v>
      </c>
      <c r="AG22" s="42">
        <f t="shared" si="1"/>
        <v>2035</v>
      </c>
      <c r="AH22" s="46">
        <f t="shared" si="1"/>
        <v>289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75*208</f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f>610*25</f>
        <v>15250</v>
      </c>
      <c r="X23" s="31"/>
      <c r="Y23" s="31"/>
      <c r="Z23" s="31">
        <v>2000</v>
      </c>
      <c r="AA23" s="31">
        <v>100</v>
      </c>
      <c r="AB23" s="31"/>
      <c r="AC23" s="31">
        <v>14500</v>
      </c>
      <c r="AD23" s="31"/>
      <c r="AE23" s="31"/>
      <c r="AF23" s="48">
        <v>4700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5879</v>
      </c>
      <c r="E24" s="51">
        <f t="shared" si="2"/>
        <v>734.875</v>
      </c>
      <c r="F24" s="51">
        <f t="shared" si="2"/>
        <v>107423</v>
      </c>
      <c r="G24" s="51">
        <f t="shared" si="2"/>
        <v>12911.41826923077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123830</v>
      </c>
      <c r="U24" s="52">
        <f t="shared" si="2"/>
        <v>14398.837209302324</v>
      </c>
      <c r="V24" s="51" t="e">
        <f t="shared" si="2"/>
        <v>#REF!</v>
      </c>
      <c r="W24" s="51">
        <f t="shared" si="2"/>
        <v>109994</v>
      </c>
      <c r="X24" s="51" t="e">
        <f t="shared" si="2"/>
        <v>#REF!</v>
      </c>
      <c r="Y24" s="52">
        <f t="shared" si="2"/>
        <v>72020.59</v>
      </c>
      <c r="Z24" s="51">
        <f t="shared" si="2"/>
        <v>11863</v>
      </c>
      <c r="AA24" s="51">
        <f t="shared" si="2"/>
        <v>204</v>
      </c>
      <c r="AB24" s="51">
        <f t="shared" si="2"/>
        <v>1143</v>
      </c>
      <c r="AC24" s="51">
        <f t="shared" si="2"/>
        <v>65787</v>
      </c>
      <c r="AD24" s="51">
        <f t="shared" si="2"/>
        <v>61990</v>
      </c>
      <c r="AE24" s="51">
        <f t="shared" si="2"/>
        <v>0</v>
      </c>
      <c r="AF24" s="51">
        <f t="shared" si="2"/>
        <v>77360</v>
      </c>
      <c r="AG24" s="51">
        <f t="shared" si="2"/>
        <v>2035</v>
      </c>
      <c r="AH24" s="53">
        <f t="shared" si="2"/>
        <v>289</v>
      </c>
    </row>
    <row r="25" spans="1:36" ht="75.75" customHeight="1" x14ac:dyDescent="0.3">
      <c r="A25" s="158" t="s">
        <v>44</v>
      </c>
      <c r="B25" s="159"/>
      <c r="C25" s="160"/>
      <c r="D25" s="85">
        <v>4599</v>
      </c>
      <c r="E25" s="85">
        <f>D25/200*25</f>
        <v>574.875</v>
      </c>
      <c r="F25" s="38">
        <v>4173</v>
      </c>
      <c r="G25" s="32">
        <f>F25/208*25</f>
        <v>501.5625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9995</v>
      </c>
      <c r="U25" s="32">
        <f>T25/215*25</f>
        <v>1162.2093023255816</v>
      </c>
      <c r="V25" s="47" t="s">
        <v>40</v>
      </c>
      <c r="W25" s="54">
        <v>7609</v>
      </c>
      <c r="X25" s="47"/>
      <c r="Y25" s="55">
        <f>Z25*2.43</f>
        <v>3494.34</v>
      </c>
      <c r="Z25" s="38">
        <v>1438</v>
      </c>
      <c r="AA25" s="38">
        <v>70</v>
      </c>
      <c r="AB25" s="47">
        <v>0</v>
      </c>
      <c r="AC25" s="38">
        <v>6276</v>
      </c>
      <c r="AD25" s="47">
        <v>4924</v>
      </c>
      <c r="AE25" s="47"/>
      <c r="AF25" s="47">
        <f>3591+1028</f>
        <v>4619</v>
      </c>
      <c r="AG25" s="38">
        <v>0</v>
      </c>
      <c r="AH25" s="56">
        <v>10</v>
      </c>
    </row>
    <row r="26" spans="1:36" s="4" customFormat="1" ht="100.5" customHeight="1" thickBot="1" x14ac:dyDescent="0.25">
      <c r="A26" s="57">
        <v>45206</v>
      </c>
      <c r="B26" s="161" t="s">
        <v>45</v>
      </c>
      <c r="C26" s="162"/>
      <c r="D26" s="58">
        <f>D24-D25</f>
        <v>1280</v>
      </c>
      <c r="E26" s="58">
        <f t="shared" ref="E26:AA26" si="3">E24-E25</f>
        <v>160</v>
      </c>
      <c r="F26" s="58">
        <f>F24-F25</f>
        <v>103250</v>
      </c>
      <c r="G26" s="58">
        <f t="shared" si="3"/>
        <v>12409.85576923077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113835</v>
      </c>
      <c r="U26" s="59">
        <f t="shared" si="3"/>
        <v>13236.627906976742</v>
      </c>
      <c r="V26" s="60" t="e">
        <f t="shared" si="3"/>
        <v>#REF!</v>
      </c>
      <c r="W26" s="60">
        <f t="shared" si="3"/>
        <v>102385</v>
      </c>
      <c r="X26" s="60" t="e">
        <f t="shared" si="3"/>
        <v>#REF!</v>
      </c>
      <c r="Y26" s="61">
        <f>Y24-Y25</f>
        <v>68526.25</v>
      </c>
      <c r="Z26" s="58">
        <f>Z24-Z25</f>
        <v>10425</v>
      </c>
      <c r="AA26" s="58">
        <f t="shared" si="3"/>
        <v>134</v>
      </c>
      <c r="AB26" s="60">
        <f>AB24-AB25</f>
        <v>1143</v>
      </c>
      <c r="AC26" s="58">
        <f>AC24-AC25</f>
        <v>59511</v>
      </c>
      <c r="AD26" s="60">
        <f>AD24-AD25</f>
        <v>57066</v>
      </c>
      <c r="AE26" s="60">
        <f>AE24-AE25</f>
        <v>0</v>
      </c>
      <c r="AF26" s="60">
        <f>AF24-AF25</f>
        <v>72741</v>
      </c>
      <c r="AG26" s="58">
        <f t="shared" ref="AG26" si="7">AG24-AG25</f>
        <v>2035</v>
      </c>
      <c r="AH26" s="62">
        <f>AH24-AH25</f>
        <v>279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45207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48672</v>
      </c>
      <c r="G20" s="32">
        <f>F20/208*25</f>
        <v>5850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86000</v>
      </c>
      <c r="U20" s="34">
        <f>T20/215*25</f>
        <v>10000</v>
      </c>
      <c r="V20" s="33" t="e">
        <f>#REF!</f>
        <v>#REF!</v>
      </c>
      <c r="W20" s="33">
        <v>79625</v>
      </c>
      <c r="X20" s="33" t="e">
        <f>#REF!</f>
        <v>#REF!</v>
      </c>
      <c r="Y20" s="35">
        <v>59288.7</v>
      </c>
      <c r="Z20" s="31">
        <v>4700</v>
      </c>
      <c r="AA20" s="31">
        <v>94</v>
      </c>
      <c r="AB20" s="33">
        <v>1143</v>
      </c>
      <c r="AC20" s="31">
        <v>38392</v>
      </c>
      <c r="AD20" s="33">
        <v>14400</v>
      </c>
      <c r="AE20" s="33">
        <v>0</v>
      </c>
      <c r="AF20" s="33">
        <v>44810</v>
      </c>
      <c r="AG20" s="31">
        <v>1665</v>
      </c>
      <c r="AH20" s="36">
        <v>164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1280</v>
      </c>
      <c r="E21" s="38">
        <f>D21/200*25</f>
        <v>160</v>
      </c>
      <c r="F21" s="38">
        <v>54578</v>
      </c>
      <c r="G21" s="32">
        <f>F21/208*25</f>
        <v>6559.8557692307695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27835</v>
      </c>
      <c r="U21" s="32">
        <f>T21/215*25</f>
        <v>3236.6279069767443</v>
      </c>
      <c r="V21" s="34"/>
      <c r="W21" s="34">
        <v>22760</v>
      </c>
      <c r="X21" s="34">
        <v>0</v>
      </c>
      <c r="Y21" s="32">
        <v>9237.5499999999993</v>
      </c>
      <c r="Z21" s="38">
        <v>5725</v>
      </c>
      <c r="AA21" s="38">
        <v>40</v>
      </c>
      <c r="AB21" s="34">
        <v>0</v>
      </c>
      <c r="AC21" s="38">
        <v>21119</v>
      </c>
      <c r="AD21" s="34">
        <v>42666</v>
      </c>
      <c r="AE21" s="34">
        <v>0</v>
      </c>
      <c r="AF21" s="34">
        <v>27931</v>
      </c>
      <c r="AG21" s="38">
        <v>370</v>
      </c>
      <c r="AH21" s="39">
        <v>115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1280</v>
      </c>
      <c r="E22" s="84">
        <f t="shared" si="1"/>
        <v>160</v>
      </c>
      <c r="F22" s="42">
        <f t="shared" si="1"/>
        <v>103250</v>
      </c>
      <c r="G22" s="43">
        <f t="shared" si="1"/>
        <v>12409.85576923077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113835</v>
      </c>
      <c r="U22" s="43">
        <f t="shared" si="1"/>
        <v>13236.627906976744</v>
      </c>
      <c r="V22" s="44" t="e">
        <f t="shared" si="1"/>
        <v>#REF!</v>
      </c>
      <c r="W22" s="44">
        <f t="shared" si="1"/>
        <v>102385</v>
      </c>
      <c r="X22" s="44" t="e">
        <f t="shared" si="1"/>
        <v>#REF!</v>
      </c>
      <c r="Y22" s="43">
        <f t="shared" si="1"/>
        <v>68526.25</v>
      </c>
      <c r="Z22" s="42">
        <f t="shared" si="1"/>
        <v>10425</v>
      </c>
      <c r="AA22" s="42">
        <f t="shared" si="1"/>
        <v>134</v>
      </c>
      <c r="AB22" s="44">
        <f t="shared" si="1"/>
        <v>1143</v>
      </c>
      <c r="AC22" s="42">
        <f t="shared" si="1"/>
        <v>59511</v>
      </c>
      <c r="AD22" s="44">
        <f>SUM(AD20:AD21)</f>
        <v>57066</v>
      </c>
      <c r="AE22" s="44">
        <f t="shared" si="1"/>
        <v>0</v>
      </c>
      <c r="AF22" s="44">
        <f t="shared" si="1"/>
        <v>72741</v>
      </c>
      <c r="AG22" s="42">
        <f t="shared" si="1"/>
        <v>2035</v>
      </c>
      <c r="AH22" s="46">
        <f t="shared" si="1"/>
        <v>279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50*208</f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50*215</f>
        <v>10750</v>
      </c>
      <c r="U23" s="32">
        <f>T23/215*25</f>
        <v>1250</v>
      </c>
      <c r="V23" s="31"/>
      <c r="W23" s="31">
        <v>15000</v>
      </c>
      <c r="X23" s="31"/>
      <c r="Y23" s="31"/>
      <c r="Z23" s="31">
        <v>2000</v>
      </c>
      <c r="AA23" s="31">
        <v>0</v>
      </c>
      <c r="AB23" s="31"/>
      <c r="AC23" s="31">
        <v>7500</v>
      </c>
      <c r="AD23" s="31"/>
      <c r="AE23" s="31"/>
      <c r="AF23" s="48">
        <v>2800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1280</v>
      </c>
      <c r="E24" s="51">
        <f t="shared" si="2"/>
        <v>160</v>
      </c>
      <c r="F24" s="51">
        <f t="shared" si="2"/>
        <v>113650</v>
      </c>
      <c r="G24" s="51">
        <f t="shared" si="2"/>
        <v>13659.85576923077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124585</v>
      </c>
      <c r="U24" s="52">
        <f t="shared" si="2"/>
        <v>14486.627906976744</v>
      </c>
      <c r="V24" s="51" t="e">
        <f t="shared" si="2"/>
        <v>#REF!</v>
      </c>
      <c r="W24" s="51">
        <f t="shared" si="2"/>
        <v>117385</v>
      </c>
      <c r="X24" s="51" t="e">
        <f t="shared" si="2"/>
        <v>#REF!</v>
      </c>
      <c r="Y24" s="52">
        <f t="shared" si="2"/>
        <v>68526.25</v>
      </c>
      <c r="Z24" s="51">
        <f t="shared" si="2"/>
        <v>12425</v>
      </c>
      <c r="AA24" s="51">
        <f t="shared" si="2"/>
        <v>134</v>
      </c>
      <c r="AB24" s="51">
        <f t="shared" si="2"/>
        <v>1143</v>
      </c>
      <c r="AC24" s="51">
        <f t="shared" si="2"/>
        <v>67011</v>
      </c>
      <c r="AD24" s="51">
        <f t="shared" si="2"/>
        <v>57066</v>
      </c>
      <c r="AE24" s="51">
        <f t="shared" si="2"/>
        <v>0</v>
      </c>
      <c r="AF24" s="51">
        <f t="shared" si="2"/>
        <v>75541</v>
      </c>
      <c r="AG24" s="51">
        <f t="shared" si="2"/>
        <v>2035</v>
      </c>
      <c r="AH24" s="53">
        <f t="shared" si="2"/>
        <v>279</v>
      </c>
    </row>
    <row r="25" spans="1:36" ht="75.75" customHeight="1" x14ac:dyDescent="0.3">
      <c r="A25" s="158" t="s">
        <v>44</v>
      </c>
      <c r="B25" s="159"/>
      <c r="C25" s="160"/>
      <c r="D25" s="85">
        <v>1280</v>
      </c>
      <c r="E25" s="85">
        <f>D25/200*25</f>
        <v>160</v>
      </c>
      <c r="F25" s="38">
        <v>9183</v>
      </c>
      <c r="G25" s="32">
        <f>F25/208*25</f>
        <v>1103.7259615384614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9268</v>
      </c>
      <c r="U25" s="32">
        <f>T25/215*25</f>
        <v>1077.6744186046512</v>
      </c>
      <c r="V25" s="47" t="s">
        <v>40</v>
      </c>
      <c r="W25" s="54">
        <v>8123</v>
      </c>
      <c r="X25" s="47"/>
      <c r="Y25" s="55">
        <f>Z25*2.43</f>
        <v>3705.7500000000005</v>
      </c>
      <c r="Z25" s="38">
        <v>1525</v>
      </c>
      <c r="AA25" s="38">
        <v>33</v>
      </c>
      <c r="AB25" s="47">
        <v>0</v>
      </c>
      <c r="AC25" s="38">
        <v>6235</v>
      </c>
      <c r="AD25" s="47">
        <v>5656</v>
      </c>
      <c r="AE25" s="47">
        <v>0</v>
      </c>
      <c r="AF25" s="47">
        <f>3772+1204</f>
        <v>4976</v>
      </c>
      <c r="AG25" s="38"/>
      <c r="AH25" s="56">
        <v>12</v>
      </c>
    </row>
    <row r="26" spans="1:36" s="4" customFormat="1" ht="100.5" customHeight="1" thickBot="1" x14ac:dyDescent="0.25">
      <c r="A26" s="57">
        <v>45213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104467</v>
      </c>
      <c r="G26" s="58">
        <f t="shared" si="3"/>
        <v>12556.129807692309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115317</v>
      </c>
      <c r="U26" s="59">
        <f t="shared" si="3"/>
        <v>13408.953488372093</v>
      </c>
      <c r="V26" s="60" t="e">
        <f t="shared" si="3"/>
        <v>#REF!</v>
      </c>
      <c r="W26" s="60">
        <f t="shared" si="3"/>
        <v>109262</v>
      </c>
      <c r="X26" s="60" t="e">
        <f t="shared" si="3"/>
        <v>#REF!</v>
      </c>
      <c r="Y26" s="61">
        <f>Y24-Y25</f>
        <v>64820.5</v>
      </c>
      <c r="Z26" s="58">
        <f>Z24-Z25</f>
        <v>10900</v>
      </c>
      <c r="AA26" s="58">
        <f t="shared" si="3"/>
        <v>101</v>
      </c>
      <c r="AB26" s="60">
        <f>AB24-AB25</f>
        <v>1143</v>
      </c>
      <c r="AC26" s="58">
        <f>AC24-AC25</f>
        <v>60776</v>
      </c>
      <c r="AD26" s="60">
        <f>AD24-AD25</f>
        <v>51410</v>
      </c>
      <c r="AE26" s="60">
        <f>AE24-AE25</f>
        <v>0</v>
      </c>
      <c r="AF26" s="60">
        <f>AF24-AF25</f>
        <v>70565</v>
      </c>
      <c r="AG26" s="58">
        <f t="shared" ref="AG26" si="7">AG24-AG25</f>
        <v>2035</v>
      </c>
      <c r="AH26" s="62">
        <f>AH24-AH25</f>
        <v>267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zoomScale="78" zoomScaleNormal="78" workbookViewId="0">
      <selection activeCell="AA22" sqref="AA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45214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50752</v>
      </c>
      <c r="G20" s="32">
        <f>F20/208*25</f>
        <v>6100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90300</v>
      </c>
      <c r="U20" s="34">
        <f>T20/215*25</f>
        <v>10500</v>
      </c>
      <c r="V20" s="33" t="e">
        <f>#REF!</f>
        <v>#REF!</v>
      </c>
      <c r="W20" s="33">
        <v>87250</v>
      </c>
      <c r="X20" s="33" t="e">
        <f>#REF!</f>
        <v>#REF!</v>
      </c>
      <c r="Y20" s="35">
        <v>55643.7</v>
      </c>
      <c r="Z20" s="31">
        <v>5200</v>
      </c>
      <c r="AA20" s="31">
        <v>41</v>
      </c>
      <c r="AB20" s="33">
        <v>1143</v>
      </c>
      <c r="AC20" s="31">
        <v>39892</v>
      </c>
      <c r="AD20" s="33">
        <v>14400</v>
      </c>
      <c r="AE20" s="33">
        <v>0</v>
      </c>
      <c r="AF20" s="33">
        <v>43110</v>
      </c>
      <c r="AG20" s="31">
        <v>1665</v>
      </c>
      <c r="AH20" s="36">
        <v>164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53715</v>
      </c>
      <c r="G21" s="32">
        <f>F21/208*25</f>
        <v>6456.1298076923076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25017</v>
      </c>
      <c r="U21" s="32">
        <f>T21/215*25</f>
        <v>2908.953488372093</v>
      </c>
      <c r="V21" s="34"/>
      <c r="W21" s="34">
        <v>22012</v>
      </c>
      <c r="X21" s="34">
        <v>0</v>
      </c>
      <c r="Y21" s="32">
        <v>9176.7999999999993</v>
      </c>
      <c r="Z21" s="38">
        <v>5700</v>
      </c>
      <c r="AA21" s="38">
        <v>60</v>
      </c>
      <c r="AB21" s="34">
        <v>0</v>
      </c>
      <c r="AC21" s="38">
        <v>20884</v>
      </c>
      <c r="AD21" s="34">
        <v>37010</v>
      </c>
      <c r="AE21" s="34">
        <v>0</v>
      </c>
      <c r="AF21" s="34">
        <v>27455</v>
      </c>
      <c r="AG21" s="38">
        <v>370</v>
      </c>
      <c r="AH21" s="39">
        <v>103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104467</v>
      </c>
      <c r="G22" s="43">
        <f t="shared" si="1"/>
        <v>12556.129807692309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115317</v>
      </c>
      <c r="U22" s="43">
        <f t="shared" si="1"/>
        <v>13408.953488372093</v>
      </c>
      <c r="V22" s="44" t="e">
        <f t="shared" si="1"/>
        <v>#REF!</v>
      </c>
      <c r="W22" s="44">
        <f t="shared" si="1"/>
        <v>109262</v>
      </c>
      <c r="X22" s="44" t="e">
        <f t="shared" si="1"/>
        <v>#REF!</v>
      </c>
      <c r="Y22" s="43">
        <f t="shared" si="1"/>
        <v>64820.5</v>
      </c>
      <c r="Z22" s="42">
        <f t="shared" si="1"/>
        <v>10900</v>
      </c>
      <c r="AA22" s="42">
        <f t="shared" si="1"/>
        <v>101</v>
      </c>
      <c r="AB22" s="44">
        <f t="shared" si="1"/>
        <v>1143</v>
      </c>
      <c r="AC22" s="42">
        <f t="shared" si="1"/>
        <v>60776</v>
      </c>
      <c r="AD22" s="44">
        <f>SUM(AD20:AD21)</f>
        <v>51410</v>
      </c>
      <c r="AE22" s="44">
        <f t="shared" si="1"/>
        <v>0</v>
      </c>
      <c r="AF22" s="44">
        <f t="shared" si="1"/>
        <v>70565</v>
      </c>
      <c r="AG22" s="42">
        <f t="shared" si="1"/>
        <v>2035</v>
      </c>
      <c r="AH22" s="46">
        <f t="shared" si="1"/>
        <v>267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104467</v>
      </c>
      <c r="G24" s="51">
        <f t="shared" si="2"/>
        <v>12556.129807692309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115317</v>
      </c>
      <c r="U24" s="52">
        <f t="shared" si="2"/>
        <v>13408.953488372093</v>
      </c>
      <c r="V24" s="51" t="e">
        <f t="shared" si="2"/>
        <v>#REF!</v>
      </c>
      <c r="W24" s="51">
        <f t="shared" si="2"/>
        <v>109262</v>
      </c>
      <c r="X24" s="51" t="e">
        <f t="shared" si="2"/>
        <v>#REF!</v>
      </c>
      <c r="Y24" s="52">
        <f t="shared" si="2"/>
        <v>64820.5</v>
      </c>
      <c r="Z24" s="51">
        <f t="shared" si="2"/>
        <v>10900</v>
      </c>
      <c r="AA24" s="51">
        <f t="shared" si="2"/>
        <v>101</v>
      </c>
      <c r="AB24" s="51">
        <f t="shared" si="2"/>
        <v>1143</v>
      </c>
      <c r="AC24" s="51">
        <f t="shared" si="2"/>
        <v>60776</v>
      </c>
      <c r="AD24" s="51">
        <f t="shared" si="2"/>
        <v>51410</v>
      </c>
      <c r="AE24" s="51">
        <f t="shared" si="2"/>
        <v>0</v>
      </c>
      <c r="AF24" s="51">
        <f t="shared" si="2"/>
        <v>70565</v>
      </c>
      <c r="AG24" s="51">
        <f t="shared" si="2"/>
        <v>2035</v>
      </c>
      <c r="AH24" s="53">
        <f t="shared" si="2"/>
        <v>267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8">
        <v>11022</v>
      </c>
      <c r="G25" s="32">
        <f>F25/208*25</f>
        <v>1324.7596153846152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8812</v>
      </c>
      <c r="U25" s="32">
        <f>T25/215*25</f>
        <v>1024.6511627906975</v>
      </c>
      <c r="V25" s="47" t="s">
        <v>40</v>
      </c>
      <c r="W25" s="54">
        <v>8087</v>
      </c>
      <c r="X25" s="47"/>
      <c r="Y25" s="55">
        <f>Z25*2.43</f>
        <v>3732.4800000000005</v>
      </c>
      <c r="Z25" s="38">
        <v>1536</v>
      </c>
      <c r="AA25" s="38">
        <v>60</v>
      </c>
      <c r="AB25" s="47">
        <v>0</v>
      </c>
      <c r="AC25" s="38">
        <v>8165</v>
      </c>
      <c r="AD25" s="47">
        <v>3715</v>
      </c>
      <c r="AE25" s="47">
        <v>0</v>
      </c>
      <c r="AF25" s="47">
        <f>4203+733</f>
        <v>4936</v>
      </c>
      <c r="AG25" s="38"/>
      <c r="AH25" s="56">
        <v>4</v>
      </c>
    </row>
    <row r="26" spans="1:36" s="4" customFormat="1" ht="100.5" customHeight="1" thickBot="1" x14ac:dyDescent="0.25">
      <c r="A26" s="57">
        <v>45220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93445</v>
      </c>
      <c r="G26" s="58">
        <f t="shared" si="3"/>
        <v>11231.370192307693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106505</v>
      </c>
      <c r="U26" s="59">
        <f t="shared" si="3"/>
        <v>12384.302325581397</v>
      </c>
      <c r="V26" s="60" t="e">
        <f t="shared" si="3"/>
        <v>#REF!</v>
      </c>
      <c r="W26" s="60">
        <f t="shared" si="3"/>
        <v>101175</v>
      </c>
      <c r="X26" s="60" t="e">
        <f t="shared" si="3"/>
        <v>#REF!</v>
      </c>
      <c r="Y26" s="61">
        <f>Y24-Y25</f>
        <v>61088.02</v>
      </c>
      <c r="Z26" s="58">
        <f>Z24-Z25</f>
        <v>9364</v>
      </c>
      <c r="AA26" s="58">
        <f t="shared" si="3"/>
        <v>41</v>
      </c>
      <c r="AB26" s="60">
        <f>AB24-AB25</f>
        <v>1143</v>
      </c>
      <c r="AC26" s="58">
        <f>AC24-AC25</f>
        <v>52611</v>
      </c>
      <c r="AD26" s="60">
        <f>AD24-AD25</f>
        <v>47695</v>
      </c>
      <c r="AE26" s="60">
        <f>AE24-AE25</f>
        <v>0</v>
      </c>
      <c r="AF26" s="60">
        <f>AF24-AF25</f>
        <v>65629</v>
      </c>
      <c r="AG26" s="58">
        <f t="shared" ref="AG26" si="7">AG24-AG25</f>
        <v>2035</v>
      </c>
      <c r="AH26" s="62">
        <f>AH24-AH25</f>
        <v>263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G10" zoomScale="78" zoomScaleNormal="78" workbookViewId="0">
      <selection activeCell="AG21" sqref="AG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45221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50752</v>
      </c>
      <c r="G20" s="32">
        <f>F20/208*25</f>
        <v>6100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81700</v>
      </c>
      <c r="U20" s="34">
        <f>T20/215*25</f>
        <v>9500</v>
      </c>
      <c r="V20" s="33" t="e">
        <f>#REF!</f>
        <v>#REF!</v>
      </c>
      <c r="W20" s="33">
        <v>83000</v>
      </c>
      <c r="X20" s="33" t="e">
        <f>#REF!</f>
        <v>#REF!</v>
      </c>
      <c r="Y20" s="35">
        <v>55643.7</v>
      </c>
      <c r="Z20" s="31">
        <v>5200</v>
      </c>
      <c r="AA20" s="31">
        <v>0</v>
      </c>
      <c r="AB20" s="33">
        <v>1143</v>
      </c>
      <c r="AC20" s="31">
        <v>28642</v>
      </c>
      <c r="AD20" s="33">
        <v>14400</v>
      </c>
      <c r="AE20" s="33">
        <v>0</v>
      </c>
      <c r="AF20" s="33">
        <v>40410</v>
      </c>
      <c r="AG20" s="31">
        <v>1665</v>
      </c>
      <c r="AH20" s="36">
        <v>164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42693</v>
      </c>
      <c r="G21" s="32">
        <f>F21/208*25</f>
        <v>5131.3701923076924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24805</v>
      </c>
      <c r="U21" s="32">
        <f>T21/215*25</f>
        <v>2884.3023255813955</v>
      </c>
      <c r="V21" s="34"/>
      <c r="W21" s="34">
        <v>18175</v>
      </c>
      <c r="X21" s="34">
        <v>0</v>
      </c>
      <c r="Y21" s="32">
        <v>5444.32</v>
      </c>
      <c r="Z21" s="38">
        <v>4164</v>
      </c>
      <c r="AA21" s="38">
        <v>41</v>
      </c>
      <c r="AB21" s="34">
        <v>0</v>
      </c>
      <c r="AC21" s="38">
        <v>23969</v>
      </c>
      <c r="AD21" s="34">
        <v>33295</v>
      </c>
      <c r="AE21" s="34">
        <v>0</v>
      </c>
      <c r="AF21" s="34">
        <v>25219</v>
      </c>
      <c r="AG21" s="38">
        <v>370</v>
      </c>
      <c r="AH21" s="39">
        <v>99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93445</v>
      </c>
      <c r="G22" s="43">
        <f t="shared" si="1"/>
        <v>11231.370192307691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106505</v>
      </c>
      <c r="U22" s="43">
        <f t="shared" si="1"/>
        <v>12384.302325581395</v>
      </c>
      <c r="V22" s="44" t="e">
        <f t="shared" si="1"/>
        <v>#REF!</v>
      </c>
      <c r="W22" s="44">
        <f t="shared" si="1"/>
        <v>101175</v>
      </c>
      <c r="X22" s="44" t="e">
        <f t="shared" si="1"/>
        <v>#REF!</v>
      </c>
      <c r="Y22" s="43">
        <f t="shared" si="1"/>
        <v>61088.02</v>
      </c>
      <c r="Z22" s="42">
        <f t="shared" si="1"/>
        <v>9364</v>
      </c>
      <c r="AA22" s="42">
        <f t="shared" si="1"/>
        <v>41</v>
      </c>
      <c r="AB22" s="44">
        <f t="shared" si="1"/>
        <v>1143</v>
      </c>
      <c r="AC22" s="42">
        <f t="shared" si="1"/>
        <v>52611</v>
      </c>
      <c r="AD22" s="44">
        <f>SUM(AD20:AD21)</f>
        <v>47695</v>
      </c>
      <c r="AE22" s="44">
        <f t="shared" si="1"/>
        <v>0</v>
      </c>
      <c r="AF22" s="44">
        <f t="shared" si="1"/>
        <v>65629</v>
      </c>
      <c r="AG22" s="42">
        <f t="shared" si="1"/>
        <v>2035</v>
      </c>
      <c r="AH22" s="46">
        <f t="shared" si="1"/>
        <v>263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93445</v>
      </c>
      <c r="G24" s="51">
        <f t="shared" si="2"/>
        <v>11231.370192307691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106505</v>
      </c>
      <c r="U24" s="52">
        <f t="shared" si="2"/>
        <v>12384.302325581395</v>
      </c>
      <c r="V24" s="51" t="e">
        <f t="shared" si="2"/>
        <v>#REF!</v>
      </c>
      <c r="W24" s="51">
        <f t="shared" si="2"/>
        <v>101175</v>
      </c>
      <c r="X24" s="51" t="e">
        <f t="shared" si="2"/>
        <v>#REF!</v>
      </c>
      <c r="Y24" s="52">
        <f t="shared" si="2"/>
        <v>61088.02</v>
      </c>
      <c r="Z24" s="51">
        <f t="shared" si="2"/>
        <v>9364</v>
      </c>
      <c r="AA24" s="51">
        <f t="shared" si="2"/>
        <v>41</v>
      </c>
      <c r="AB24" s="51">
        <f t="shared" si="2"/>
        <v>1143</v>
      </c>
      <c r="AC24" s="51">
        <f t="shared" si="2"/>
        <v>52611</v>
      </c>
      <c r="AD24" s="51">
        <f t="shared" si="2"/>
        <v>47695</v>
      </c>
      <c r="AE24" s="51">
        <f t="shared" si="2"/>
        <v>0</v>
      </c>
      <c r="AF24" s="51">
        <f t="shared" si="2"/>
        <v>65629</v>
      </c>
      <c r="AG24" s="51">
        <f t="shared" si="2"/>
        <v>2035</v>
      </c>
      <c r="AH24" s="53">
        <f t="shared" si="2"/>
        <v>263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8">
        <v>9489</v>
      </c>
      <c r="G25" s="32">
        <f>F25/208*25</f>
        <v>1140.5048076923076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9528</v>
      </c>
      <c r="U25" s="32">
        <f>T25/215*25</f>
        <v>1107.9069767441861</v>
      </c>
      <c r="V25" s="47" t="s">
        <v>40</v>
      </c>
      <c r="W25" s="54">
        <v>8204</v>
      </c>
      <c r="X25" s="47"/>
      <c r="Y25" s="55">
        <f>Z25*2.43</f>
        <v>3897.7200000000003</v>
      </c>
      <c r="Z25" s="38">
        <v>1604</v>
      </c>
      <c r="AA25" s="38">
        <v>41</v>
      </c>
      <c r="AB25" s="47">
        <v>0</v>
      </c>
      <c r="AC25" s="38">
        <f>7+7948</f>
        <v>7955</v>
      </c>
      <c r="AD25" s="47">
        <v>3794</v>
      </c>
      <c r="AE25" s="47">
        <v>0</v>
      </c>
      <c r="AF25" s="47">
        <f>4020+890</f>
        <v>4910</v>
      </c>
      <c r="AG25" s="38">
        <v>150</v>
      </c>
      <c r="AH25" s="56">
        <v>10</v>
      </c>
    </row>
    <row r="26" spans="1:36" s="4" customFormat="1" ht="100.5" customHeight="1" thickBot="1" x14ac:dyDescent="0.25">
      <c r="A26" s="57">
        <v>45230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83956</v>
      </c>
      <c r="G26" s="58">
        <f t="shared" si="3"/>
        <v>10090.865384615383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96977</v>
      </c>
      <c r="U26" s="59">
        <f t="shared" si="3"/>
        <v>11276.39534883721</v>
      </c>
      <c r="V26" s="60" t="e">
        <f t="shared" si="3"/>
        <v>#REF!</v>
      </c>
      <c r="W26" s="60">
        <f t="shared" si="3"/>
        <v>92971</v>
      </c>
      <c r="X26" s="60" t="e">
        <f t="shared" si="3"/>
        <v>#REF!</v>
      </c>
      <c r="Y26" s="61">
        <f>Y24-Y25</f>
        <v>57190.299999999996</v>
      </c>
      <c r="Z26" s="58">
        <f>Z24-Z25</f>
        <v>7760</v>
      </c>
      <c r="AA26" s="58">
        <f t="shared" si="3"/>
        <v>0</v>
      </c>
      <c r="AB26" s="60">
        <f>AB24-AB25</f>
        <v>1143</v>
      </c>
      <c r="AC26" s="58">
        <f>AC24-AC25</f>
        <v>44656</v>
      </c>
      <c r="AD26" s="60">
        <f>AD24-AD25</f>
        <v>43901</v>
      </c>
      <c r="AE26" s="60">
        <f>AE24-AE25</f>
        <v>0</v>
      </c>
      <c r="AF26" s="60">
        <f>AF24-AF25</f>
        <v>60719</v>
      </c>
      <c r="AG26" s="58">
        <f t="shared" ref="AG26" si="7">AG24-AG25</f>
        <v>1885</v>
      </c>
      <c r="AH26" s="62">
        <f>AH24-AH25</f>
        <v>253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F25" sqref="F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45231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50752</v>
      </c>
      <c r="G20" s="32">
        <f>F20/208*25</f>
        <v>6100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81700</v>
      </c>
      <c r="U20" s="34">
        <f>T20/215*25</f>
        <v>9500</v>
      </c>
      <c r="V20" s="33" t="e">
        <f>#REF!</f>
        <v>#REF!</v>
      </c>
      <c r="W20" s="33">
        <v>83000</v>
      </c>
      <c r="X20" s="33" t="e">
        <f>#REF!</f>
        <v>#REF!</v>
      </c>
      <c r="Y20" s="35">
        <v>55643.7</v>
      </c>
      <c r="Z20" s="31">
        <v>5200</v>
      </c>
      <c r="AA20" s="31">
        <v>0</v>
      </c>
      <c r="AB20" s="33">
        <v>1143</v>
      </c>
      <c r="AC20" s="31">
        <v>28642</v>
      </c>
      <c r="AD20" s="33">
        <v>14400</v>
      </c>
      <c r="AE20" s="33">
        <v>0</v>
      </c>
      <c r="AF20" s="33">
        <v>40410</v>
      </c>
      <c r="AG20" s="31">
        <v>1665</v>
      </c>
      <c r="AH20" s="36">
        <v>164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33204</v>
      </c>
      <c r="G21" s="32">
        <f>F21/208*25</f>
        <v>3990.8653846153848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15277</v>
      </c>
      <c r="U21" s="32">
        <f>T21/215*25</f>
        <v>1776.3953488372092</v>
      </c>
      <c r="V21" s="34"/>
      <c r="W21" s="34">
        <v>9971</v>
      </c>
      <c r="X21" s="34">
        <v>0</v>
      </c>
      <c r="Y21" s="32">
        <v>1546.599999999999</v>
      </c>
      <c r="Z21" s="38">
        <v>2560</v>
      </c>
      <c r="AA21" s="38">
        <v>0</v>
      </c>
      <c r="AB21" s="34">
        <v>0</v>
      </c>
      <c r="AC21" s="38">
        <v>16014</v>
      </c>
      <c r="AD21" s="34">
        <v>29501</v>
      </c>
      <c r="AE21" s="34">
        <v>0</v>
      </c>
      <c r="AF21" s="34">
        <v>20309</v>
      </c>
      <c r="AG21" s="38">
        <v>220</v>
      </c>
      <c r="AH21" s="39">
        <v>89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83956</v>
      </c>
      <c r="G22" s="43">
        <f t="shared" si="1"/>
        <v>10090.865384615385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96977</v>
      </c>
      <c r="U22" s="43">
        <f t="shared" si="1"/>
        <v>11276.39534883721</v>
      </c>
      <c r="V22" s="44" t="e">
        <f t="shared" si="1"/>
        <v>#REF!</v>
      </c>
      <c r="W22" s="44">
        <f t="shared" si="1"/>
        <v>92971</v>
      </c>
      <c r="X22" s="44" t="e">
        <f t="shared" si="1"/>
        <v>#REF!</v>
      </c>
      <c r="Y22" s="43">
        <f t="shared" si="1"/>
        <v>57190.299999999996</v>
      </c>
      <c r="Z22" s="42">
        <f t="shared" si="1"/>
        <v>7760</v>
      </c>
      <c r="AA22" s="42">
        <f t="shared" si="1"/>
        <v>0</v>
      </c>
      <c r="AB22" s="44">
        <f t="shared" si="1"/>
        <v>1143</v>
      </c>
      <c r="AC22" s="42">
        <f t="shared" si="1"/>
        <v>44656</v>
      </c>
      <c r="AD22" s="44">
        <f>SUM(AD20:AD21)</f>
        <v>43901</v>
      </c>
      <c r="AE22" s="44">
        <f t="shared" si="1"/>
        <v>0</v>
      </c>
      <c r="AF22" s="44">
        <f t="shared" si="1"/>
        <v>60719</v>
      </c>
      <c r="AG22" s="42">
        <f t="shared" si="1"/>
        <v>1885</v>
      </c>
      <c r="AH22" s="46">
        <f t="shared" si="1"/>
        <v>253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83956</v>
      </c>
      <c r="G24" s="51">
        <f t="shared" si="2"/>
        <v>10090.865384615385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96977</v>
      </c>
      <c r="U24" s="52">
        <f t="shared" si="2"/>
        <v>11276.39534883721</v>
      </c>
      <c r="V24" s="51" t="e">
        <f t="shared" si="2"/>
        <v>#REF!</v>
      </c>
      <c r="W24" s="51">
        <f t="shared" si="2"/>
        <v>92971</v>
      </c>
      <c r="X24" s="51" t="e">
        <f t="shared" si="2"/>
        <v>#REF!</v>
      </c>
      <c r="Y24" s="52">
        <f t="shared" si="2"/>
        <v>57190.299999999996</v>
      </c>
      <c r="Z24" s="51">
        <f t="shared" si="2"/>
        <v>7760</v>
      </c>
      <c r="AA24" s="51">
        <f t="shared" si="2"/>
        <v>0</v>
      </c>
      <c r="AB24" s="51">
        <f t="shared" si="2"/>
        <v>1143</v>
      </c>
      <c r="AC24" s="51">
        <f t="shared" si="2"/>
        <v>44656</v>
      </c>
      <c r="AD24" s="51">
        <f t="shared" si="2"/>
        <v>43901</v>
      </c>
      <c r="AE24" s="51">
        <f t="shared" si="2"/>
        <v>0</v>
      </c>
      <c r="AF24" s="51">
        <f t="shared" si="2"/>
        <v>60719</v>
      </c>
      <c r="AG24" s="51">
        <f t="shared" si="2"/>
        <v>1885</v>
      </c>
      <c r="AH24" s="53">
        <f t="shared" si="2"/>
        <v>253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8">
        <v>2858</v>
      </c>
      <c r="G25" s="32">
        <f>F25/208*25</f>
        <v>343.50961538461536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2595</v>
      </c>
      <c r="U25" s="32">
        <f>T25/215*25</f>
        <v>301.74418604651163</v>
      </c>
      <c r="V25" s="47" t="s">
        <v>40</v>
      </c>
      <c r="W25" s="54">
        <v>2078</v>
      </c>
      <c r="X25" s="47"/>
      <c r="Y25" s="55">
        <f>Z25*2.43</f>
        <v>1129.95</v>
      </c>
      <c r="Z25" s="38">
        <v>465</v>
      </c>
      <c r="AA25" s="38">
        <v>0</v>
      </c>
      <c r="AB25" s="47">
        <v>0</v>
      </c>
      <c r="AC25" s="38">
        <v>2046</v>
      </c>
      <c r="AD25" s="47">
        <v>987</v>
      </c>
      <c r="AE25" s="47">
        <v>0</v>
      </c>
      <c r="AF25" s="47">
        <f>944+456</f>
        <v>1400</v>
      </c>
      <c r="AG25" s="38">
        <v>0</v>
      </c>
      <c r="AH25" s="56">
        <v>4</v>
      </c>
    </row>
    <row r="26" spans="1:36" s="4" customFormat="1" ht="100.5" customHeight="1" thickBot="1" x14ac:dyDescent="0.25">
      <c r="A26" s="57">
        <v>45235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81098</v>
      </c>
      <c r="G26" s="58">
        <f t="shared" si="3"/>
        <v>9747.3557692307695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94382</v>
      </c>
      <c r="U26" s="59">
        <f t="shared" si="3"/>
        <v>10974.651162790698</v>
      </c>
      <c r="V26" s="60" t="e">
        <f t="shared" si="3"/>
        <v>#REF!</v>
      </c>
      <c r="W26" s="60">
        <f t="shared" si="3"/>
        <v>90893</v>
      </c>
      <c r="X26" s="60" t="e">
        <f t="shared" si="3"/>
        <v>#REF!</v>
      </c>
      <c r="Y26" s="61">
        <f>Y24-Y25</f>
        <v>56060.35</v>
      </c>
      <c r="Z26" s="58">
        <f>Z24-Z25</f>
        <v>7295</v>
      </c>
      <c r="AA26" s="58">
        <f t="shared" si="3"/>
        <v>0</v>
      </c>
      <c r="AB26" s="60">
        <f>AB24-AB25</f>
        <v>1143</v>
      </c>
      <c r="AC26" s="58">
        <f>AC24-AC25</f>
        <v>42610</v>
      </c>
      <c r="AD26" s="60">
        <f>AD24-AD25</f>
        <v>42914</v>
      </c>
      <c r="AE26" s="60">
        <f>AE24-AE25</f>
        <v>0</v>
      </c>
      <c r="AF26" s="60">
        <f>AF24-AF25</f>
        <v>59319</v>
      </c>
      <c r="AG26" s="58">
        <f t="shared" ref="AG26" si="7">AG24-AG25</f>
        <v>1885</v>
      </c>
      <c r="AH26" s="62">
        <f>AH24-AH25</f>
        <v>249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9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45236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48672</v>
      </c>
      <c r="G20" s="32">
        <f>F20/208*25</f>
        <v>5850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68800</v>
      </c>
      <c r="U20" s="34">
        <f>T20/215*25</f>
        <v>8000</v>
      </c>
      <c r="V20" s="33" t="e">
        <f>#REF!</f>
        <v>#REF!</v>
      </c>
      <c r="W20" s="33">
        <v>77000</v>
      </c>
      <c r="X20" s="33" t="e">
        <f>#REF!</f>
        <v>#REF!</v>
      </c>
      <c r="Y20" s="35">
        <v>53087.34</v>
      </c>
      <c r="Z20" s="31">
        <v>4148</v>
      </c>
      <c r="AA20" s="31">
        <v>0</v>
      </c>
      <c r="AB20" s="33">
        <v>1143</v>
      </c>
      <c r="AC20" s="31">
        <v>14481</v>
      </c>
      <c r="AD20" s="33">
        <v>14400</v>
      </c>
      <c r="AE20" s="33">
        <v>0</v>
      </c>
      <c r="AF20" s="33">
        <v>36233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32426</v>
      </c>
      <c r="G21" s="32">
        <f>F21/208*25</f>
        <v>3897.3557692307695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25582</v>
      </c>
      <c r="U21" s="32">
        <f>T21/215*25</f>
        <v>2974.6511627906975</v>
      </c>
      <c r="V21" s="34"/>
      <c r="W21" s="34">
        <v>13893</v>
      </c>
      <c r="X21" s="34">
        <v>0</v>
      </c>
      <c r="Y21" s="32">
        <v>2973.0099999999989</v>
      </c>
      <c r="Z21" s="38">
        <v>3147</v>
      </c>
      <c r="AA21" s="38">
        <v>0</v>
      </c>
      <c r="AB21" s="34">
        <v>0</v>
      </c>
      <c r="AC21" s="38">
        <v>28129</v>
      </c>
      <c r="AD21" s="34">
        <v>28514</v>
      </c>
      <c r="AE21" s="34">
        <v>0</v>
      </c>
      <c r="AF21" s="34">
        <v>23086</v>
      </c>
      <c r="AG21" s="38">
        <v>220</v>
      </c>
      <c r="AH21" s="39">
        <v>99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81098</v>
      </c>
      <c r="G22" s="43">
        <f t="shared" si="1"/>
        <v>9747.3557692307695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94382</v>
      </c>
      <c r="U22" s="43">
        <f t="shared" si="1"/>
        <v>10974.651162790698</v>
      </c>
      <c r="V22" s="44" t="e">
        <f t="shared" si="1"/>
        <v>#REF!</v>
      </c>
      <c r="W22" s="44">
        <f t="shared" si="1"/>
        <v>90893</v>
      </c>
      <c r="X22" s="44" t="e">
        <f t="shared" si="1"/>
        <v>#REF!</v>
      </c>
      <c r="Y22" s="43">
        <f t="shared" si="1"/>
        <v>56060.35</v>
      </c>
      <c r="Z22" s="42">
        <f t="shared" si="1"/>
        <v>7295</v>
      </c>
      <c r="AA22" s="42">
        <f t="shared" si="1"/>
        <v>0</v>
      </c>
      <c r="AB22" s="44">
        <f t="shared" si="1"/>
        <v>1143</v>
      </c>
      <c r="AC22" s="42">
        <f t="shared" si="1"/>
        <v>42610</v>
      </c>
      <c r="AD22" s="44">
        <f>SUM(AD20:AD21)</f>
        <v>42914</v>
      </c>
      <c r="AE22" s="44">
        <f t="shared" si="1"/>
        <v>0</v>
      </c>
      <c r="AF22" s="44">
        <f t="shared" si="1"/>
        <v>59319</v>
      </c>
      <c r="AG22" s="42">
        <f t="shared" si="1"/>
        <v>1885</v>
      </c>
      <c r="AH22" s="46">
        <f t="shared" si="1"/>
        <v>249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75*208</f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v>15000</v>
      </c>
      <c r="X23" s="31"/>
      <c r="Y23" s="31">
        <v>4000</v>
      </c>
      <c r="Z23" s="31">
        <v>2000</v>
      </c>
      <c r="AA23" s="31">
        <v>400</v>
      </c>
      <c r="AB23" s="31"/>
      <c r="AC23" s="31">
        <v>16000</v>
      </c>
      <c r="AD23" s="31"/>
      <c r="AE23" s="31"/>
      <c r="AF23" s="48">
        <v>4700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96698</v>
      </c>
      <c r="G24" s="51">
        <f t="shared" si="2"/>
        <v>11622.35576923077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110507</v>
      </c>
      <c r="U24" s="52">
        <f t="shared" si="2"/>
        <v>12849.651162790698</v>
      </c>
      <c r="V24" s="51" t="e">
        <f t="shared" si="2"/>
        <v>#REF!</v>
      </c>
      <c r="W24" s="51">
        <f t="shared" si="2"/>
        <v>105893</v>
      </c>
      <c r="X24" s="51" t="e">
        <f t="shared" si="2"/>
        <v>#REF!</v>
      </c>
      <c r="Y24" s="52">
        <f t="shared" si="2"/>
        <v>60060.35</v>
      </c>
      <c r="Z24" s="51">
        <f t="shared" si="2"/>
        <v>9295</v>
      </c>
      <c r="AA24" s="51">
        <f t="shared" si="2"/>
        <v>400</v>
      </c>
      <c r="AB24" s="51">
        <f t="shared" si="2"/>
        <v>1143</v>
      </c>
      <c r="AC24" s="51">
        <f t="shared" si="2"/>
        <v>58610</v>
      </c>
      <c r="AD24" s="51">
        <f t="shared" si="2"/>
        <v>42914</v>
      </c>
      <c r="AE24" s="51">
        <f t="shared" si="2"/>
        <v>0</v>
      </c>
      <c r="AF24" s="51">
        <f t="shared" si="2"/>
        <v>64019</v>
      </c>
      <c r="AG24" s="51">
        <f t="shared" si="2"/>
        <v>1885</v>
      </c>
      <c r="AH24" s="53">
        <f t="shared" si="2"/>
        <v>249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8">
        <v>8947</v>
      </c>
      <c r="G25" s="32">
        <f>F25/208*25</f>
        <v>1075.3605769230769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10291</v>
      </c>
      <c r="U25" s="32">
        <f>T25/215*25</f>
        <v>1196.6279069767443</v>
      </c>
      <c r="V25" s="47" t="s">
        <v>40</v>
      </c>
      <c r="W25" s="54">
        <v>8072</v>
      </c>
      <c r="X25" s="47"/>
      <c r="Y25" s="55">
        <f>Z25*2.43</f>
        <v>3523.5000000000005</v>
      </c>
      <c r="Z25" s="38">
        <v>1450</v>
      </c>
      <c r="AA25" s="38">
        <v>0</v>
      </c>
      <c r="AB25" s="47">
        <v>0</v>
      </c>
      <c r="AC25" s="38">
        <f>4+8638</f>
        <v>8642</v>
      </c>
      <c r="AD25" s="47">
        <v>3159</v>
      </c>
      <c r="AE25" s="47">
        <v>0</v>
      </c>
      <c r="AF25" s="47">
        <f>3540+1375</f>
        <v>4915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45242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87751</v>
      </c>
      <c r="G26" s="58">
        <f t="shared" si="3"/>
        <v>10546.995192307693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100216</v>
      </c>
      <c r="U26" s="59">
        <f t="shared" si="3"/>
        <v>11653.023255813954</v>
      </c>
      <c r="V26" s="60" t="e">
        <f t="shared" si="3"/>
        <v>#REF!</v>
      </c>
      <c r="W26" s="60">
        <f t="shared" si="3"/>
        <v>97821</v>
      </c>
      <c r="X26" s="60" t="e">
        <f t="shared" si="3"/>
        <v>#REF!</v>
      </c>
      <c r="Y26" s="61">
        <f>Y24-Y25</f>
        <v>56536.85</v>
      </c>
      <c r="Z26" s="58">
        <f>Z24-Z25</f>
        <v>7845</v>
      </c>
      <c r="AA26" s="58">
        <f t="shared" si="3"/>
        <v>400</v>
      </c>
      <c r="AB26" s="60">
        <f>AB24-AB25</f>
        <v>1143</v>
      </c>
      <c r="AC26" s="58">
        <f>AC24-AC25</f>
        <v>49968</v>
      </c>
      <c r="AD26" s="60">
        <f>AD24-AD25</f>
        <v>39755</v>
      </c>
      <c r="AE26" s="60">
        <f>AE24-AE25</f>
        <v>0</v>
      </c>
      <c r="AF26" s="60">
        <f>AF24-AF25</f>
        <v>59104</v>
      </c>
      <c r="AG26" s="58">
        <f t="shared" ref="AG26" si="7">AG24-AG25</f>
        <v>1885</v>
      </c>
      <c r="AH26" s="62">
        <f>AH24-AH25</f>
        <v>241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8" zoomScaleNormal="78" workbookViewId="0">
      <selection activeCell="AA21" sqref="AA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45243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45552</v>
      </c>
      <c r="G20" s="32">
        <f>F20/208*25</f>
        <v>5475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76325</v>
      </c>
      <c r="U20" s="34">
        <f>T20/215*25</f>
        <v>8875</v>
      </c>
      <c r="V20" s="33" t="e">
        <f>#REF!</f>
        <v>#REF!</v>
      </c>
      <c r="W20" s="33">
        <v>78750</v>
      </c>
      <c r="X20" s="33" t="e">
        <f>#REF!</f>
        <v>#REF!</v>
      </c>
      <c r="Y20" s="35">
        <v>50741.34</v>
      </c>
      <c r="Z20" s="31">
        <v>3948</v>
      </c>
      <c r="AA20" s="31">
        <v>160</v>
      </c>
      <c r="AB20" s="33">
        <v>1143</v>
      </c>
      <c r="AC20" s="31">
        <v>14731</v>
      </c>
      <c r="AD20" s="33">
        <v>14400</v>
      </c>
      <c r="AE20" s="33">
        <v>0</v>
      </c>
      <c r="AF20" s="33">
        <v>36333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42199</v>
      </c>
      <c r="G21" s="32">
        <f>F21/208*25</f>
        <v>5071.9951923076924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23891</v>
      </c>
      <c r="U21" s="32">
        <f>T21/215*25</f>
        <v>2778.0232558139533</v>
      </c>
      <c r="V21" s="34"/>
      <c r="W21" s="34">
        <v>19071</v>
      </c>
      <c r="X21" s="34">
        <v>0</v>
      </c>
      <c r="Y21" s="32">
        <v>5795.51</v>
      </c>
      <c r="Z21" s="38">
        <v>3897</v>
      </c>
      <c r="AA21" s="38">
        <v>160</v>
      </c>
      <c r="AB21" s="34">
        <v>0</v>
      </c>
      <c r="AC21" s="38">
        <v>35237</v>
      </c>
      <c r="AD21" s="34">
        <v>25355</v>
      </c>
      <c r="AE21" s="34">
        <v>0</v>
      </c>
      <c r="AF21" s="34">
        <v>22771</v>
      </c>
      <c r="AG21" s="38">
        <v>220</v>
      </c>
      <c r="AH21" s="39">
        <v>91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87751</v>
      </c>
      <c r="G22" s="43">
        <f t="shared" si="1"/>
        <v>10546.995192307691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100216</v>
      </c>
      <c r="U22" s="43">
        <f t="shared" si="1"/>
        <v>11653.023255813954</v>
      </c>
      <c r="V22" s="44" t="e">
        <f t="shared" si="1"/>
        <v>#REF!</v>
      </c>
      <c r="W22" s="44">
        <f t="shared" si="1"/>
        <v>97821</v>
      </c>
      <c r="X22" s="44" t="e">
        <f t="shared" si="1"/>
        <v>#REF!</v>
      </c>
      <c r="Y22" s="43">
        <f t="shared" si="1"/>
        <v>56536.85</v>
      </c>
      <c r="Z22" s="42">
        <f t="shared" si="1"/>
        <v>7845</v>
      </c>
      <c r="AA22" s="42">
        <f t="shared" si="1"/>
        <v>320</v>
      </c>
      <c r="AB22" s="44">
        <f t="shared" si="1"/>
        <v>1143</v>
      </c>
      <c r="AC22" s="42">
        <f t="shared" si="1"/>
        <v>49968</v>
      </c>
      <c r="AD22" s="44">
        <f>SUM(AD20:AD21)</f>
        <v>39755</v>
      </c>
      <c r="AE22" s="44">
        <f t="shared" si="1"/>
        <v>0</v>
      </c>
      <c r="AF22" s="44">
        <f t="shared" si="1"/>
        <v>59104</v>
      </c>
      <c r="AG22" s="42">
        <f t="shared" si="1"/>
        <v>1885</v>
      </c>
      <c r="AH22" s="46">
        <f t="shared" si="1"/>
        <v>241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87751</v>
      </c>
      <c r="G24" s="51">
        <f t="shared" si="2"/>
        <v>10546.995192307691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100216</v>
      </c>
      <c r="U24" s="52">
        <f t="shared" si="2"/>
        <v>11653.023255813954</v>
      </c>
      <c r="V24" s="51" t="e">
        <f t="shared" si="2"/>
        <v>#REF!</v>
      </c>
      <c r="W24" s="51">
        <f t="shared" si="2"/>
        <v>97821</v>
      </c>
      <c r="X24" s="51" t="e">
        <f t="shared" si="2"/>
        <v>#REF!</v>
      </c>
      <c r="Y24" s="52">
        <f t="shared" si="2"/>
        <v>56536.85</v>
      </c>
      <c r="Z24" s="51">
        <f t="shared" si="2"/>
        <v>7845</v>
      </c>
      <c r="AA24" s="51">
        <f t="shared" si="2"/>
        <v>320</v>
      </c>
      <c r="AB24" s="51">
        <f t="shared" si="2"/>
        <v>1143</v>
      </c>
      <c r="AC24" s="51">
        <f t="shared" si="2"/>
        <v>49968</v>
      </c>
      <c r="AD24" s="51">
        <f t="shared" si="2"/>
        <v>39755</v>
      </c>
      <c r="AE24" s="51">
        <f t="shared" si="2"/>
        <v>0</v>
      </c>
      <c r="AF24" s="51">
        <f t="shared" si="2"/>
        <v>59104</v>
      </c>
      <c r="AG24" s="51">
        <f t="shared" si="2"/>
        <v>1885</v>
      </c>
      <c r="AH24" s="53">
        <f t="shared" si="2"/>
        <v>241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85">
        <v>8670</v>
      </c>
      <c r="G25" s="32">
        <f>F25/208*25</f>
        <v>1042.0673076923076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9847</v>
      </c>
      <c r="U25" s="32">
        <f>T25/215*25</f>
        <v>1145</v>
      </c>
      <c r="V25" s="47" t="s">
        <v>40</v>
      </c>
      <c r="W25" s="54">
        <v>8095</v>
      </c>
      <c r="X25" s="47"/>
      <c r="Y25" s="55">
        <f>Z25*2.43</f>
        <v>3156.57</v>
      </c>
      <c r="Z25" s="38">
        <v>1299</v>
      </c>
      <c r="AA25" s="38">
        <v>130</v>
      </c>
      <c r="AB25" s="47">
        <v>0</v>
      </c>
      <c r="AC25" s="38">
        <f>6+9572</f>
        <v>9578</v>
      </c>
      <c r="AD25" s="47">
        <v>2044</v>
      </c>
      <c r="AE25" s="47">
        <v>0</v>
      </c>
      <c r="AF25" s="47">
        <f>3327+1371</f>
        <v>4698</v>
      </c>
      <c r="AG25" s="38">
        <v>0</v>
      </c>
      <c r="AH25" s="56">
        <v>4</v>
      </c>
    </row>
    <row r="26" spans="1:36" s="4" customFormat="1" ht="100.5" customHeight="1" thickBot="1" x14ac:dyDescent="0.25">
      <c r="A26" s="57">
        <v>45249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79081</v>
      </c>
      <c r="G26" s="58">
        <f t="shared" si="3"/>
        <v>9504.9278846153829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90369</v>
      </c>
      <c r="U26" s="59">
        <f t="shared" si="3"/>
        <v>10508.023255813954</v>
      </c>
      <c r="V26" s="60" t="e">
        <f t="shared" si="3"/>
        <v>#REF!</v>
      </c>
      <c r="W26" s="60">
        <f t="shared" si="3"/>
        <v>89726</v>
      </c>
      <c r="X26" s="60" t="e">
        <f t="shared" si="3"/>
        <v>#REF!</v>
      </c>
      <c r="Y26" s="61">
        <f>Y24-Y25</f>
        <v>53380.28</v>
      </c>
      <c r="Z26" s="58">
        <f>Z24-Z25</f>
        <v>6546</v>
      </c>
      <c r="AA26" s="58">
        <f t="shared" si="3"/>
        <v>190</v>
      </c>
      <c r="AB26" s="60">
        <f>AB24-AB25</f>
        <v>1143</v>
      </c>
      <c r="AC26" s="58">
        <f>AC24-AC25</f>
        <v>40390</v>
      </c>
      <c r="AD26" s="60">
        <f>AD24-AD25</f>
        <v>37711</v>
      </c>
      <c r="AE26" s="60">
        <f>AE24-AE25</f>
        <v>0</v>
      </c>
      <c r="AF26" s="60">
        <f>AF24-AF25</f>
        <v>54406</v>
      </c>
      <c r="AG26" s="58">
        <f t="shared" ref="AG26" si="7">AG24-AG25</f>
        <v>1885</v>
      </c>
      <c r="AH26" s="62">
        <f>AH24-AH25</f>
        <v>237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8" zoomScaleNormal="78" workbookViewId="0">
      <selection activeCell="G26" sqref="G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5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45250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33072</v>
      </c>
      <c r="G20" s="32">
        <f>F20/208*25</f>
        <v>3975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69875</v>
      </c>
      <c r="U20" s="34">
        <f>T20/215*25</f>
        <v>8125</v>
      </c>
      <c r="V20" s="33" t="e">
        <f>#REF!</f>
        <v>#REF!</v>
      </c>
      <c r="W20" s="33">
        <v>67875</v>
      </c>
      <c r="X20" s="33" t="e">
        <f>#REF!</f>
        <v>#REF!</v>
      </c>
      <c r="Y20" s="35">
        <v>46610.34</v>
      </c>
      <c r="Z20" s="31">
        <v>2248</v>
      </c>
      <c r="AA20" s="31">
        <v>160</v>
      </c>
      <c r="AB20" s="33">
        <v>1143</v>
      </c>
      <c r="AC20" s="31">
        <v>12231</v>
      </c>
      <c r="AD20" s="33">
        <v>7560</v>
      </c>
      <c r="AE20" s="33">
        <v>0</v>
      </c>
      <c r="AF20" s="33">
        <v>30633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46009</v>
      </c>
      <c r="G21" s="32">
        <f>F21/208*25</f>
        <v>5529.9278846153848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20494</v>
      </c>
      <c r="U21" s="32">
        <f>T21/215*25</f>
        <v>2383.0232558139537</v>
      </c>
      <c r="V21" s="34"/>
      <c r="W21" s="34">
        <v>21851</v>
      </c>
      <c r="X21" s="34">
        <v>0</v>
      </c>
      <c r="Y21" s="32">
        <v>6769.94</v>
      </c>
      <c r="Z21" s="38">
        <v>4298</v>
      </c>
      <c r="AA21" s="38">
        <v>30</v>
      </c>
      <c r="AB21" s="34">
        <v>0</v>
      </c>
      <c r="AC21" s="38">
        <v>28159</v>
      </c>
      <c r="AD21" s="34">
        <v>30151</v>
      </c>
      <c r="AE21" s="34">
        <v>0</v>
      </c>
      <c r="AF21" s="34">
        <v>23773</v>
      </c>
      <c r="AG21" s="38">
        <v>220</v>
      </c>
      <c r="AH21" s="39">
        <v>87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79081</v>
      </c>
      <c r="G22" s="43">
        <f t="shared" si="1"/>
        <v>9504.9278846153848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90369</v>
      </c>
      <c r="U22" s="43">
        <f t="shared" si="1"/>
        <v>10508.023255813954</v>
      </c>
      <c r="V22" s="44" t="e">
        <f t="shared" si="1"/>
        <v>#REF!</v>
      </c>
      <c r="W22" s="44">
        <f t="shared" si="1"/>
        <v>89726</v>
      </c>
      <c r="X22" s="44" t="e">
        <f t="shared" si="1"/>
        <v>#REF!</v>
      </c>
      <c r="Y22" s="43">
        <f t="shared" si="1"/>
        <v>53380.28</v>
      </c>
      <c r="Z22" s="42">
        <f t="shared" si="1"/>
        <v>6546</v>
      </c>
      <c r="AA22" s="42">
        <f t="shared" si="1"/>
        <v>190</v>
      </c>
      <c r="AB22" s="44">
        <f t="shared" si="1"/>
        <v>1143</v>
      </c>
      <c r="AC22" s="42">
        <f t="shared" si="1"/>
        <v>40390</v>
      </c>
      <c r="AD22" s="44">
        <f>SUM(AD20:AD21)</f>
        <v>37711</v>
      </c>
      <c r="AE22" s="44">
        <f t="shared" si="1"/>
        <v>0</v>
      </c>
      <c r="AF22" s="44">
        <f t="shared" si="1"/>
        <v>54406</v>
      </c>
      <c r="AG22" s="42">
        <f t="shared" si="1"/>
        <v>1885</v>
      </c>
      <c r="AH22" s="46">
        <f t="shared" si="1"/>
        <v>237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75*208</f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v>15000</v>
      </c>
      <c r="X23" s="31"/>
      <c r="Y23" s="31"/>
      <c r="Z23" s="31">
        <v>2000</v>
      </c>
      <c r="AA23" s="31">
        <v>500</v>
      </c>
      <c r="AB23" s="31"/>
      <c r="AC23" s="31">
        <v>24500</v>
      </c>
      <c r="AD23" s="31"/>
      <c r="AE23" s="31"/>
      <c r="AF23" s="48">
        <v>2800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94681</v>
      </c>
      <c r="G24" s="52">
        <f t="shared" si="2"/>
        <v>11379.927884615385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106494</v>
      </c>
      <c r="U24" s="52">
        <f t="shared" si="2"/>
        <v>12383.023255813954</v>
      </c>
      <c r="V24" s="51" t="e">
        <f t="shared" si="2"/>
        <v>#REF!</v>
      </c>
      <c r="W24" s="51">
        <f t="shared" si="2"/>
        <v>104726</v>
      </c>
      <c r="X24" s="51" t="e">
        <f t="shared" si="2"/>
        <v>#REF!</v>
      </c>
      <c r="Y24" s="52">
        <f t="shared" si="2"/>
        <v>53380.28</v>
      </c>
      <c r="Z24" s="51">
        <f t="shared" si="2"/>
        <v>8546</v>
      </c>
      <c r="AA24" s="51">
        <f t="shared" si="2"/>
        <v>690</v>
      </c>
      <c r="AB24" s="51">
        <f t="shared" si="2"/>
        <v>1143</v>
      </c>
      <c r="AC24" s="51">
        <f t="shared" si="2"/>
        <v>64890</v>
      </c>
      <c r="AD24" s="51">
        <f t="shared" si="2"/>
        <v>37711</v>
      </c>
      <c r="AE24" s="51">
        <f t="shared" si="2"/>
        <v>0</v>
      </c>
      <c r="AF24" s="51">
        <f t="shared" si="2"/>
        <v>57206</v>
      </c>
      <c r="AG24" s="51">
        <f t="shared" si="2"/>
        <v>1885</v>
      </c>
      <c r="AH24" s="53">
        <f t="shared" si="2"/>
        <v>237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85">
        <v>10387</v>
      </c>
      <c r="G25" s="32">
        <f>F25/208*25</f>
        <v>1248.4375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8">
        <v>10810</v>
      </c>
      <c r="U25" s="32">
        <f>T25/215*25</f>
        <v>1256.9767441860465</v>
      </c>
      <c r="V25" s="47" t="s">
        <v>40</v>
      </c>
      <c r="W25" s="54">
        <v>8035</v>
      </c>
      <c r="X25" s="47"/>
      <c r="Y25" s="55">
        <f>Z25*2.43</f>
        <v>3559.9500000000003</v>
      </c>
      <c r="Z25" s="38">
        <v>1465</v>
      </c>
      <c r="AA25" s="38">
        <v>104</v>
      </c>
      <c r="AB25" s="47">
        <v>0</v>
      </c>
      <c r="AC25" s="38">
        <f>9985+17</f>
        <v>10002</v>
      </c>
      <c r="AD25" s="47">
        <v>2109</v>
      </c>
      <c r="AE25" s="47">
        <v>0</v>
      </c>
      <c r="AF25" s="47">
        <f>3170+1687</f>
        <v>4857</v>
      </c>
      <c r="AG25" s="38">
        <v>0</v>
      </c>
      <c r="AH25" s="56">
        <v>4</v>
      </c>
    </row>
    <row r="26" spans="1:36" s="4" customFormat="1" ht="100.5" customHeight="1" thickBot="1" x14ac:dyDescent="0.25">
      <c r="A26" s="57">
        <v>45256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84294</v>
      </c>
      <c r="G26" s="59">
        <f t="shared" si="3"/>
        <v>10131.490384615385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95684</v>
      </c>
      <c r="U26" s="59">
        <f t="shared" si="3"/>
        <v>11126.046511627908</v>
      </c>
      <c r="V26" s="60" t="e">
        <f t="shared" si="3"/>
        <v>#REF!</v>
      </c>
      <c r="W26" s="60">
        <f t="shared" si="3"/>
        <v>96691</v>
      </c>
      <c r="X26" s="60" t="e">
        <f t="shared" si="3"/>
        <v>#REF!</v>
      </c>
      <c r="Y26" s="61">
        <f>Y24-Y25</f>
        <v>49820.33</v>
      </c>
      <c r="Z26" s="58">
        <f>Z24-Z25</f>
        <v>7081</v>
      </c>
      <c r="AA26" s="58">
        <f t="shared" si="3"/>
        <v>586</v>
      </c>
      <c r="AB26" s="60">
        <f>AB24-AB25</f>
        <v>1143</v>
      </c>
      <c r="AC26" s="58">
        <f>AC24-AC25</f>
        <v>54888</v>
      </c>
      <c r="AD26" s="60">
        <f>AD24-AD25</f>
        <v>35602</v>
      </c>
      <c r="AE26" s="60">
        <f>AE24-AE25</f>
        <v>0</v>
      </c>
      <c r="AF26" s="60">
        <f>AF24-AF25</f>
        <v>52349</v>
      </c>
      <c r="AG26" s="58">
        <f t="shared" ref="AG26" si="7">AG24-AG25</f>
        <v>1885</v>
      </c>
      <c r="AH26" s="62">
        <f>AH24-AH25</f>
        <v>233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AH26" sqref="AH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45257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48672</v>
      </c>
      <c r="G20" s="32">
        <f>F20/208*25</f>
        <v>5850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86000</v>
      </c>
      <c r="U20" s="34">
        <f>T20/215*25</f>
        <v>10000</v>
      </c>
      <c r="V20" s="33" t="e">
        <f>#REF!</f>
        <v>#REF!</v>
      </c>
      <c r="W20" s="33">
        <v>82875</v>
      </c>
      <c r="X20" s="33" t="e">
        <f>#REF!</f>
        <v>#REF!</v>
      </c>
      <c r="Y20" s="35">
        <v>46610.34</v>
      </c>
      <c r="Z20" s="31">
        <v>4248</v>
      </c>
      <c r="AA20" s="31">
        <v>560</v>
      </c>
      <c r="AB20" s="33">
        <v>1143</v>
      </c>
      <c r="AC20" s="31">
        <v>36731</v>
      </c>
      <c r="AD20" s="33">
        <v>7560</v>
      </c>
      <c r="AE20" s="33">
        <v>0</v>
      </c>
      <c r="AF20" s="33">
        <v>33433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35622</v>
      </c>
      <c r="G21" s="32">
        <f>F21/208*25</f>
        <v>4281.4903846153848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9684</v>
      </c>
      <c r="U21" s="32">
        <f>T21/215*25</f>
        <v>1126.046511627907</v>
      </c>
      <c r="V21" s="34"/>
      <c r="W21" s="34">
        <v>13816</v>
      </c>
      <c r="X21" s="34">
        <v>0</v>
      </c>
      <c r="Y21" s="32">
        <v>3209.9899999999989</v>
      </c>
      <c r="Z21" s="38">
        <v>2833</v>
      </c>
      <c r="AA21" s="38">
        <v>26</v>
      </c>
      <c r="AB21" s="34">
        <v>0</v>
      </c>
      <c r="AC21" s="38">
        <v>18157</v>
      </c>
      <c r="AD21" s="34">
        <v>28042</v>
      </c>
      <c r="AE21" s="34">
        <v>0</v>
      </c>
      <c r="AF21" s="34">
        <v>18916</v>
      </c>
      <c r="AG21" s="38">
        <v>220</v>
      </c>
      <c r="AH21" s="39">
        <v>83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84294</v>
      </c>
      <c r="G22" s="43">
        <f t="shared" si="1"/>
        <v>10131.490384615385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95684</v>
      </c>
      <c r="U22" s="43">
        <f t="shared" si="1"/>
        <v>11126.046511627907</v>
      </c>
      <c r="V22" s="44" t="e">
        <f t="shared" si="1"/>
        <v>#REF!</v>
      </c>
      <c r="W22" s="44">
        <f t="shared" si="1"/>
        <v>96691</v>
      </c>
      <c r="X22" s="44" t="e">
        <f t="shared" si="1"/>
        <v>#REF!</v>
      </c>
      <c r="Y22" s="43">
        <f t="shared" si="1"/>
        <v>49820.329999999994</v>
      </c>
      <c r="Z22" s="42">
        <f t="shared" si="1"/>
        <v>7081</v>
      </c>
      <c r="AA22" s="42">
        <f t="shared" si="1"/>
        <v>586</v>
      </c>
      <c r="AB22" s="44">
        <f t="shared" si="1"/>
        <v>1143</v>
      </c>
      <c r="AC22" s="42">
        <f t="shared" si="1"/>
        <v>54888</v>
      </c>
      <c r="AD22" s="44">
        <f>SUM(AD20:AD21)</f>
        <v>35602</v>
      </c>
      <c r="AE22" s="44">
        <f t="shared" si="1"/>
        <v>0</v>
      </c>
      <c r="AF22" s="44">
        <f t="shared" si="1"/>
        <v>52349</v>
      </c>
      <c r="AG22" s="42">
        <f t="shared" si="1"/>
        <v>1885</v>
      </c>
      <c r="AH22" s="46">
        <f t="shared" si="1"/>
        <v>233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75*208</f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>
        <f>600*25</f>
        <v>15000</v>
      </c>
      <c r="X23" s="31"/>
      <c r="Y23" s="31"/>
      <c r="Z23" s="31">
        <v>3000</v>
      </c>
      <c r="AA23" s="31">
        <v>0</v>
      </c>
      <c r="AB23" s="31"/>
      <c r="AC23" s="31">
        <v>19500</v>
      </c>
      <c r="AD23" s="31"/>
      <c r="AE23" s="31"/>
      <c r="AF23" s="48">
        <v>3800</v>
      </c>
      <c r="AG23" s="31"/>
      <c r="AH23" s="49">
        <v>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99894</v>
      </c>
      <c r="G24" s="52">
        <f t="shared" si="2"/>
        <v>12006.490384615385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111809</v>
      </c>
      <c r="U24" s="52">
        <f t="shared" si="2"/>
        <v>13001.046511627907</v>
      </c>
      <c r="V24" s="51" t="e">
        <f t="shared" si="2"/>
        <v>#REF!</v>
      </c>
      <c r="W24" s="51">
        <f t="shared" si="2"/>
        <v>111691</v>
      </c>
      <c r="X24" s="51" t="e">
        <f t="shared" si="2"/>
        <v>#REF!</v>
      </c>
      <c r="Y24" s="52">
        <f t="shared" si="2"/>
        <v>49820.329999999994</v>
      </c>
      <c r="Z24" s="51">
        <f t="shared" si="2"/>
        <v>10081</v>
      </c>
      <c r="AA24" s="51">
        <f t="shared" si="2"/>
        <v>586</v>
      </c>
      <c r="AB24" s="51">
        <f t="shared" si="2"/>
        <v>1143</v>
      </c>
      <c r="AC24" s="51">
        <f t="shared" si="2"/>
        <v>74388</v>
      </c>
      <c r="AD24" s="51">
        <f t="shared" si="2"/>
        <v>35602</v>
      </c>
      <c r="AE24" s="51">
        <f t="shared" si="2"/>
        <v>0</v>
      </c>
      <c r="AF24" s="51">
        <f t="shared" si="2"/>
        <v>56149</v>
      </c>
      <c r="AG24" s="51">
        <f t="shared" si="2"/>
        <v>1885</v>
      </c>
      <c r="AH24" s="53">
        <f t="shared" si="2"/>
        <v>233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8988</v>
      </c>
      <c r="G25" s="32">
        <f>F25/208*25</f>
        <v>1080.2884615384614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9044</v>
      </c>
      <c r="U25" s="32">
        <f>T25/215*25</f>
        <v>1051.6279069767443</v>
      </c>
      <c r="V25" s="47" t="s">
        <v>40</v>
      </c>
      <c r="W25" s="31">
        <v>7043</v>
      </c>
      <c r="X25" s="47"/>
      <c r="Y25" s="55">
        <f>Z25*2.43</f>
        <v>3003.48</v>
      </c>
      <c r="Z25" s="31">
        <v>1236</v>
      </c>
      <c r="AA25" s="38">
        <v>21</v>
      </c>
      <c r="AB25" s="47">
        <v>0</v>
      </c>
      <c r="AC25" s="38">
        <f>60+8535</f>
        <v>8595</v>
      </c>
      <c r="AD25" s="47">
        <v>1966</v>
      </c>
      <c r="AE25" s="47">
        <v>0</v>
      </c>
      <c r="AF25" s="47">
        <f>3044+1292</f>
        <v>4336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45263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90906</v>
      </c>
      <c r="G26" s="59">
        <f t="shared" si="3"/>
        <v>10926.201923076924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102765</v>
      </c>
      <c r="U26" s="59">
        <f t="shared" si="3"/>
        <v>11949.418604651162</v>
      </c>
      <c r="V26" s="60" t="e">
        <f t="shared" si="3"/>
        <v>#REF!</v>
      </c>
      <c r="W26" s="60">
        <f t="shared" si="3"/>
        <v>104648</v>
      </c>
      <c r="X26" s="60" t="e">
        <f t="shared" si="3"/>
        <v>#REF!</v>
      </c>
      <c r="Y26" s="61">
        <f>Y24-Y25</f>
        <v>46816.849999999991</v>
      </c>
      <c r="Z26" s="58">
        <f>Z24-Z25</f>
        <v>8845</v>
      </c>
      <c r="AA26" s="58">
        <f t="shared" si="3"/>
        <v>565</v>
      </c>
      <c r="AB26" s="60">
        <f>AB24-AB25</f>
        <v>1143</v>
      </c>
      <c r="AC26" s="58">
        <f>AC24-AC25</f>
        <v>65793</v>
      </c>
      <c r="AD26" s="60">
        <f>AD24-AD25</f>
        <v>33636</v>
      </c>
      <c r="AE26" s="60">
        <f>AE24-AE25</f>
        <v>0</v>
      </c>
      <c r="AF26" s="60">
        <f>AF24-AF25</f>
        <v>51813</v>
      </c>
      <c r="AG26" s="58">
        <f t="shared" ref="AG26" si="7">AG24-AG25</f>
        <v>1885</v>
      </c>
      <c r="AH26" s="62">
        <f>AH24-AH25</f>
        <v>225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45264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64272</v>
      </c>
      <c r="G20" s="32">
        <f>F20/208*25</f>
        <v>7725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102125</v>
      </c>
      <c r="U20" s="34">
        <f>T20/215*25</f>
        <v>11875</v>
      </c>
      <c r="V20" s="33" t="e">
        <f>#REF!</f>
        <v>#REF!</v>
      </c>
      <c r="W20" s="33">
        <v>97875</v>
      </c>
      <c r="X20" s="33" t="e">
        <f>#REF!</f>
        <v>#REF!</v>
      </c>
      <c r="Y20" s="35">
        <v>45610.34</v>
      </c>
      <c r="Z20" s="31">
        <v>7248</v>
      </c>
      <c r="AA20" s="31">
        <v>560</v>
      </c>
      <c r="AB20" s="33">
        <v>1143</v>
      </c>
      <c r="AC20" s="31">
        <v>56231</v>
      </c>
      <c r="AD20" s="33">
        <v>7560</v>
      </c>
      <c r="AE20" s="33">
        <v>0</v>
      </c>
      <c r="AF20" s="33">
        <v>37233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26634</v>
      </c>
      <c r="G21" s="32">
        <f>F21/208*25</f>
        <v>3201.2019230769233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640</v>
      </c>
      <c r="U21" s="32">
        <f>T21/215*25</f>
        <v>74.418604651162795</v>
      </c>
      <c r="V21" s="34"/>
      <c r="W21" s="34">
        <v>6773</v>
      </c>
      <c r="X21" s="34">
        <v>0</v>
      </c>
      <c r="Y21" s="32">
        <v>1206.5099999999995</v>
      </c>
      <c r="Z21" s="38">
        <v>1597</v>
      </c>
      <c r="AA21" s="38">
        <v>5</v>
      </c>
      <c r="AB21" s="34">
        <v>0</v>
      </c>
      <c r="AC21" s="38">
        <v>9562</v>
      </c>
      <c r="AD21" s="34">
        <v>26076</v>
      </c>
      <c r="AE21" s="34">
        <v>0</v>
      </c>
      <c r="AF21" s="34">
        <v>14580</v>
      </c>
      <c r="AG21" s="38">
        <v>220</v>
      </c>
      <c r="AH21" s="39">
        <v>75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90906</v>
      </c>
      <c r="G22" s="43">
        <f t="shared" si="1"/>
        <v>10926.201923076924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102765</v>
      </c>
      <c r="U22" s="43">
        <f t="shared" si="1"/>
        <v>11949.418604651162</v>
      </c>
      <c r="V22" s="44" t="e">
        <f t="shared" si="1"/>
        <v>#REF!</v>
      </c>
      <c r="W22" s="44">
        <f t="shared" si="1"/>
        <v>104648</v>
      </c>
      <c r="X22" s="44" t="e">
        <f t="shared" si="1"/>
        <v>#REF!</v>
      </c>
      <c r="Y22" s="43">
        <f t="shared" si="1"/>
        <v>46816.85</v>
      </c>
      <c r="Z22" s="42">
        <f t="shared" si="1"/>
        <v>8845</v>
      </c>
      <c r="AA22" s="42">
        <f t="shared" si="1"/>
        <v>565</v>
      </c>
      <c r="AB22" s="44">
        <f t="shared" si="1"/>
        <v>1143</v>
      </c>
      <c r="AC22" s="42">
        <f t="shared" si="1"/>
        <v>65793</v>
      </c>
      <c r="AD22" s="44">
        <f>SUM(AD20:AD21)</f>
        <v>33636</v>
      </c>
      <c r="AE22" s="44">
        <f t="shared" si="1"/>
        <v>0</v>
      </c>
      <c r="AF22" s="44">
        <f t="shared" si="1"/>
        <v>51813</v>
      </c>
      <c r="AG22" s="42">
        <f t="shared" si="1"/>
        <v>1885</v>
      </c>
      <c r="AH22" s="46">
        <f t="shared" si="1"/>
        <v>225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50*208</f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50*215</f>
        <v>10750</v>
      </c>
      <c r="U23" s="32">
        <f>T23/215*25</f>
        <v>1250</v>
      </c>
      <c r="V23" s="31"/>
      <c r="W23" s="31">
        <f>600*25</f>
        <v>15000</v>
      </c>
      <c r="X23" s="31"/>
      <c r="Y23" s="31">
        <v>3000</v>
      </c>
      <c r="Z23" s="31">
        <v>2000</v>
      </c>
      <c r="AA23" s="31">
        <v>0</v>
      </c>
      <c r="AB23" s="31"/>
      <c r="AC23" s="31">
        <v>11250</v>
      </c>
      <c r="AD23" s="31"/>
      <c r="AE23" s="31"/>
      <c r="AF23" s="48">
        <v>3800</v>
      </c>
      <c r="AG23" s="31"/>
      <c r="AH23" s="49">
        <v>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101306</v>
      </c>
      <c r="G24" s="52">
        <f t="shared" si="2"/>
        <v>12176.201923076924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113515</v>
      </c>
      <c r="U24" s="52">
        <f t="shared" si="2"/>
        <v>13199.418604651162</v>
      </c>
      <c r="V24" s="51" t="e">
        <f t="shared" si="2"/>
        <v>#REF!</v>
      </c>
      <c r="W24" s="51">
        <f t="shared" si="2"/>
        <v>119648</v>
      </c>
      <c r="X24" s="51" t="e">
        <f t="shared" si="2"/>
        <v>#REF!</v>
      </c>
      <c r="Y24" s="52">
        <f t="shared" si="2"/>
        <v>49816.85</v>
      </c>
      <c r="Z24" s="51">
        <f t="shared" si="2"/>
        <v>10845</v>
      </c>
      <c r="AA24" s="51">
        <f t="shared" si="2"/>
        <v>565</v>
      </c>
      <c r="AB24" s="51">
        <f t="shared" si="2"/>
        <v>1143</v>
      </c>
      <c r="AC24" s="51">
        <f t="shared" si="2"/>
        <v>77043</v>
      </c>
      <c r="AD24" s="51">
        <f t="shared" si="2"/>
        <v>33636</v>
      </c>
      <c r="AE24" s="51">
        <f t="shared" si="2"/>
        <v>0</v>
      </c>
      <c r="AF24" s="51">
        <f t="shared" si="2"/>
        <v>55613</v>
      </c>
      <c r="AG24" s="51">
        <f t="shared" si="2"/>
        <v>1885</v>
      </c>
      <c r="AH24" s="53">
        <f t="shared" si="2"/>
        <v>225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2893</v>
      </c>
      <c r="G25" s="32">
        <f>F25/208*25</f>
        <v>347.71634615384619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3733</v>
      </c>
      <c r="U25" s="32">
        <f>T25/215*25</f>
        <v>434.06976744186051</v>
      </c>
      <c r="V25" s="47" t="s">
        <v>40</v>
      </c>
      <c r="W25" s="31">
        <v>2388</v>
      </c>
      <c r="X25" s="47"/>
      <c r="Y25" s="55">
        <f>Z25*2.43</f>
        <v>1168.8300000000002</v>
      </c>
      <c r="Z25" s="31">
        <v>481</v>
      </c>
      <c r="AA25" s="38">
        <v>4</v>
      </c>
      <c r="AB25" s="47">
        <v>0</v>
      </c>
      <c r="AC25" s="38">
        <v>3120</v>
      </c>
      <c r="AD25" s="47">
        <v>538</v>
      </c>
      <c r="AE25" s="47">
        <v>0</v>
      </c>
      <c r="AF25" s="47">
        <f>1067+442</f>
        <v>1509</v>
      </c>
      <c r="AG25" s="38">
        <v>0</v>
      </c>
      <c r="AH25" s="56">
        <v>0</v>
      </c>
    </row>
    <row r="26" spans="1:36" s="4" customFormat="1" ht="100.5" customHeight="1" thickBot="1" x14ac:dyDescent="0.25">
      <c r="A26" s="57">
        <v>45270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98413</v>
      </c>
      <c r="G26" s="59">
        <f t="shared" si="3"/>
        <v>11828.485576923078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109782</v>
      </c>
      <c r="U26" s="59">
        <f t="shared" si="3"/>
        <v>12765.348837209302</v>
      </c>
      <c r="V26" s="60" t="e">
        <f t="shared" si="3"/>
        <v>#REF!</v>
      </c>
      <c r="W26" s="60">
        <f t="shared" si="3"/>
        <v>117260</v>
      </c>
      <c r="X26" s="60" t="e">
        <f t="shared" si="3"/>
        <v>#REF!</v>
      </c>
      <c r="Y26" s="61">
        <f>Y24-Y25</f>
        <v>48648.02</v>
      </c>
      <c r="Z26" s="58">
        <f>Z24-Z25</f>
        <v>10364</v>
      </c>
      <c r="AA26" s="58">
        <f t="shared" si="3"/>
        <v>561</v>
      </c>
      <c r="AB26" s="60">
        <f>AB24-AB25</f>
        <v>1143</v>
      </c>
      <c r="AC26" s="58">
        <f>AC24-AC25</f>
        <v>73923</v>
      </c>
      <c r="AD26" s="60">
        <f>AD24-AD25</f>
        <v>33098</v>
      </c>
      <c r="AE26" s="60">
        <f>AE24-AE25</f>
        <v>0</v>
      </c>
      <c r="AF26" s="60">
        <f>AF24-AF25</f>
        <v>54104</v>
      </c>
      <c r="AG26" s="58">
        <f t="shared" ref="AG26" si="7">AG24-AG25</f>
        <v>1885</v>
      </c>
      <c r="AH26" s="62">
        <f>AH24-AH25</f>
        <v>225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AH26" sqref="AH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119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45271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62192</v>
      </c>
      <c r="G20" s="32">
        <f>F20/208*25</f>
        <v>7475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99975</v>
      </c>
      <c r="U20" s="34">
        <f>T20/215*25</f>
        <v>11625</v>
      </c>
      <c r="V20" s="33" t="e">
        <f>#REF!</f>
        <v>#REF!</v>
      </c>
      <c r="W20" s="33">
        <v>102375</v>
      </c>
      <c r="X20" s="33" t="e">
        <f>#REF!</f>
        <v>#REF!</v>
      </c>
      <c r="Y20" s="35">
        <v>44722.34</v>
      </c>
      <c r="Z20" s="31">
        <v>7648</v>
      </c>
      <c r="AA20" s="31">
        <v>410</v>
      </c>
      <c r="AB20" s="33">
        <v>1143</v>
      </c>
      <c r="AC20" s="31">
        <v>55981</v>
      </c>
      <c r="AD20" s="33">
        <v>7560</v>
      </c>
      <c r="AE20" s="33">
        <v>0</v>
      </c>
      <c r="AF20" s="33">
        <v>34633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36221</v>
      </c>
      <c r="G21" s="32">
        <f>F21/208*25</f>
        <v>4353.4855769230762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9807</v>
      </c>
      <c r="U21" s="32">
        <f>T21/215*25</f>
        <v>1140.3488372093022</v>
      </c>
      <c r="V21" s="34"/>
      <c r="W21" s="34">
        <v>14885</v>
      </c>
      <c r="X21" s="34">
        <v>0</v>
      </c>
      <c r="Y21" s="32">
        <v>3925.6800000000003</v>
      </c>
      <c r="Z21" s="38">
        <v>2716</v>
      </c>
      <c r="AA21" s="38">
        <v>151</v>
      </c>
      <c r="AB21" s="34">
        <v>0</v>
      </c>
      <c r="AC21" s="38">
        <v>17942</v>
      </c>
      <c r="AD21" s="34">
        <v>25538</v>
      </c>
      <c r="AE21" s="34">
        <v>0</v>
      </c>
      <c r="AF21" s="34">
        <v>19471</v>
      </c>
      <c r="AG21" s="38">
        <v>220</v>
      </c>
      <c r="AH21" s="39">
        <v>75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98413</v>
      </c>
      <c r="G22" s="43">
        <f t="shared" si="1"/>
        <v>11828.485576923076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109782</v>
      </c>
      <c r="U22" s="43">
        <f t="shared" si="1"/>
        <v>12765.348837209302</v>
      </c>
      <c r="V22" s="44" t="e">
        <f t="shared" si="1"/>
        <v>#REF!</v>
      </c>
      <c r="W22" s="44">
        <f t="shared" si="1"/>
        <v>117260</v>
      </c>
      <c r="X22" s="44" t="e">
        <f t="shared" si="1"/>
        <v>#REF!</v>
      </c>
      <c r="Y22" s="43">
        <f t="shared" si="1"/>
        <v>48648.02</v>
      </c>
      <c r="Z22" s="42">
        <f t="shared" si="1"/>
        <v>10364</v>
      </c>
      <c r="AA22" s="42">
        <f t="shared" si="1"/>
        <v>561</v>
      </c>
      <c r="AB22" s="44">
        <f t="shared" si="1"/>
        <v>1143</v>
      </c>
      <c r="AC22" s="42">
        <f t="shared" si="1"/>
        <v>73923</v>
      </c>
      <c r="AD22" s="44">
        <f>SUM(AD20:AD21)</f>
        <v>33098</v>
      </c>
      <c r="AE22" s="44">
        <f t="shared" si="1"/>
        <v>0</v>
      </c>
      <c r="AF22" s="44">
        <f t="shared" si="1"/>
        <v>54104</v>
      </c>
      <c r="AG22" s="42">
        <f t="shared" si="1"/>
        <v>1885</v>
      </c>
      <c r="AH22" s="46">
        <f t="shared" si="1"/>
        <v>225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98413</v>
      </c>
      <c r="G24" s="52">
        <f t="shared" si="2"/>
        <v>11828.485576923076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109782</v>
      </c>
      <c r="U24" s="52">
        <f t="shared" si="2"/>
        <v>12765.348837209302</v>
      </c>
      <c r="V24" s="51" t="e">
        <f t="shared" si="2"/>
        <v>#REF!</v>
      </c>
      <c r="W24" s="51">
        <f t="shared" si="2"/>
        <v>117260</v>
      </c>
      <c r="X24" s="51" t="e">
        <f t="shared" si="2"/>
        <v>#REF!</v>
      </c>
      <c r="Y24" s="52">
        <f t="shared" si="2"/>
        <v>48648.02</v>
      </c>
      <c r="Z24" s="51">
        <f t="shared" si="2"/>
        <v>10364</v>
      </c>
      <c r="AA24" s="51">
        <f t="shared" si="2"/>
        <v>561</v>
      </c>
      <c r="AB24" s="51">
        <f t="shared" si="2"/>
        <v>1143</v>
      </c>
      <c r="AC24" s="51">
        <f t="shared" si="2"/>
        <v>73923</v>
      </c>
      <c r="AD24" s="51">
        <f t="shared" si="2"/>
        <v>33098</v>
      </c>
      <c r="AE24" s="51">
        <f t="shared" si="2"/>
        <v>0</v>
      </c>
      <c r="AF24" s="51">
        <f t="shared" si="2"/>
        <v>54104</v>
      </c>
      <c r="AG24" s="51">
        <f t="shared" si="2"/>
        <v>1885</v>
      </c>
      <c r="AH24" s="53">
        <f t="shared" si="2"/>
        <v>225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8929</v>
      </c>
      <c r="G25" s="32">
        <f>F25/208*25</f>
        <v>1073.1971153846152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8610</v>
      </c>
      <c r="U25" s="32">
        <f>T25/215*25</f>
        <v>1001.1627906976744</v>
      </c>
      <c r="V25" s="47" t="s">
        <v>40</v>
      </c>
      <c r="W25" s="31">
        <v>5262</v>
      </c>
      <c r="X25" s="47"/>
      <c r="Y25" s="55">
        <f>Z25*2.43</f>
        <v>2862.54</v>
      </c>
      <c r="Z25" s="31">
        <v>1178</v>
      </c>
      <c r="AA25" s="38">
        <v>38</v>
      </c>
      <c r="AB25" s="47">
        <v>0</v>
      </c>
      <c r="AC25" s="38">
        <f>112+7182</f>
        <v>7294</v>
      </c>
      <c r="AD25" s="47">
        <v>1291</v>
      </c>
      <c r="AE25" s="47">
        <v>0</v>
      </c>
      <c r="AF25" s="47">
        <f>2630+975</f>
        <v>3605</v>
      </c>
      <c r="AG25" s="38">
        <v>0</v>
      </c>
      <c r="AH25" s="56">
        <v>10</v>
      </c>
    </row>
    <row r="26" spans="1:36" s="4" customFormat="1" ht="100.5" customHeight="1" thickBot="1" x14ac:dyDescent="0.25">
      <c r="A26" s="57">
        <v>45277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89484</v>
      </c>
      <c r="G26" s="59">
        <f t="shared" si="3"/>
        <v>10755.288461538461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101172</v>
      </c>
      <c r="U26" s="59">
        <f t="shared" si="3"/>
        <v>11764.186046511628</v>
      </c>
      <c r="V26" s="60" t="e">
        <f t="shared" si="3"/>
        <v>#REF!</v>
      </c>
      <c r="W26" s="60">
        <f t="shared" si="3"/>
        <v>111998</v>
      </c>
      <c r="X26" s="60" t="e">
        <f t="shared" si="3"/>
        <v>#REF!</v>
      </c>
      <c r="Y26" s="61">
        <f>Y24-Y25</f>
        <v>45785.479999999996</v>
      </c>
      <c r="Z26" s="58">
        <f>Z24-Z25</f>
        <v>9186</v>
      </c>
      <c r="AA26" s="58">
        <f t="shared" si="3"/>
        <v>523</v>
      </c>
      <c r="AB26" s="60">
        <f>AB24-AB25</f>
        <v>1143</v>
      </c>
      <c r="AC26" s="58">
        <f>AC24-AC25</f>
        <v>66629</v>
      </c>
      <c r="AD26" s="60">
        <f>AD24-AD25</f>
        <v>31807</v>
      </c>
      <c r="AE26" s="60">
        <f>AE24-AE25</f>
        <v>0</v>
      </c>
      <c r="AF26" s="60">
        <f>AF24-AF25</f>
        <v>50499</v>
      </c>
      <c r="AG26" s="58">
        <f t="shared" ref="AG26" si="7">AG24-AG25</f>
        <v>1885</v>
      </c>
      <c r="AH26" s="62">
        <f>AH24-AH25</f>
        <v>215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F25" sqref="F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45278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62192</v>
      </c>
      <c r="G20" s="32">
        <f>F20/208*25</f>
        <v>7475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90300</v>
      </c>
      <c r="U20" s="34">
        <f>T20/215*25</f>
        <v>10500</v>
      </c>
      <c r="V20" s="33" t="e">
        <f>#REF!</f>
        <v>#REF!</v>
      </c>
      <c r="W20" s="33">
        <v>99625</v>
      </c>
      <c r="X20" s="33" t="e">
        <f>#REF!</f>
        <v>#REF!</v>
      </c>
      <c r="Y20" s="35">
        <v>42778.34</v>
      </c>
      <c r="Z20" s="31">
        <v>6848</v>
      </c>
      <c r="AA20" s="31">
        <v>410</v>
      </c>
      <c r="AB20" s="33">
        <v>1143</v>
      </c>
      <c r="AC20" s="31">
        <v>50231</v>
      </c>
      <c r="AD20" s="33">
        <v>7560</v>
      </c>
      <c r="AE20" s="33">
        <v>0</v>
      </c>
      <c r="AF20" s="33">
        <v>32833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27292</v>
      </c>
      <c r="G21" s="32">
        <f>F21/208*25</f>
        <v>3280.2884615384614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10872</v>
      </c>
      <c r="U21" s="32">
        <f>T21/215*25</f>
        <v>1264.1860465116279</v>
      </c>
      <c r="V21" s="34"/>
      <c r="W21" s="34">
        <v>12373</v>
      </c>
      <c r="X21" s="34">
        <v>0</v>
      </c>
      <c r="Y21" s="32">
        <v>3007.1400000000003</v>
      </c>
      <c r="Z21" s="38">
        <v>2338</v>
      </c>
      <c r="AA21" s="38">
        <v>113</v>
      </c>
      <c r="AB21" s="34">
        <v>0</v>
      </c>
      <c r="AC21" s="38">
        <v>16398</v>
      </c>
      <c r="AD21" s="34">
        <v>24247</v>
      </c>
      <c r="AE21" s="34">
        <v>0</v>
      </c>
      <c r="AF21" s="34">
        <v>17666</v>
      </c>
      <c r="AG21" s="38">
        <v>220</v>
      </c>
      <c r="AH21" s="39">
        <v>65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89484</v>
      </c>
      <c r="G22" s="43">
        <f t="shared" si="1"/>
        <v>10755.288461538461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101172</v>
      </c>
      <c r="U22" s="43">
        <f t="shared" si="1"/>
        <v>11764.186046511628</v>
      </c>
      <c r="V22" s="44" t="e">
        <f t="shared" si="1"/>
        <v>#REF!</v>
      </c>
      <c r="W22" s="44">
        <f t="shared" si="1"/>
        <v>111998</v>
      </c>
      <c r="X22" s="44" t="e">
        <f t="shared" si="1"/>
        <v>#REF!</v>
      </c>
      <c r="Y22" s="43">
        <f t="shared" si="1"/>
        <v>45785.479999999996</v>
      </c>
      <c r="Z22" s="42">
        <f t="shared" si="1"/>
        <v>9186</v>
      </c>
      <c r="AA22" s="42">
        <f t="shared" si="1"/>
        <v>523</v>
      </c>
      <c r="AB22" s="44">
        <f t="shared" si="1"/>
        <v>1143</v>
      </c>
      <c r="AC22" s="42">
        <f t="shared" si="1"/>
        <v>66629</v>
      </c>
      <c r="AD22" s="44">
        <f>SUM(AD20:AD21)</f>
        <v>31807</v>
      </c>
      <c r="AE22" s="44">
        <f t="shared" si="1"/>
        <v>0</v>
      </c>
      <c r="AF22" s="44">
        <f t="shared" si="1"/>
        <v>50499</v>
      </c>
      <c r="AG22" s="42">
        <f t="shared" si="1"/>
        <v>1885</v>
      </c>
      <c r="AH22" s="46">
        <f t="shared" si="1"/>
        <v>215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89484</v>
      </c>
      <c r="G24" s="52">
        <f t="shared" si="2"/>
        <v>10755.288461538461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101172</v>
      </c>
      <c r="U24" s="52">
        <f t="shared" si="2"/>
        <v>11764.186046511628</v>
      </c>
      <c r="V24" s="51" t="e">
        <f t="shared" si="2"/>
        <v>#REF!</v>
      </c>
      <c r="W24" s="51">
        <f t="shared" si="2"/>
        <v>111998</v>
      </c>
      <c r="X24" s="51" t="e">
        <f t="shared" si="2"/>
        <v>#REF!</v>
      </c>
      <c r="Y24" s="52">
        <f t="shared" si="2"/>
        <v>45785.479999999996</v>
      </c>
      <c r="Z24" s="51">
        <f t="shared" si="2"/>
        <v>9186</v>
      </c>
      <c r="AA24" s="51">
        <f t="shared" si="2"/>
        <v>523</v>
      </c>
      <c r="AB24" s="51">
        <f t="shared" si="2"/>
        <v>1143</v>
      </c>
      <c r="AC24" s="51">
        <f t="shared" si="2"/>
        <v>66629</v>
      </c>
      <c r="AD24" s="51">
        <f t="shared" si="2"/>
        <v>31807</v>
      </c>
      <c r="AE24" s="51">
        <f t="shared" si="2"/>
        <v>0</v>
      </c>
      <c r="AF24" s="51">
        <f t="shared" si="2"/>
        <v>50499</v>
      </c>
      <c r="AG24" s="51">
        <f t="shared" si="2"/>
        <v>1885</v>
      </c>
      <c r="AH24" s="53">
        <f t="shared" si="2"/>
        <v>215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2018</v>
      </c>
      <c r="G25" s="32">
        <f>F25/208*25</f>
        <v>242.54807692307691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1251</v>
      </c>
      <c r="U25" s="32">
        <f>T25/215*25</f>
        <v>145.46511627906978</v>
      </c>
      <c r="V25" s="47" t="s">
        <v>40</v>
      </c>
      <c r="W25" s="31">
        <v>884</v>
      </c>
      <c r="X25" s="47"/>
      <c r="Y25" s="55">
        <f>Z25*2.43</f>
        <v>510.3</v>
      </c>
      <c r="Z25" s="31">
        <v>210</v>
      </c>
      <c r="AA25" s="38">
        <v>5</v>
      </c>
      <c r="AB25" s="47">
        <v>0</v>
      </c>
      <c r="AC25" s="38">
        <f>104+977</f>
        <v>1081</v>
      </c>
      <c r="AD25" s="47">
        <v>474</v>
      </c>
      <c r="AE25" s="47">
        <v>0</v>
      </c>
      <c r="AF25" s="47">
        <f>431+257</f>
        <v>688</v>
      </c>
      <c r="AG25" s="38">
        <v>0</v>
      </c>
      <c r="AH25" s="56">
        <v>6</v>
      </c>
    </row>
    <row r="26" spans="1:36" s="4" customFormat="1" ht="100.5" customHeight="1" thickBot="1" x14ac:dyDescent="0.25">
      <c r="A26" s="57">
        <v>45284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87466</v>
      </c>
      <c r="G26" s="59">
        <f t="shared" si="3"/>
        <v>10512.740384615385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99921</v>
      </c>
      <c r="U26" s="59">
        <f t="shared" si="3"/>
        <v>11618.720930232557</v>
      </c>
      <c r="V26" s="60" t="e">
        <f t="shared" si="3"/>
        <v>#REF!</v>
      </c>
      <c r="W26" s="60">
        <f t="shared" si="3"/>
        <v>111114</v>
      </c>
      <c r="X26" s="60" t="e">
        <f t="shared" si="3"/>
        <v>#REF!</v>
      </c>
      <c r="Y26" s="61">
        <f>Y24-Y25</f>
        <v>45275.179999999993</v>
      </c>
      <c r="Z26" s="58">
        <f>Z24-Z25</f>
        <v>8976</v>
      </c>
      <c r="AA26" s="58">
        <f t="shared" si="3"/>
        <v>518</v>
      </c>
      <c r="AB26" s="60">
        <f>AB24-AB25</f>
        <v>1143</v>
      </c>
      <c r="AC26" s="58">
        <f>AC24-AC25</f>
        <v>65548</v>
      </c>
      <c r="AD26" s="60">
        <f>AD24-AD25</f>
        <v>31333</v>
      </c>
      <c r="AE26" s="60">
        <f>AE24-AE25</f>
        <v>0</v>
      </c>
      <c r="AF26" s="60">
        <f>AF24-AF25</f>
        <v>49811</v>
      </c>
      <c r="AG26" s="58">
        <f t="shared" ref="AG26" si="7">AG24-AG25</f>
        <v>1885</v>
      </c>
      <c r="AH26" s="62">
        <f>AH24-AH25</f>
        <v>209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Y35" sqref="Y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45285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62192</v>
      </c>
      <c r="G20" s="32">
        <f>F20/208*25</f>
        <v>7475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90300</v>
      </c>
      <c r="U20" s="34">
        <f>T20/215*25</f>
        <v>10500</v>
      </c>
      <c r="V20" s="33" t="e">
        <f>#REF!</f>
        <v>#REF!</v>
      </c>
      <c r="W20" s="33">
        <v>99625</v>
      </c>
      <c r="X20" s="33" t="e">
        <f>#REF!</f>
        <v>#REF!</v>
      </c>
      <c r="Y20" s="35">
        <v>42778.34</v>
      </c>
      <c r="Z20" s="31">
        <v>6848</v>
      </c>
      <c r="AA20" s="31">
        <v>410</v>
      </c>
      <c r="AB20" s="33">
        <v>1143</v>
      </c>
      <c r="AC20" s="31">
        <v>50231</v>
      </c>
      <c r="AD20" s="33">
        <v>7560</v>
      </c>
      <c r="AE20" s="33">
        <v>0</v>
      </c>
      <c r="AF20" s="33">
        <v>32833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25274</v>
      </c>
      <c r="G21" s="32">
        <f>F21/208*25</f>
        <v>3037.7403846153848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f>9621-3</f>
        <v>9618</v>
      </c>
      <c r="U21" s="32">
        <f>T21/215*25</f>
        <v>1118.372093023256</v>
      </c>
      <c r="V21" s="34"/>
      <c r="W21" s="34">
        <v>11489</v>
      </c>
      <c r="X21" s="34">
        <v>0</v>
      </c>
      <c r="Y21" s="32">
        <v>2496.84</v>
      </c>
      <c r="Z21" s="38">
        <v>2127</v>
      </c>
      <c r="AA21" s="38">
        <v>108</v>
      </c>
      <c r="AB21" s="34">
        <v>0</v>
      </c>
      <c r="AC21" s="38">
        <v>15317</v>
      </c>
      <c r="AD21" s="34">
        <v>23773</v>
      </c>
      <c r="AE21" s="34">
        <v>0</v>
      </c>
      <c r="AF21" s="34">
        <v>16978</v>
      </c>
      <c r="AG21" s="38">
        <v>220</v>
      </c>
      <c r="AH21" s="39">
        <v>59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87466</v>
      </c>
      <c r="G22" s="43">
        <f t="shared" si="1"/>
        <v>10512.740384615385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99918</v>
      </c>
      <c r="U22" s="43">
        <f t="shared" si="1"/>
        <v>11618.372093023256</v>
      </c>
      <c r="V22" s="44" t="e">
        <f t="shared" si="1"/>
        <v>#REF!</v>
      </c>
      <c r="W22" s="44">
        <f t="shared" si="1"/>
        <v>111114</v>
      </c>
      <c r="X22" s="44" t="e">
        <f t="shared" si="1"/>
        <v>#REF!</v>
      </c>
      <c r="Y22" s="43">
        <f t="shared" si="1"/>
        <v>45275.179999999993</v>
      </c>
      <c r="Z22" s="42">
        <f t="shared" si="1"/>
        <v>8975</v>
      </c>
      <c r="AA22" s="42">
        <f t="shared" si="1"/>
        <v>518</v>
      </c>
      <c r="AB22" s="44">
        <f t="shared" si="1"/>
        <v>1143</v>
      </c>
      <c r="AC22" s="42">
        <f t="shared" si="1"/>
        <v>65548</v>
      </c>
      <c r="AD22" s="44">
        <f>SUM(AD20:AD21)</f>
        <v>31333</v>
      </c>
      <c r="AE22" s="44">
        <f t="shared" si="1"/>
        <v>0</v>
      </c>
      <c r="AF22" s="44">
        <f t="shared" si="1"/>
        <v>49811</v>
      </c>
      <c r="AG22" s="42">
        <f t="shared" si="1"/>
        <v>1885</v>
      </c>
      <c r="AH22" s="46">
        <f t="shared" si="1"/>
        <v>209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87466</v>
      </c>
      <c r="G24" s="52">
        <f t="shared" si="2"/>
        <v>10512.740384615385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99918</v>
      </c>
      <c r="U24" s="52">
        <f t="shared" si="2"/>
        <v>11618.372093023256</v>
      </c>
      <c r="V24" s="51" t="e">
        <f t="shared" si="2"/>
        <v>#REF!</v>
      </c>
      <c r="W24" s="51">
        <f t="shared" si="2"/>
        <v>111114</v>
      </c>
      <c r="X24" s="51" t="e">
        <f t="shared" si="2"/>
        <v>#REF!</v>
      </c>
      <c r="Y24" s="52">
        <f t="shared" si="2"/>
        <v>45275.179999999993</v>
      </c>
      <c r="Z24" s="51">
        <f t="shared" si="2"/>
        <v>8975</v>
      </c>
      <c r="AA24" s="51">
        <f t="shared" si="2"/>
        <v>518</v>
      </c>
      <c r="AB24" s="51">
        <f t="shared" si="2"/>
        <v>1143</v>
      </c>
      <c r="AC24" s="51">
        <f t="shared" si="2"/>
        <v>65548</v>
      </c>
      <c r="AD24" s="51">
        <f t="shared" si="2"/>
        <v>31333</v>
      </c>
      <c r="AE24" s="51">
        <f t="shared" si="2"/>
        <v>0</v>
      </c>
      <c r="AF24" s="51">
        <f t="shared" si="2"/>
        <v>49811</v>
      </c>
      <c r="AG24" s="51">
        <f t="shared" si="2"/>
        <v>1885</v>
      </c>
      <c r="AH24" s="53">
        <f t="shared" si="2"/>
        <v>209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745</v>
      </c>
      <c r="G25" s="32">
        <f>F25/208*25</f>
        <v>89.543269230769226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1515</v>
      </c>
      <c r="U25" s="32">
        <f>T25/215*25</f>
        <v>176.16279069767441</v>
      </c>
      <c r="V25" s="47" t="s">
        <v>40</v>
      </c>
      <c r="W25" s="31">
        <v>465</v>
      </c>
      <c r="X25" s="47"/>
      <c r="Y25" s="55">
        <f>Z25*2.43</f>
        <v>303.75</v>
      </c>
      <c r="Z25" s="31">
        <v>125</v>
      </c>
      <c r="AA25" s="38">
        <v>1</v>
      </c>
      <c r="AB25" s="47">
        <v>0</v>
      </c>
      <c r="AC25" s="38">
        <v>485</v>
      </c>
      <c r="AD25" s="47">
        <v>474</v>
      </c>
      <c r="AE25" s="47">
        <v>0</v>
      </c>
      <c r="AF25" s="47">
        <v>328</v>
      </c>
      <c r="AG25" s="38">
        <v>0</v>
      </c>
      <c r="AH25" s="56">
        <v>4</v>
      </c>
    </row>
    <row r="26" spans="1:36" s="4" customFormat="1" ht="100.5" customHeight="1" thickBot="1" x14ac:dyDescent="0.25">
      <c r="A26" s="57">
        <v>45291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86721</v>
      </c>
      <c r="G26" s="59">
        <f t="shared" si="3"/>
        <v>10423.197115384615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98403</v>
      </c>
      <c r="U26" s="59">
        <f t="shared" si="3"/>
        <v>11442.209302325582</v>
      </c>
      <c r="V26" s="60" t="e">
        <f t="shared" si="3"/>
        <v>#REF!</v>
      </c>
      <c r="W26" s="60">
        <f t="shared" si="3"/>
        <v>110649</v>
      </c>
      <c r="X26" s="60" t="e">
        <f t="shared" si="3"/>
        <v>#REF!</v>
      </c>
      <c r="Y26" s="61">
        <f>Y24-Y25</f>
        <v>44971.429999999993</v>
      </c>
      <c r="Z26" s="58">
        <f>Z24-Z25</f>
        <v>8850</v>
      </c>
      <c r="AA26" s="58">
        <f t="shared" si="3"/>
        <v>517</v>
      </c>
      <c r="AB26" s="60">
        <f>AB24-AB25</f>
        <v>1143</v>
      </c>
      <c r="AC26" s="58">
        <f>AC24-AC25</f>
        <v>65063</v>
      </c>
      <c r="AD26" s="60">
        <f>AD24-AD25</f>
        <v>30859</v>
      </c>
      <c r="AE26" s="60">
        <f>AE24-AE25</f>
        <v>0</v>
      </c>
      <c r="AF26" s="60">
        <f>AF24-AF25</f>
        <v>49483</v>
      </c>
      <c r="AG26" s="58">
        <f t="shared" ref="AG26" si="7">AG24-AG25</f>
        <v>1885</v>
      </c>
      <c r="AH26" s="62">
        <f>AH24-AH25</f>
        <v>205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6" zoomScale="78" zoomScaleNormal="78" workbookViewId="0">
      <selection activeCell="AI25" sqref="AI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45292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62192</v>
      </c>
      <c r="G20" s="32">
        <f>F20/208*25</f>
        <v>7475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90300</v>
      </c>
      <c r="U20" s="34">
        <f>T20/215*25</f>
        <v>10500</v>
      </c>
      <c r="V20" s="33" t="e">
        <f>#REF!</f>
        <v>#REF!</v>
      </c>
      <c r="W20" s="33">
        <v>99625</v>
      </c>
      <c r="X20" s="33" t="e">
        <f>#REF!</f>
        <v>#REF!</v>
      </c>
      <c r="Y20" s="35">
        <v>42778.34</v>
      </c>
      <c r="Z20" s="31">
        <v>6848</v>
      </c>
      <c r="AA20" s="31">
        <v>410</v>
      </c>
      <c r="AB20" s="33">
        <v>1143</v>
      </c>
      <c r="AC20" s="31">
        <v>50231</v>
      </c>
      <c r="AD20" s="33">
        <v>7560</v>
      </c>
      <c r="AE20" s="33">
        <v>0</v>
      </c>
      <c r="AF20" s="33">
        <v>32833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24529</v>
      </c>
      <c r="G21" s="32">
        <f>F21/208*25</f>
        <v>2948.1971153846152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8103</v>
      </c>
      <c r="U21" s="32">
        <f>T21/215*25</f>
        <v>942.20930232558135</v>
      </c>
      <c r="V21" s="34"/>
      <c r="W21" s="34">
        <v>11024</v>
      </c>
      <c r="X21" s="34">
        <v>0</v>
      </c>
      <c r="Y21" s="32">
        <v>2190.66</v>
      </c>
      <c r="Z21" s="38">
        <v>2002</v>
      </c>
      <c r="AA21" s="38">
        <v>107</v>
      </c>
      <c r="AB21" s="34">
        <v>0</v>
      </c>
      <c r="AC21" s="38">
        <v>14832</v>
      </c>
      <c r="AD21" s="34">
        <v>23299</v>
      </c>
      <c r="AE21" s="34">
        <v>0</v>
      </c>
      <c r="AF21" s="34">
        <v>16650</v>
      </c>
      <c r="AG21" s="38">
        <v>220</v>
      </c>
      <c r="AH21" s="39">
        <v>55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86721</v>
      </c>
      <c r="G22" s="43">
        <f t="shared" si="1"/>
        <v>10423.197115384615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98403</v>
      </c>
      <c r="U22" s="43">
        <f t="shared" si="1"/>
        <v>11442.209302325582</v>
      </c>
      <c r="V22" s="44" t="e">
        <f t="shared" si="1"/>
        <v>#REF!</v>
      </c>
      <c r="W22" s="44">
        <f t="shared" si="1"/>
        <v>110649</v>
      </c>
      <c r="X22" s="44" t="e">
        <f t="shared" si="1"/>
        <v>#REF!</v>
      </c>
      <c r="Y22" s="43">
        <f t="shared" si="1"/>
        <v>44969</v>
      </c>
      <c r="Z22" s="42">
        <f t="shared" si="1"/>
        <v>8850</v>
      </c>
      <c r="AA22" s="42">
        <f t="shared" si="1"/>
        <v>517</v>
      </c>
      <c r="AB22" s="44">
        <f t="shared" si="1"/>
        <v>1143</v>
      </c>
      <c r="AC22" s="42">
        <f t="shared" si="1"/>
        <v>65063</v>
      </c>
      <c r="AD22" s="44">
        <f>SUM(AD20:AD21)</f>
        <v>30859</v>
      </c>
      <c r="AE22" s="44">
        <f t="shared" si="1"/>
        <v>0</v>
      </c>
      <c r="AF22" s="44">
        <f t="shared" si="1"/>
        <v>49483</v>
      </c>
      <c r="AG22" s="42">
        <f t="shared" si="1"/>
        <v>1885</v>
      </c>
      <c r="AH22" s="46">
        <f t="shared" si="1"/>
        <v>205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86721</v>
      </c>
      <c r="G24" s="52">
        <f t="shared" si="2"/>
        <v>10423.197115384615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98403</v>
      </c>
      <c r="U24" s="52">
        <f t="shared" si="2"/>
        <v>11442.209302325582</v>
      </c>
      <c r="V24" s="51" t="e">
        <f t="shared" si="2"/>
        <v>#REF!</v>
      </c>
      <c r="W24" s="51">
        <f t="shared" si="2"/>
        <v>110649</v>
      </c>
      <c r="X24" s="51" t="e">
        <f t="shared" si="2"/>
        <v>#REF!</v>
      </c>
      <c r="Y24" s="52">
        <f t="shared" si="2"/>
        <v>44969</v>
      </c>
      <c r="Z24" s="51">
        <f t="shared" si="2"/>
        <v>8850</v>
      </c>
      <c r="AA24" s="51">
        <f t="shared" si="2"/>
        <v>517</v>
      </c>
      <c r="AB24" s="51">
        <f t="shared" si="2"/>
        <v>1143</v>
      </c>
      <c r="AC24" s="51">
        <f t="shared" si="2"/>
        <v>65063</v>
      </c>
      <c r="AD24" s="51">
        <f t="shared" si="2"/>
        <v>30859</v>
      </c>
      <c r="AE24" s="51">
        <f t="shared" si="2"/>
        <v>0</v>
      </c>
      <c r="AF24" s="51">
        <f t="shared" si="2"/>
        <v>49483</v>
      </c>
      <c r="AG24" s="51">
        <f t="shared" si="2"/>
        <v>1885</v>
      </c>
      <c r="AH24" s="53">
        <f t="shared" si="2"/>
        <v>205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545</v>
      </c>
      <c r="G25" s="32">
        <f>F25/208*25</f>
        <v>65.504807692307693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1595</v>
      </c>
      <c r="U25" s="32">
        <f>T25/215*25</f>
        <v>185.46511627906978</v>
      </c>
      <c r="V25" s="47" t="s">
        <v>40</v>
      </c>
      <c r="W25" s="31">
        <v>195</v>
      </c>
      <c r="X25" s="47"/>
      <c r="Y25" s="55">
        <f>Z25*2.43</f>
        <v>245.43</v>
      </c>
      <c r="Z25" s="31">
        <v>101</v>
      </c>
      <c r="AA25" s="38">
        <v>0</v>
      </c>
      <c r="AB25" s="47">
        <v>0</v>
      </c>
      <c r="AC25" s="38">
        <f>533+25</f>
        <v>558</v>
      </c>
      <c r="AD25" s="47">
        <v>0</v>
      </c>
      <c r="AE25" s="47">
        <v>0</v>
      </c>
      <c r="AF25" s="47">
        <f>164+48</f>
        <v>212</v>
      </c>
      <c r="AG25" s="38">
        <v>0</v>
      </c>
      <c r="AH25" s="56">
        <v>2</v>
      </c>
    </row>
    <row r="26" spans="1:36" s="4" customFormat="1" ht="100.5" customHeight="1" thickBot="1" x14ac:dyDescent="0.25">
      <c r="A26" s="57">
        <v>45298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86176</v>
      </c>
      <c r="G26" s="59">
        <f t="shared" si="3"/>
        <v>10357.692307692307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96808</v>
      </c>
      <c r="U26" s="59">
        <f t="shared" si="3"/>
        <v>11256.744186046511</v>
      </c>
      <c r="V26" s="60" t="e">
        <f t="shared" si="3"/>
        <v>#REF!</v>
      </c>
      <c r="W26" s="60">
        <f t="shared" si="3"/>
        <v>110454</v>
      </c>
      <c r="X26" s="60" t="e">
        <f t="shared" si="3"/>
        <v>#REF!</v>
      </c>
      <c r="Y26" s="61">
        <f>Y24-Y25</f>
        <v>44723.57</v>
      </c>
      <c r="Z26" s="58">
        <f>Z24-Z25</f>
        <v>8749</v>
      </c>
      <c r="AA26" s="58">
        <f t="shared" si="3"/>
        <v>517</v>
      </c>
      <c r="AB26" s="60">
        <f>AB24-AB25</f>
        <v>1143</v>
      </c>
      <c r="AC26" s="58">
        <f>AC24-AC25</f>
        <v>64505</v>
      </c>
      <c r="AD26" s="60">
        <f>AD24-AD25</f>
        <v>30859</v>
      </c>
      <c r="AE26" s="60">
        <f>AE24-AE25</f>
        <v>0</v>
      </c>
      <c r="AF26" s="60">
        <f>AF24-AF25</f>
        <v>49271</v>
      </c>
      <c r="AG26" s="58">
        <f t="shared" ref="AG26" si="7">AG24-AG25</f>
        <v>1885</v>
      </c>
      <c r="AH26" s="62">
        <f>AH24-AH25</f>
        <v>203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9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45299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53872</v>
      </c>
      <c r="G20" s="32">
        <f>F20/208*25</f>
        <v>6475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82775</v>
      </c>
      <c r="U20" s="34">
        <f>T20/215*25</f>
        <v>9625</v>
      </c>
      <c r="V20" s="33" t="e">
        <f>#REF!</f>
        <v>#REF!</v>
      </c>
      <c r="W20" s="33">
        <v>94750</v>
      </c>
      <c r="X20" s="33" t="e">
        <f>#REF!</f>
        <v>#REF!</v>
      </c>
      <c r="Y20" s="35">
        <v>40348.339999999997</v>
      </c>
      <c r="Z20" s="31">
        <v>5848</v>
      </c>
      <c r="AA20" s="31">
        <v>410</v>
      </c>
      <c r="AB20" s="33">
        <v>1143</v>
      </c>
      <c r="AC20" s="31">
        <v>37231</v>
      </c>
      <c r="AD20" s="33">
        <v>7560</v>
      </c>
      <c r="AE20" s="33">
        <v>0</v>
      </c>
      <c r="AF20" s="33">
        <v>29033</v>
      </c>
      <c r="AG20" s="31">
        <v>1665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32304</v>
      </c>
      <c r="G21" s="32">
        <f>F21/208*25</f>
        <v>3882.6923076923081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14033</v>
      </c>
      <c r="U21" s="32">
        <f>T21/215*25</f>
        <v>1631.7441860465117</v>
      </c>
      <c r="V21" s="34"/>
      <c r="W21" s="34">
        <v>15704</v>
      </c>
      <c r="X21" s="34">
        <v>0</v>
      </c>
      <c r="Y21" s="32">
        <v>4375.2299999999996</v>
      </c>
      <c r="Z21" s="38">
        <v>2901</v>
      </c>
      <c r="AA21" s="38">
        <v>107</v>
      </c>
      <c r="AB21" s="34">
        <v>0</v>
      </c>
      <c r="AC21" s="38">
        <v>27274</v>
      </c>
      <c r="AD21" s="34">
        <v>23299</v>
      </c>
      <c r="AE21" s="34">
        <v>0</v>
      </c>
      <c r="AF21" s="34">
        <v>20238</v>
      </c>
      <c r="AG21" s="38">
        <v>220</v>
      </c>
      <c r="AH21" s="39">
        <v>53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86176</v>
      </c>
      <c r="G22" s="43">
        <f t="shared" si="1"/>
        <v>10357.692307692309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96808</v>
      </c>
      <c r="U22" s="43">
        <f t="shared" si="1"/>
        <v>11256.744186046511</v>
      </c>
      <c r="V22" s="44" t="e">
        <f t="shared" si="1"/>
        <v>#REF!</v>
      </c>
      <c r="W22" s="44">
        <f t="shared" si="1"/>
        <v>110454</v>
      </c>
      <c r="X22" s="44" t="e">
        <f t="shared" si="1"/>
        <v>#REF!</v>
      </c>
      <c r="Y22" s="43">
        <f t="shared" si="1"/>
        <v>44723.569999999992</v>
      </c>
      <c r="Z22" s="42">
        <f t="shared" si="1"/>
        <v>8749</v>
      </c>
      <c r="AA22" s="42">
        <f t="shared" si="1"/>
        <v>517</v>
      </c>
      <c r="AB22" s="44">
        <f t="shared" si="1"/>
        <v>1143</v>
      </c>
      <c r="AC22" s="42">
        <f t="shared" si="1"/>
        <v>64505</v>
      </c>
      <c r="AD22" s="44">
        <f>SUM(AD20:AD21)</f>
        <v>30859</v>
      </c>
      <c r="AE22" s="44">
        <f t="shared" si="1"/>
        <v>0</v>
      </c>
      <c r="AF22" s="44">
        <f t="shared" si="1"/>
        <v>49271</v>
      </c>
      <c r="AG22" s="42">
        <f t="shared" si="1"/>
        <v>1885</v>
      </c>
      <c r="AH22" s="46">
        <f t="shared" si="1"/>
        <v>203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50*208</f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50*215</f>
        <v>10750</v>
      </c>
      <c r="U23" s="32">
        <f>T23/215*25</f>
        <v>1250</v>
      </c>
      <c r="V23" s="31"/>
      <c r="W23" s="31">
        <f>600*25</f>
        <v>15000</v>
      </c>
      <c r="X23" s="31"/>
      <c r="Y23" s="31">
        <v>4000</v>
      </c>
      <c r="Z23" s="31">
        <v>2000</v>
      </c>
      <c r="AA23" s="31">
        <v>0</v>
      </c>
      <c r="AB23" s="31"/>
      <c r="AC23" s="31">
        <v>15500</v>
      </c>
      <c r="AD23" s="31"/>
      <c r="AE23" s="31"/>
      <c r="AF23" s="48">
        <v>3800</v>
      </c>
      <c r="AG23" s="31"/>
      <c r="AH23" s="49">
        <v>100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96576</v>
      </c>
      <c r="G24" s="52">
        <f t="shared" si="2"/>
        <v>11607.692307692309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107558</v>
      </c>
      <c r="U24" s="52">
        <f t="shared" si="2"/>
        <v>12506.744186046511</v>
      </c>
      <c r="V24" s="51" t="e">
        <f t="shared" si="2"/>
        <v>#REF!</v>
      </c>
      <c r="W24" s="51">
        <f t="shared" si="2"/>
        <v>125454</v>
      </c>
      <c r="X24" s="51" t="e">
        <f t="shared" si="2"/>
        <v>#REF!</v>
      </c>
      <c r="Y24" s="52">
        <f t="shared" si="2"/>
        <v>48723.569999999992</v>
      </c>
      <c r="Z24" s="51">
        <f t="shared" si="2"/>
        <v>10749</v>
      </c>
      <c r="AA24" s="51">
        <f t="shared" si="2"/>
        <v>517</v>
      </c>
      <c r="AB24" s="51">
        <f t="shared" si="2"/>
        <v>1143</v>
      </c>
      <c r="AC24" s="51">
        <f t="shared" si="2"/>
        <v>80005</v>
      </c>
      <c r="AD24" s="51">
        <f t="shared" si="2"/>
        <v>30859</v>
      </c>
      <c r="AE24" s="51">
        <f t="shared" si="2"/>
        <v>0</v>
      </c>
      <c r="AF24" s="51">
        <f t="shared" si="2"/>
        <v>53071</v>
      </c>
      <c r="AG24" s="51">
        <f t="shared" si="2"/>
        <v>1885</v>
      </c>
      <c r="AH24" s="53">
        <f t="shared" si="2"/>
        <v>303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7317</v>
      </c>
      <c r="G25" s="32">
        <f>F25/208*25</f>
        <v>879.44711538461536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9804</v>
      </c>
      <c r="U25" s="32">
        <f>T25/215*25</f>
        <v>1140</v>
      </c>
      <c r="V25" s="47" t="s">
        <v>40</v>
      </c>
      <c r="W25" s="31">
        <v>5211</v>
      </c>
      <c r="X25" s="47"/>
      <c r="Y25" s="55">
        <f>Z25*2.43</f>
        <v>2796.9300000000003</v>
      </c>
      <c r="Z25" s="31">
        <v>1151</v>
      </c>
      <c r="AA25" s="38">
        <v>73</v>
      </c>
      <c r="AB25" s="47">
        <v>0</v>
      </c>
      <c r="AC25" s="38">
        <f>135+7316</f>
        <v>7451</v>
      </c>
      <c r="AD25" s="47">
        <v>954</v>
      </c>
      <c r="AE25" s="47">
        <v>0</v>
      </c>
      <c r="AF25" s="47">
        <f>2717+764</f>
        <v>3481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45305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89259</v>
      </c>
      <c r="G26" s="59">
        <f t="shared" si="3"/>
        <v>10728.245192307693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97754</v>
      </c>
      <c r="U26" s="59">
        <f t="shared" si="3"/>
        <v>11366.744186046511</v>
      </c>
      <c r="V26" s="60" t="e">
        <f t="shared" si="3"/>
        <v>#REF!</v>
      </c>
      <c r="W26" s="60">
        <f t="shared" si="3"/>
        <v>120243</v>
      </c>
      <c r="X26" s="60" t="e">
        <f t="shared" si="3"/>
        <v>#REF!</v>
      </c>
      <c r="Y26" s="61">
        <f>Y24-Y25</f>
        <v>45926.639999999992</v>
      </c>
      <c r="Z26" s="58">
        <f>Z24-Z25</f>
        <v>9598</v>
      </c>
      <c r="AA26" s="58">
        <f t="shared" si="3"/>
        <v>444</v>
      </c>
      <c r="AB26" s="60">
        <f>AB24-AB25</f>
        <v>1143</v>
      </c>
      <c r="AC26" s="58">
        <f>AC24-AC25</f>
        <v>72554</v>
      </c>
      <c r="AD26" s="60">
        <f>AD24-AD25</f>
        <v>29905</v>
      </c>
      <c r="AE26" s="60">
        <f>AE24-AE25</f>
        <v>0</v>
      </c>
      <c r="AF26" s="60">
        <f>AF24-AF25</f>
        <v>49590</v>
      </c>
      <c r="AG26" s="58">
        <f t="shared" ref="AG26" si="7">AG24-AG25</f>
        <v>1885</v>
      </c>
      <c r="AH26" s="62">
        <f>AH24-AH25</f>
        <v>295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8" zoomScale="78" zoomScaleNormal="78" workbookViewId="0">
      <selection activeCell="Y35" sqref="Y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45306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55952</v>
      </c>
      <c r="G20" s="32">
        <f>F20/208*25</f>
        <v>6725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88150</v>
      </c>
      <c r="U20" s="34">
        <f>T20/215*25</f>
        <v>10250</v>
      </c>
      <c r="V20" s="33" t="e">
        <f>#REF!</f>
        <v>#REF!</v>
      </c>
      <c r="W20" s="33">
        <v>103750</v>
      </c>
      <c r="X20" s="33" t="e">
        <f>#REF!</f>
        <v>#REF!</v>
      </c>
      <c r="Y20" s="35">
        <v>42161.34</v>
      </c>
      <c r="Z20" s="31">
        <v>6948</v>
      </c>
      <c r="AA20" s="31">
        <v>310</v>
      </c>
      <c r="AB20" s="33">
        <v>1143</v>
      </c>
      <c r="AC20" s="31">
        <v>42981</v>
      </c>
      <c r="AD20" s="33">
        <v>7560</v>
      </c>
      <c r="AE20" s="33">
        <v>0</v>
      </c>
      <c r="AF20" s="33">
        <v>30033</v>
      </c>
      <c r="AG20" s="31">
        <v>1665</v>
      </c>
      <c r="AH20" s="36">
        <v>250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33307</v>
      </c>
      <c r="G21" s="32">
        <f>F21/208*25</f>
        <v>4003.2451923076919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9604</v>
      </c>
      <c r="U21" s="32">
        <f>T21/215*25</f>
        <v>1116.7441860465117</v>
      </c>
      <c r="V21" s="34"/>
      <c r="W21" s="34">
        <v>16493</v>
      </c>
      <c r="X21" s="34">
        <v>0</v>
      </c>
      <c r="Y21" s="32">
        <v>3765.2999999999993</v>
      </c>
      <c r="Z21" s="38">
        <v>2650</v>
      </c>
      <c r="AA21" s="38">
        <v>134</v>
      </c>
      <c r="AB21" s="34">
        <v>0</v>
      </c>
      <c r="AC21" s="38">
        <v>29573</v>
      </c>
      <c r="AD21" s="34">
        <v>22345</v>
      </c>
      <c r="AE21" s="34">
        <v>0</v>
      </c>
      <c r="AF21" s="34">
        <v>19557</v>
      </c>
      <c r="AG21" s="38">
        <v>220</v>
      </c>
      <c r="AH21" s="39">
        <v>45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89259</v>
      </c>
      <c r="G22" s="43">
        <f t="shared" si="1"/>
        <v>10728.245192307691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97754</v>
      </c>
      <c r="U22" s="43">
        <f t="shared" si="1"/>
        <v>11366.744186046511</v>
      </c>
      <c r="V22" s="44" t="e">
        <f t="shared" si="1"/>
        <v>#REF!</v>
      </c>
      <c r="W22" s="44">
        <f t="shared" si="1"/>
        <v>120243</v>
      </c>
      <c r="X22" s="44" t="e">
        <f t="shared" si="1"/>
        <v>#REF!</v>
      </c>
      <c r="Y22" s="43">
        <f t="shared" si="1"/>
        <v>45926.64</v>
      </c>
      <c r="Z22" s="42">
        <f t="shared" si="1"/>
        <v>9598</v>
      </c>
      <c r="AA22" s="42">
        <f t="shared" si="1"/>
        <v>444</v>
      </c>
      <c r="AB22" s="44">
        <f t="shared" si="1"/>
        <v>1143</v>
      </c>
      <c r="AC22" s="42">
        <f t="shared" si="1"/>
        <v>72554</v>
      </c>
      <c r="AD22" s="44">
        <f>SUM(AD20:AD21)</f>
        <v>29905</v>
      </c>
      <c r="AE22" s="44">
        <f t="shared" si="1"/>
        <v>0</v>
      </c>
      <c r="AF22" s="44">
        <f t="shared" si="1"/>
        <v>49590</v>
      </c>
      <c r="AG22" s="42">
        <f t="shared" si="1"/>
        <v>1885</v>
      </c>
      <c r="AH22" s="46">
        <f t="shared" si="1"/>
        <v>295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89259</v>
      </c>
      <c r="G24" s="52">
        <f t="shared" si="2"/>
        <v>10728.245192307691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97754</v>
      </c>
      <c r="U24" s="52">
        <f t="shared" si="2"/>
        <v>11366.744186046511</v>
      </c>
      <c r="V24" s="51" t="e">
        <f t="shared" si="2"/>
        <v>#REF!</v>
      </c>
      <c r="W24" s="51">
        <f t="shared" si="2"/>
        <v>120243</v>
      </c>
      <c r="X24" s="51" t="e">
        <f t="shared" si="2"/>
        <v>#REF!</v>
      </c>
      <c r="Y24" s="52">
        <f t="shared" si="2"/>
        <v>45926.64</v>
      </c>
      <c r="Z24" s="51">
        <f t="shared" si="2"/>
        <v>9598</v>
      </c>
      <c r="AA24" s="51">
        <f t="shared" si="2"/>
        <v>444</v>
      </c>
      <c r="AB24" s="51">
        <f t="shared" si="2"/>
        <v>1143</v>
      </c>
      <c r="AC24" s="51">
        <f t="shared" si="2"/>
        <v>72554</v>
      </c>
      <c r="AD24" s="51">
        <f t="shared" si="2"/>
        <v>29905</v>
      </c>
      <c r="AE24" s="51">
        <f t="shared" si="2"/>
        <v>0</v>
      </c>
      <c r="AF24" s="51">
        <f t="shared" si="2"/>
        <v>49590</v>
      </c>
      <c r="AG24" s="51">
        <f t="shared" si="2"/>
        <v>1885</v>
      </c>
      <c r="AH24" s="53">
        <f t="shared" si="2"/>
        <v>295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6254</v>
      </c>
      <c r="G25" s="32">
        <f>F25/208*25</f>
        <v>751.68269230769238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10275</v>
      </c>
      <c r="U25" s="32">
        <f>T25/215*25</f>
        <v>1194.7674418604652</v>
      </c>
      <c r="V25" s="47" t="s">
        <v>40</v>
      </c>
      <c r="W25" s="31">
        <v>5845</v>
      </c>
      <c r="X25" s="47"/>
      <c r="Y25" s="55">
        <f>Z25*2.43</f>
        <v>2823.6600000000003</v>
      </c>
      <c r="Z25" s="31">
        <v>1162</v>
      </c>
      <c r="AA25" s="38">
        <v>79</v>
      </c>
      <c r="AB25" s="47">
        <v>0</v>
      </c>
      <c r="AC25" s="38">
        <f>135+7799</f>
        <v>7934</v>
      </c>
      <c r="AD25" s="47">
        <v>1083</v>
      </c>
      <c r="AE25" s="47">
        <v>0</v>
      </c>
      <c r="AF25" s="47">
        <f>2398+1183</f>
        <v>3581</v>
      </c>
      <c r="AG25" s="38">
        <v>80</v>
      </c>
      <c r="AH25" s="56">
        <v>10</v>
      </c>
    </row>
    <row r="26" spans="1:36" s="4" customFormat="1" ht="100.5" customHeight="1" thickBot="1" x14ac:dyDescent="0.25">
      <c r="A26" s="57">
        <v>45312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83005</v>
      </c>
      <c r="G26" s="59">
        <f t="shared" si="3"/>
        <v>9976.5625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87479</v>
      </c>
      <c r="U26" s="59">
        <f t="shared" si="3"/>
        <v>10171.976744186046</v>
      </c>
      <c r="V26" s="60" t="e">
        <f t="shared" si="3"/>
        <v>#REF!</v>
      </c>
      <c r="W26" s="60">
        <f t="shared" si="3"/>
        <v>114398</v>
      </c>
      <c r="X26" s="60" t="e">
        <f t="shared" si="3"/>
        <v>#REF!</v>
      </c>
      <c r="Y26" s="61">
        <f>Y24-Y25</f>
        <v>43102.979999999996</v>
      </c>
      <c r="Z26" s="58">
        <f>Z24-Z25</f>
        <v>8436</v>
      </c>
      <c r="AA26" s="58">
        <f t="shared" si="3"/>
        <v>365</v>
      </c>
      <c r="AB26" s="60">
        <f>AB24-AB25</f>
        <v>1143</v>
      </c>
      <c r="AC26" s="58">
        <f>AC24-AC25</f>
        <v>64620</v>
      </c>
      <c r="AD26" s="60">
        <f>AD24-AD25</f>
        <v>28822</v>
      </c>
      <c r="AE26" s="60">
        <f>AE24-AE25</f>
        <v>0</v>
      </c>
      <c r="AF26" s="60">
        <f>AF24-AF25</f>
        <v>46009</v>
      </c>
      <c r="AG26" s="58">
        <f t="shared" ref="AG26" si="7">AG24-AG25</f>
        <v>1805</v>
      </c>
      <c r="AH26" s="62">
        <f>AH24-AH25</f>
        <v>285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45313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f>52832-6</f>
        <v>52826</v>
      </c>
      <c r="G20" s="32">
        <f>F20/208*25</f>
        <v>6349.2788461538457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f>73550+6</f>
        <v>73556</v>
      </c>
      <c r="U20" s="34">
        <f>T20/215*25</f>
        <v>8553.0232558139523</v>
      </c>
      <c r="V20" s="33" t="e">
        <f>#REF!</f>
        <v>#REF!</v>
      </c>
      <c r="W20" s="33">
        <v>99250</v>
      </c>
      <c r="X20" s="33" t="e">
        <f>#REF!</f>
        <v>#REF!</v>
      </c>
      <c r="Y20" s="35">
        <v>38824.839999999997</v>
      </c>
      <c r="Z20" s="31">
        <v>6398</v>
      </c>
      <c r="AA20" s="31">
        <v>310</v>
      </c>
      <c r="AB20" s="33">
        <v>1143</v>
      </c>
      <c r="AC20" s="31">
        <v>39231</v>
      </c>
      <c r="AD20" s="33">
        <v>7560</v>
      </c>
      <c r="AE20" s="33">
        <v>0</v>
      </c>
      <c r="AF20" s="33">
        <v>29133</v>
      </c>
      <c r="AG20" s="31">
        <v>1665</v>
      </c>
      <c r="AH20" s="36">
        <v>250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30173</v>
      </c>
      <c r="G21" s="32">
        <f>F21/208*25</f>
        <v>3626.5625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13929</v>
      </c>
      <c r="U21" s="32">
        <f>T21/215*25</f>
        <v>1619.6511627906975</v>
      </c>
      <c r="V21" s="34"/>
      <c r="W21" s="34">
        <v>15148</v>
      </c>
      <c r="X21" s="34">
        <v>0</v>
      </c>
      <c r="Y21" s="32">
        <v>4278.1400000000003</v>
      </c>
      <c r="Z21" s="38">
        <v>2038</v>
      </c>
      <c r="AA21" s="38">
        <v>55</v>
      </c>
      <c r="AB21" s="34">
        <v>0</v>
      </c>
      <c r="AC21" s="38">
        <v>25389</v>
      </c>
      <c r="AD21" s="34">
        <v>21262</v>
      </c>
      <c r="AE21" s="34">
        <v>0</v>
      </c>
      <c r="AF21" s="34">
        <v>16876</v>
      </c>
      <c r="AG21" s="38">
        <v>140</v>
      </c>
      <c r="AH21" s="39">
        <v>35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82999</v>
      </c>
      <c r="G22" s="43">
        <f t="shared" si="1"/>
        <v>9975.8413461538457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87485</v>
      </c>
      <c r="U22" s="43">
        <f t="shared" si="1"/>
        <v>10172.674418604649</v>
      </c>
      <c r="V22" s="44" t="e">
        <f t="shared" si="1"/>
        <v>#REF!</v>
      </c>
      <c r="W22" s="44">
        <f t="shared" si="1"/>
        <v>114398</v>
      </c>
      <c r="X22" s="44" t="e">
        <f t="shared" si="1"/>
        <v>#REF!</v>
      </c>
      <c r="Y22" s="43">
        <f t="shared" si="1"/>
        <v>43102.979999999996</v>
      </c>
      <c r="Z22" s="42">
        <f t="shared" si="1"/>
        <v>8436</v>
      </c>
      <c r="AA22" s="42">
        <f t="shared" si="1"/>
        <v>365</v>
      </c>
      <c r="AB22" s="44">
        <f t="shared" si="1"/>
        <v>1143</v>
      </c>
      <c r="AC22" s="42">
        <f t="shared" si="1"/>
        <v>64620</v>
      </c>
      <c r="AD22" s="44">
        <f>SUM(AD20:AD21)</f>
        <v>28822</v>
      </c>
      <c r="AE22" s="44">
        <f t="shared" si="1"/>
        <v>0</v>
      </c>
      <c r="AF22" s="44">
        <f t="shared" si="1"/>
        <v>46009</v>
      </c>
      <c r="AG22" s="42">
        <f t="shared" si="1"/>
        <v>1805</v>
      </c>
      <c r="AH22" s="46">
        <f t="shared" si="1"/>
        <v>285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50*208</f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50*215</f>
        <v>10750</v>
      </c>
      <c r="U23" s="32">
        <f>T23/215*25</f>
        <v>1250</v>
      </c>
      <c r="V23" s="31"/>
      <c r="W23" s="31">
        <f>600*25</f>
        <v>15000</v>
      </c>
      <c r="X23" s="31"/>
      <c r="Y23" s="31"/>
      <c r="Z23" s="31">
        <v>2000</v>
      </c>
      <c r="AA23" s="31">
        <v>0</v>
      </c>
      <c r="AB23" s="31"/>
      <c r="AC23" s="31">
        <v>7500</v>
      </c>
      <c r="AD23" s="31">
        <v>7560</v>
      </c>
      <c r="AE23" s="31"/>
      <c r="AF23" s="48">
        <v>1900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93399</v>
      </c>
      <c r="G24" s="52">
        <f t="shared" si="2"/>
        <v>11225.841346153846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98235</v>
      </c>
      <c r="U24" s="52">
        <f t="shared" si="2"/>
        <v>11422.674418604649</v>
      </c>
      <c r="V24" s="51" t="e">
        <f t="shared" si="2"/>
        <v>#REF!</v>
      </c>
      <c r="W24" s="51">
        <f t="shared" si="2"/>
        <v>129398</v>
      </c>
      <c r="X24" s="51" t="e">
        <f t="shared" si="2"/>
        <v>#REF!</v>
      </c>
      <c r="Y24" s="52">
        <f t="shared" si="2"/>
        <v>43102.979999999996</v>
      </c>
      <c r="Z24" s="51">
        <f t="shared" si="2"/>
        <v>10436</v>
      </c>
      <c r="AA24" s="51">
        <f t="shared" si="2"/>
        <v>365</v>
      </c>
      <c r="AB24" s="51">
        <f t="shared" si="2"/>
        <v>1143</v>
      </c>
      <c r="AC24" s="51">
        <f t="shared" si="2"/>
        <v>72120</v>
      </c>
      <c r="AD24" s="51">
        <f t="shared" si="2"/>
        <v>36382</v>
      </c>
      <c r="AE24" s="51">
        <f t="shared" si="2"/>
        <v>0</v>
      </c>
      <c r="AF24" s="51">
        <f t="shared" si="2"/>
        <v>47909</v>
      </c>
      <c r="AG24" s="51">
        <f t="shared" si="2"/>
        <v>1805</v>
      </c>
      <c r="AH24" s="53">
        <f t="shared" si="2"/>
        <v>285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7972</v>
      </c>
      <c r="G25" s="32">
        <f>F25/208*25</f>
        <v>958.17307692307702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13261</v>
      </c>
      <c r="U25" s="32">
        <f>T25/215*25</f>
        <v>1541.9767441860465</v>
      </c>
      <c r="V25" s="47" t="s">
        <v>40</v>
      </c>
      <c r="W25" s="31">
        <v>6629</v>
      </c>
      <c r="X25" s="47"/>
      <c r="Y25" s="55">
        <f>Z25*2.43</f>
        <v>3124.98</v>
      </c>
      <c r="Z25" s="31">
        <v>1286</v>
      </c>
      <c r="AA25" s="38">
        <v>42</v>
      </c>
      <c r="AB25" s="47">
        <v>0</v>
      </c>
      <c r="AC25" s="38">
        <f>267+9484</f>
        <v>9751</v>
      </c>
      <c r="AD25" s="47">
        <v>948</v>
      </c>
      <c r="AE25" s="47">
        <v>0</v>
      </c>
      <c r="AF25" s="47">
        <f>3417+968+4</f>
        <v>4389</v>
      </c>
      <c r="AG25" s="38">
        <v>0</v>
      </c>
      <c r="AH25" s="56">
        <v>18</v>
      </c>
    </row>
    <row r="26" spans="1:36" s="4" customFormat="1" ht="100.5" customHeight="1" thickBot="1" x14ac:dyDescent="0.25">
      <c r="A26" s="57">
        <v>45319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85427</v>
      </c>
      <c r="G26" s="59">
        <f t="shared" si="3"/>
        <v>10267.66826923077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84974</v>
      </c>
      <c r="U26" s="59">
        <f t="shared" si="3"/>
        <v>9880.6976744186031</v>
      </c>
      <c r="V26" s="60" t="e">
        <f t="shared" si="3"/>
        <v>#REF!</v>
      </c>
      <c r="W26" s="60">
        <f t="shared" si="3"/>
        <v>122769</v>
      </c>
      <c r="X26" s="60" t="e">
        <f t="shared" si="3"/>
        <v>#REF!</v>
      </c>
      <c r="Y26" s="61">
        <f>Y24-Y25</f>
        <v>39977.999999999993</v>
      </c>
      <c r="Z26" s="58">
        <f>Z24-Z25</f>
        <v>9150</v>
      </c>
      <c r="AA26" s="58">
        <f t="shared" si="3"/>
        <v>323</v>
      </c>
      <c r="AB26" s="60">
        <f>AB24-AB25</f>
        <v>1143</v>
      </c>
      <c r="AC26" s="58">
        <f>AC24-AC25</f>
        <v>62369</v>
      </c>
      <c r="AD26" s="60">
        <f>AD24-AD25</f>
        <v>35434</v>
      </c>
      <c r="AE26" s="60">
        <f>AE24-AE25</f>
        <v>0</v>
      </c>
      <c r="AF26" s="60">
        <f>AF24-AF25</f>
        <v>43520</v>
      </c>
      <c r="AG26" s="58">
        <f t="shared" ref="AG26" si="7">AG24-AG25</f>
        <v>1805</v>
      </c>
      <c r="AH26" s="62">
        <f>AH24-AH25</f>
        <v>267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Y22" sqref="Y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45320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56986</v>
      </c>
      <c r="G20" s="32">
        <f>F20/208*25</f>
        <v>6849.2788461538466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71406</v>
      </c>
      <c r="U20" s="34">
        <f>T20/215*25</f>
        <v>8303.0232558139523</v>
      </c>
      <c r="V20" s="33" t="e">
        <f>#REF!</f>
        <v>#REF!</v>
      </c>
      <c r="W20" s="33">
        <v>110250</v>
      </c>
      <c r="X20" s="33" t="e">
        <f>#REF!</f>
        <v>#REF!</v>
      </c>
      <c r="Y20" s="35">
        <v>36151.839999999997</v>
      </c>
      <c r="Z20" s="31">
        <v>7298</v>
      </c>
      <c r="AA20" s="31">
        <v>290</v>
      </c>
      <c r="AB20" s="33">
        <v>1143</v>
      </c>
      <c r="AC20" s="31">
        <v>39041</v>
      </c>
      <c r="AD20" s="33">
        <v>10800</v>
      </c>
      <c r="AE20" s="33">
        <v>0</v>
      </c>
      <c r="AF20" s="33">
        <v>28333</v>
      </c>
      <c r="AG20" s="31">
        <v>1515</v>
      </c>
      <c r="AH20" s="36">
        <v>230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28441</v>
      </c>
      <c r="G21" s="32">
        <f>F21/208*25</f>
        <v>3418.3894230769233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13568</v>
      </c>
      <c r="U21" s="32">
        <f>T21/215*25</f>
        <v>1577.6744186046512</v>
      </c>
      <c r="V21" s="34"/>
      <c r="W21" s="34">
        <v>12519</v>
      </c>
      <c r="X21" s="34">
        <v>0</v>
      </c>
      <c r="Y21" s="32">
        <v>3826.1600000000003</v>
      </c>
      <c r="Z21" s="38">
        <v>1852</v>
      </c>
      <c r="AA21" s="38">
        <v>33</v>
      </c>
      <c r="AB21" s="34">
        <v>0</v>
      </c>
      <c r="AC21" s="38">
        <v>23328</v>
      </c>
      <c r="AD21" s="34">
        <v>24634</v>
      </c>
      <c r="AE21" s="34">
        <v>0</v>
      </c>
      <c r="AF21" s="34">
        <v>15187</v>
      </c>
      <c r="AG21" s="38">
        <v>290</v>
      </c>
      <c r="AH21" s="39">
        <v>37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85427</v>
      </c>
      <c r="G22" s="43">
        <f t="shared" si="1"/>
        <v>10267.66826923077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84974</v>
      </c>
      <c r="U22" s="43">
        <f t="shared" si="1"/>
        <v>9880.6976744186031</v>
      </c>
      <c r="V22" s="44" t="e">
        <f t="shared" si="1"/>
        <v>#REF!</v>
      </c>
      <c r="W22" s="44">
        <f t="shared" si="1"/>
        <v>122769</v>
      </c>
      <c r="X22" s="44" t="e">
        <f t="shared" si="1"/>
        <v>#REF!</v>
      </c>
      <c r="Y22" s="43">
        <f t="shared" si="1"/>
        <v>39978</v>
      </c>
      <c r="Z22" s="42">
        <f t="shared" si="1"/>
        <v>9150</v>
      </c>
      <c r="AA22" s="42">
        <f t="shared" si="1"/>
        <v>323</v>
      </c>
      <c r="AB22" s="44">
        <f t="shared" si="1"/>
        <v>1143</v>
      </c>
      <c r="AC22" s="42">
        <f t="shared" si="1"/>
        <v>62369</v>
      </c>
      <c r="AD22" s="44">
        <f>SUM(AD20:AD21)</f>
        <v>35434</v>
      </c>
      <c r="AE22" s="44">
        <f t="shared" si="1"/>
        <v>0</v>
      </c>
      <c r="AF22" s="44">
        <f t="shared" si="1"/>
        <v>43520</v>
      </c>
      <c r="AG22" s="42">
        <f t="shared" si="1"/>
        <v>1805</v>
      </c>
      <c r="AH22" s="46">
        <f t="shared" si="1"/>
        <v>267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85427</v>
      </c>
      <c r="G24" s="52">
        <f t="shared" si="2"/>
        <v>10267.66826923077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84974</v>
      </c>
      <c r="U24" s="52">
        <f t="shared" si="2"/>
        <v>9880.6976744186031</v>
      </c>
      <c r="V24" s="51" t="e">
        <f t="shared" si="2"/>
        <v>#REF!</v>
      </c>
      <c r="W24" s="51">
        <f t="shared" si="2"/>
        <v>122769</v>
      </c>
      <c r="X24" s="51" t="e">
        <f t="shared" si="2"/>
        <v>#REF!</v>
      </c>
      <c r="Y24" s="52">
        <f t="shared" si="2"/>
        <v>39978</v>
      </c>
      <c r="Z24" s="51">
        <f t="shared" si="2"/>
        <v>9150</v>
      </c>
      <c r="AA24" s="51">
        <f t="shared" si="2"/>
        <v>323</v>
      </c>
      <c r="AB24" s="51">
        <f t="shared" si="2"/>
        <v>1143</v>
      </c>
      <c r="AC24" s="51">
        <f t="shared" si="2"/>
        <v>62369</v>
      </c>
      <c r="AD24" s="51">
        <f t="shared" si="2"/>
        <v>35434</v>
      </c>
      <c r="AE24" s="51">
        <f t="shared" si="2"/>
        <v>0</v>
      </c>
      <c r="AF24" s="51">
        <f t="shared" si="2"/>
        <v>43520</v>
      </c>
      <c r="AG24" s="51">
        <f t="shared" si="2"/>
        <v>1805</v>
      </c>
      <c r="AH24" s="53">
        <f t="shared" si="2"/>
        <v>267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10104</v>
      </c>
      <c r="G25" s="32">
        <f>F25/208*25</f>
        <v>1214.4230769230769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8538</v>
      </c>
      <c r="U25" s="32">
        <f>T25/215*25</f>
        <v>992.79069767441865</v>
      </c>
      <c r="V25" s="47" t="s">
        <v>40</v>
      </c>
      <c r="W25" s="31">
        <v>5941</v>
      </c>
      <c r="X25" s="47"/>
      <c r="Y25" s="55">
        <f>Z25*2.43</f>
        <v>3022.92</v>
      </c>
      <c r="Z25" s="31">
        <v>1244</v>
      </c>
      <c r="AA25" s="38">
        <v>17</v>
      </c>
      <c r="AB25" s="47">
        <v>0</v>
      </c>
      <c r="AC25" s="38">
        <f>129+8498</f>
        <v>8627</v>
      </c>
      <c r="AD25" s="47">
        <v>878</v>
      </c>
      <c r="AE25" s="47">
        <v>0</v>
      </c>
      <c r="AF25" s="47">
        <f>3179+920</f>
        <v>4099</v>
      </c>
      <c r="AG25" s="38">
        <v>0</v>
      </c>
      <c r="AH25" s="56">
        <v>18</v>
      </c>
    </row>
    <row r="26" spans="1:36" s="4" customFormat="1" ht="100.5" customHeight="1" thickBot="1" x14ac:dyDescent="0.25">
      <c r="A26" s="57">
        <v>45326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75323</v>
      </c>
      <c r="G26" s="59">
        <f t="shared" si="3"/>
        <v>9053.2451923076933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76436</v>
      </c>
      <c r="U26" s="59">
        <f t="shared" si="3"/>
        <v>8887.9069767441852</v>
      </c>
      <c r="V26" s="60" t="e">
        <f t="shared" si="3"/>
        <v>#REF!</v>
      </c>
      <c r="W26" s="60">
        <f t="shared" si="3"/>
        <v>116828</v>
      </c>
      <c r="X26" s="60" t="e">
        <f t="shared" si="3"/>
        <v>#REF!</v>
      </c>
      <c r="Y26" s="61">
        <f>Y24-Y25</f>
        <v>36955.08</v>
      </c>
      <c r="Z26" s="58">
        <f>Z24-Z25</f>
        <v>7906</v>
      </c>
      <c r="AA26" s="58">
        <f t="shared" si="3"/>
        <v>306</v>
      </c>
      <c r="AB26" s="60">
        <f>AB24-AB25</f>
        <v>1143</v>
      </c>
      <c r="AC26" s="58">
        <f>AC24-AC25</f>
        <v>53742</v>
      </c>
      <c r="AD26" s="60">
        <f>AD24-AD25</f>
        <v>34556</v>
      </c>
      <c r="AE26" s="60">
        <f>AE24-AE25</f>
        <v>0</v>
      </c>
      <c r="AF26" s="60">
        <f>AF24-AF25</f>
        <v>39421</v>
      </c>
      <c r="AG26" s="58">
        <f t="shared" ref="AG26" si="7">AG24-AG25</f>
        <v>1805</v>
      </c>
      <c r="AH26" s="62">
        <f>AH24-AH25</f>
        <v>249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U32" sqref="U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45327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49706</v>
      </c>
      <c r="G20" s="32">
        <f>F20/208*25</f>
        <v>5974.2788461538457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59581</v>
      </c>
      <c r="U20" s="34">
        <f>T20/215*25</f>
        <v>6928.0232558139533</v>
      </c>
      <c r="V20" s="33" t="e">
        <f>#REF!</f>
        <v>#REF!</v>
      </c>
      <c r="W20" s="33">
        <v>105875</v>
      </c>
      <c r="X20" s="33" t="e">
        <f>#REF!</f>
        <v>#REF!</v>
      </c>
      <c r="Y20" s="35">
        <v>33721.839999999997</v>
      </c>
      <c r="Z20" s="31">
        <v>6298</v>
      </c>
      <c r="AA20" s="31">
        <v>290</v>
      </c>
      <c r="AB20" s="33">
        <v>1143</v>
      </c>
      <c r="AC20" s="31">
        <v>27041</v>
      </c>
      <c r="AD20" s="33">
        <v>10800</v>
      </c>
      <c r="AE20" s="33">
        <v>0</v>
      </c>
      <c r="AF20" s="33">
        <v>25633</v>
      </c>
      <c r="AG20" s="31">
        <v>1515</v>
      </c>
      <c r="AH20" s="36">
        <v>230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25617</v>
      </c>
      <c r="G21" s="32">
        <f>F21/208*25</f>
        <v>3078.9663461538462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16855</v>
      </c>
      <c r="U21" s="32">
        <f>T21/215*25</f>
        <v>1959.8837209302324</v>
      </c>
      <c r="V21" s="34"/>
      <c r="W21" s="34">
        <v>10953</v>
      </c>
      <c r="X21" s="34">
        <v>0</v>
      </c>
      <c r="Y21" s="32">
        <v>3233.24</v>
      </c>
      <c r="Z21" s="38">
        <v>1608</v>
      </c>
      <c r="AA21" s="38">
        <v>16</v>
      </c>
      <c r="AB21" s="34">
        <v>0</v>
      </c>
      <c r="AC21" s="38">
        <v>26701</v>
      </c>
      <c r="AD21" s="34">
        <v>23756</v>
      </c>
      <c r="AE21" s="34">
        <v>0</v>
      </c>
      <c r="AF21" s="34">
        <v>13788</v>
      </c>
      <c r="AG21" s="38">
        <v>290</v>
      </c>
      <c r="AH21" s="39">
        <v>19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75323</v>
      </c>
      <c r="G22" s="43">
        <f t="shared" si="1"/>
        <v>9053.2451923076915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76436</v>
      </c>
      <c r="U22" s="43">
        <f t="shared" si="1"/>
        <v>8887.9069767441852</v>
      </c>
      <c r="V22" s="44" t="e">
        <f t="shared" si="1"/>
        <v>#REF!</v>
      </c>
      <c r="W22" s="44">
        <f t="shared" si="1"/>
        <v>116828</v>
      </c>
      <c r="X22" s="44" t="e">
        <f t="shared" si="1"/>
        <v>#REF!</v>
      </c>
      <c r="Y22" s="43">
        <f t="shared" si="1"/>
        <v>36955.079999999994</v>
      </c>
      <c r="Z22" s="42">
        <f t="shared" si="1"/>
        <v>7906</v>
      </c>
      <c r="AA22" s="42">
        <f t="shared" si="1"/>
        <v>306</v>
      </c>
      <c r="AB22" s="44">
        <f t="shared" si="1"/>
        <v>1143</v>
      </c>
      <c r="AC22" s="42">
        <f t="shared" si="1"/>
        <v>53742</v>
      </c>
      <c r="AD22" s="44">
        <f>SUM(AD20:AD21)</f>
        <v>34556</v>
      </c>
      <c r="AE22" s="44">
        <f t="shared" si="1"/>
        <v>0</v>
      </c>
      <c r="AF22" s="44">
        <f t="shared" si="1"/>
        <v>39421</v>
      </c>
      <c r="AG22" s="42">
        <f t="shared" si="1"/>
        <v>1805</v>
      </c>
      <c r="AH22" s="46">
        <f t="shared" si="1"/>
        <v>249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75323</v>
      </c>
      <c r="G24" s="52">
        <f t="shared" si="2"/>
        <v>9053.2451923076915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76436</v>
      </c>
      <c r="U24" s="52">
        <f t="shared" si="2"/>
        <v>8887.9069767441852</v>
      </c>
      <c r="V24" s="51" t="e">
        <f t="shared" si="2"/>
        <v>#REF!</v>
      </c>
      <c r="W24" s="51">
        <f t="shared" si="2"/>
        <v>116828</v>
      </c>
      <c r="X24" s="51" t="e">
        <f t="shared" si="2"/>
        <v>#REF!</v>
      </c>
      <c r="Y24" s="52">
        <f t="shared" si="2"/>
        <v>36955.079999999994</v>
      </c>
      <c r="Z24" s="51">
        <f t="shared" si="2"/>
        <v>7906</v>
      </c>
      <c r="AA24" s="51">
        <f t="shared" si="2"/>
        <v>306</v>
      </c>
      <c r="AB24" s="51">
        <f t="shared" si="2"/>
        <v>1143</v>
      </c>
      <c r="AC24" s="51">
        <f t="shared" si="2"/>
        <v>53742</v>
      </c>
      <c r="AD24" s="51">
        <f t="shared" si="2"/>
        <v>34556</v>
      </c>
      <c r="AE24" s="51">
        <f t="shared" si="2"/>
        <v>0</v>
      </c>
      <c r="AF24" s="51">
        <f t="shared" si="2"/>
        <v>39421</v>
      </c>
      <c r="AG24" s="51">
        <f t="shared" si="2"/>
        <v>1805</v>
      </c>
      <c r="AH24" s="53">
        <f t="shared" si="2"/>
        <v>249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11631</v>
      </c>
      <c r="G25" s="32">
        <f>F25/208*25</f>
        <v>1397.9567307692309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7661</v>
      </c>
      <c r="U25" s="32">
        <f>T25/215*25</f>
        <v>890.81395348837214</v>
      </c>
      <c r="V25" s="47" t="s">
        <v>40</v>
      </c>
      <c r="W25" s="31">
        <v>6142</v>
      </c>
      <c r="X25" s="47"/>
      <c r="Y25" s="55">
        <f>Z25*2.43</f>
        <v>2967.03</v>
      </c>
      <c r="Z25" s="31">
        <v>1221</v>
      </c>
      <c r="AA25" s="38">
        <v>8</v>
      </c>
      <c r="AB25" s="47">
        <v>0</v>
      </c>
      <c r="AC25" s="38">
        <f>46+8928+49+48</f>
        <v>9071</v>
      </c>
      <c r="AD25" s="47">
        <v>757</v>
      </c>
      <c r="AE25" s="47">
        <v>0</v>
      </c>
      <c r="AF25" s="47">
        <f>1892+2293</f>
        <v>4185</v>
      </c>
      <c r="AG25" s="38">
        <v>0</v>
      </c>
      <c r="AH25" s="56">
        <v>16</v>
      </c>
    </row>
    <row r="26" spans="1:36" s="4" customFormat="1" ht="100.5" customHeight="1" thickBot="1" x14ac:dyDescent="0.25">
      <c r="A26" s="57">
        <v>45333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63692</v>
      </c>
      <c r="G26" s="59">
        <f t="shared" si="3"/>
        <v>7655.288461538461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68775</v>
      </c>
      <c r="U26" s="59">
        <f t="shared" si="3"/>
        <v>7997.093023255813</v>
      </c>
      <c r="V26" s="60" t="e">
        <f t="shared" si="3"/>
        <v>#REF!</v>
      </c>
      <c r="W26" s="60">
        <f t="shared" si="3"/>
        <v>110686</v>
      </c>
      <c r="X26" s="60" t="e">
        <f t="shared" si="3"/>
        <v>#REF!</v>
      </c>
      <c r="Y26" s="61">
        <f>Y24-Y25</f>
        <v>33988.049999999996</v>
      </c>
      <c r="Z26" s="58">
        <f>Z24-Z25</f>
        <v>6685</v>
      </c>
      <c r="AA26" s="58">
        <f t="shared" si="3"/>
        <v>298</v>
      </c>
      <c r="AB26" s="60">
        <f>AB24-AB25</f>
        <v>1143</v>
      </c>
      <c r="AC26" s="58">
        <f>AC24-AC25</f>
        <v>44671</v>
      </c>
      <c r="AD26" s="60">
        <f>AD24-AD25</f>
        <v>33799</v>
      </c>
      <c r="AE26" s="60">
        <f>AE24-AE25</f>
        <v>0</v>
      </c>
      <c r="AF26" s="60">
        <f>AF24-AF25</f>
        <v>35236</v>
      </c>
      <c r="AG26" s="58">
        <f t="shared" ref="AG26" si="7">AG24-AG25</f>
        <v>1805</v>
      </c>
      <c r="AH26" s="62">
        <f>AH24-AH25</f>
        <v>233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D10" zoomScale="78" zoomScaleNormal="78" workbookViewId="0">
      <selection activeCell="AH22" sqref="AH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45334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41386</v>
      </c>
      <c r="G20" s="32">
        <f>F20/208*25</f>
        <v>4974.2788461538457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54206</v>
      </c>
      <c r="U20" s="34">
        <f>T20/215*25</f>
        <v>6303.0232558139542</v>
      </c>
      <c r="V20" s="33" t="e">
        <f>#REF!</f>
        <v>#REF!</v>
      </c>
      <c r="W20" s="33">
        <v>100250</v>
      </c>
      <c r="X20" s="33" t="e">
        <f>#REF!</f>
        <v>#REF!</v>
      </c>
      <c r="Y20" s="35">
        <v>30319.839999999997</v>
      </c>
      <c r="Z20" s="31">
        <v>4898</v>
      </c>
      <c r="AA20" s="31">
        <v>190</v>
      </c>
      <c r="AB20" s="33">
        <v>1143</v>
      </c>
      <c r="AC20" s="31">
        <v>19541</v>
      </c>
      <c r="AD20" s="33">
        <v>10800</v>
      </c>
      <c r="AE20" s="33">
        <v>0</v>
      </c>
      <c r="AF20" s="33">
        <v>22833</v>
      </c>
      <c r="AG20" s="31">
        <v>1515</v>
      </c>
      <c r="AH20" s="36">
        <v>210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22306</v>
      </c>
      <c r="G21" s="32">
        <f>F21/208*25</f>
        <v>2681.0096153846152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14569</v>
      </c>
      <c r="U21" s="32">
        <f>T21/215*25</f>
        <v>1694.0697674418604</v>
      </c>
      <c r="V21" s="34"/>
      <c r="W21" s="34">
        <v>10436</v>
      </c>
      <c r="X21" s="34">
        <v>0</v>
      </c>
      <c r="Y21" s="32">
        <v>3668.2099999999996</v>
      </c>
      <c r="Z21" s="38">
        <v>1787</v>
      </c>
      <c r="AA21" s="38">
        <v>108</v>
      </c>
      <c r="AB21" s="34">
        <v>0</v>
      </c>
      <c r="AC21" s="38">
        <v>25130</v>
      </c>
      <c r="AD21" s="34">
        <v>22999</v>
      </c>
      <c r="AE21" s="34">
        <v>0</v>
      </c>
      <c r="AF21" s="34">
        <v>12403</v>
      </c>
      <c r="AG21" s="38">
        <v>290</v>
      </c>
      <c r="AH21" s="39">
        <v>23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63692</v>
      </c>
      <c r="G22" s="43">
        <f t="shared" si="1"/>
        <v>7655.288461538461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68775</v>
      </c>
      <c r="U22" s="43">
        <f t="shared" si="1"/>
        <v>7997.0930232558148</v>
      </c>
      <c r="V22" s="44" t="e">
        <f t="shared" si="1"/>
        <v>#REF!</v>
      </c>
      <c r="W22" s="44">
        <f t="shared" si="1"/>
        <v>110686</v>
      </c>
      <c r="X22" s="44" t="e">
        <f t="shared" si="1"/>
        <v>#REF!</v>
      </c>
      <c r="Y22" s="43">
        <f t="shared" si="1"/>
        <v>33988.049999999996</v>
      </c>
      <c r="Z22" s="42">
        <f t="shared" si="1"/>
        <v>6685</v>
      </c>
      <c r="AA22" s="42">
        <f t="shared" si="1"/>
        <v>298</v>
      </c>
      <c r="AB22" s="44">
        <f t="shared" si="1"/>
        <v>1143</v>
      </c>
      <c r="AC22" s="42">
        <f t="shared" si="1"/>
        <v>44671</v>
      </c>
      <c r="AD22" s="44">
        <f>SUM(AD20:AD21)</f>
        <v>33799</v>
      </c>
      <c r="AE22" s="44">
        <f t="shared" si="1"/>
        <v>0</v>
      </c>
      <c r="AF22" s="44">
        <f t="shared" si="1"/>
        <v>35236</v>
      </c>
      <c r="AG22" s="42">
        <f t="shared" si="1"/>
        <v>1805</v>
      </c>
      <c r="AH22" s="46">
        <f t="shared" si="1"/>
        <v>233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50*208</f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50*215</f>
        <v>10750</v>
      </c>
      <c r="U23" s="32">
        <f>T23/215*25</f>
        <v>1250</v>
      </c>
      <c r="V23" s="31"/>
      <c r="W23" s="31">
        <f>600*25</f>
        <v>15000</v>
      </c>
      <c r="X23" s="31"/>
      <c r="Y23" s="31"/>
      <c r="Z23" s="31">
        <v>2000</v>
      </c>
      <c r="AA23" s="31">
        <v>200</v>
      </c>
      <c r="AB23" s="31"/>
      <c r="AC23" s="31">
        <v>15500</v>
      </c>
      <c r="AD23" s="31">
        <v>10800</v>
      </c>
      <c r="AE23" s="31"/>
      <c r="AF23" s="48">
        <v>11400</v>
      </c>
      <c r="AG23" s="31">
        <v>600</v>
      </c>
      <c r="AH23" s="49">
        <v>100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74092</v>
      </c>
      <c r="G24" s="52">
        <f t="shared" si="2"/>
        <v>8905.288461538461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79525</v>
      </c>
      <c r="U24" s="52">
        <f t="shared" si="2"/>
        <v>9247.0930232558148</v>
      </c>
      <c r="V24" s="51" t="e">
        <f t="shared" si="2"/>
        <v>#REF!</v>
      </c>
      <c r="W24" s="51">
        <f t="shared" si="2"/>
        <v>125686</v>
      </c>
      <c r="X24" s="51" t="e">
        <f t="shared" si="2"/>
        <v>#REF!</v>
      </c>
      <c r="Y24" s="52">
        <f t="shared" si="2"/>
        <v>33988.049999999996</v>
      </c>
      <c r="Z24" s="51">
        <f t="shared" si="2"/>
        <v>8685</v>
      </c>
      <c r="AA24" s="51">
        <f t="shared" si="2"/>
        <v>498</v>
      </c>
      <c r="AB24" s="51">
        <f t="shared" si="2"/>
        <v>1143</v>
      </c>
      <c r="AC24" s="51">
        <f t="shared" si="2"/>
        <v>60171</v>
      </c>
      <c r="AD24" s="51">
        <f t="shared" si="2"/>
        <v>44599</v>
      </c>
      <c r="AE24" s="51">
        <f t="shared" si="2"/>
        <v>0</v>
      </c>
      <c r="AF24" s="51">
        <f t="shared" si="2"/>
        <v>46636</v>
      </c>
      <c r="AG24" s="51">
        <f t="shared" si="2"/>
        <v>2405</v>
      </c>
      <c r="AH24" s="53">
        <f t="shared" si="2"/>
        <v>333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12012</v>
      </c>
      <c r="G25" s="32">
        <f>F25/208*25</f>
        <v>1443.75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7898</v>
      </c>
      <c r="U25" s="32">
        <f>T25/215*25</f>
        <v>918.37209302325584</v>
      </c>
      <c r="V25" s="47" t="s">
        <v>40</v>
      </c>
      <c r="W25" s="31">
        <v>6028</v>
      </c>
      <c r="X25" s="47"/>
      <c r="Y25" s="55">
        <f>Z25*2.43</f>
        <v>2933.01</v>
      </c>
      <c r="Z25" s="31">
        <v>1207</v>
      </c>
      <c r="AA25" s="38">
        <v>22</v>
      </c>
      <c r="AB25" s="47">
        <v>0</v>
      </c>
      <c r="AC25" s="38">
        <f>8828+82</f>
        <v>8910</v>
      </c>
      <c r="AD25" s="47">
        <v>911</v>
      </c>
      <c r="AE25" s="47">
        <v>0</v>
      </c>
      <c r="AF25" s="47">
        <f>2105+2023</f>
        <v>4128</v>
      </c>
      <c r="AG25" s="38">
        <v>0</v>
      </c>
      <c r="AH25" s="56">
        <v>12</v>
      </c>
    </row>
    <row r="26" spans="1:36" s="4" customFormat="1" ht="100.5" customHeight="1" thickBot="1" x14ac:dyDescent="0.25">
      <c r="A26" s="57">
        <v>45340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62080</v>
      </c>
      <c r="G26" s="59">
        <f t="shared" si="3"/>
        <v>7461.538461538461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71627</v>
      </c>
      <c r="U26" s="59">
        <f t="shared" si="3"/>
        <v>8328.7209302325591</v>
      </c>
      <c r="V26" s="60" t="e">
        <f t="shared" si="3"/>
        <v>#REF!</v>
      </c>
      <c r="W26" s="60">
        <f t="shared" si="3"/>
        <v>119658</v>
      </c>
      <c r="X26" s="60" t="e">
        <f t="shared" si="3"/>
        <v>#REF!</v>
      </c>
      <c r="Y26" s="61">
        <f>Y24-Y25</f>
        <v>31055.039999999994</v>
      </c>
      <c r="Z26" s="58">
        <f>Z24-Z25</f>
        <v>7478</v>
      </c>
      <c r="AA26" s="58">
        <f t="shared" si="3"/>
        <v>476</v>
      </c>
      <c r="AB26" s="60">
        <f>AB24-AB25</f>
        <v>1143</v>
      </c>
      <c r="AC26" s="58">
        <f>AC24-AC25</f>
        <v>51261</v>
      </c>
      <c r="AD26" s="60">
        <f>AD24-AD25</f>
        <v>43688</v>
      </c>
      <c r="AE26" s="60">
        <f>AE24-AE25</f>
        <v>0</v>
      </c>
      <c r="AF26" s="60">
        <f>AF24-AF25</f>
        <v>42508</v>
      </c>
      <c r="AG26" s="58">
        <f t="shared" ref="AG26" si="7">AG24-AG25</f>
        <v>2405</v>
      </c>
      <c r="AH26" s="62">
        <f>AH24-AH25</f>
        <v>321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F23" sqref="F23:AF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129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45341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40346</v>
      </c>
      <c r="G20" s="32">
        <f>F20/208*25</f>
        <v>4849.2788461538457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61731</v>
      </c>
      <c r="U20" s="34">
        <f>T20/215*25</f>
        <v>7178.0232558139533</v>
      </c>
      <c r="V20" s="33" t="e">
        <f>#REF!</f>
        <v>#REF!</v>
      </c>
      <c r="W20" s="33">
        <v>110750</v>
      </c>
      <c r="X20" s="33" t="e">
        <f>#REF!</f>
        <v>#REF!</v>
      </c>
      <c r="Y20" s="35">
        <v>27160.839999999997</v>
      </c>
      <c r="Z20" s="31">
        <v>5598</v>
      </c>
      <c r="AA20" s="31">
        <v>390</v>
      </c>
      <c r="AB20" s="33">
        <v>1143</v>
      </c>
      <c r="AC20" s="31">
        <v>28791</v>
      </c>
      <c r="AD20" s="33">
        <v>16560</v>
      </c>
      <c r="AE20" s="33">
        <v>0</v>
      </c>
      <c r="AF20" s="33">
        <v>29633</v>
      </c>
      <c r="AG20" s="31">
        <v>2115</v>
      </c>
      <c r="AH20" s="36">
        <v>210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21734</v>
      </c>
      <c r="G21" s="32">
        <f>F21/208*25</f>
        <v>2612.2596153846152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9896</v>
      </c>
      <c r="U21" s="32">
        <f>T21/215*25</f>
        <v>1150.6976744186045</v>
      </c>
      <c r="V21" s="34"/>
      <c r="W21" s="34">
        <v>8908</v>
      </c>
      <c r="X21" s="34">
        <v>0</v>
      </c>
      <c r="Y21" s="32">
        <v>3894.1999999999994</v>
      </c>
      <c r="Z21" s="38">
        <v>1880</v>
      </c>
      <c r="AA21" s="38">
        <v>86</v>
      </c>
      <c r="AB21" s="34">
        <v>0</v>
      </c>
      <c r="AC21" s="38">
        <v>22470</v>
      </c>
      <c r="AD21" s="34">
        <v>27128</v>
      </c>
      <c r="AE21" s="34">
        <v>0</v>
      </c>
      <c r="AF21" s="34">
        <v>12875</v>
      </c>
      <c r="AG21" s="38">
        <v>290</v>
      </c>
      <c r="AH21" s="39">
        <v>111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62080</v>
      </c>
      <c r="G22" s="43">
        <f t="shared" si="1"/>
        <v>7461.538461538461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71627</v>
      </c>
      <c r="U22" s="43">
        <f t="shared" si="1"/>
        <v>8328.7209302325573</v>
      </c>
      <c r="V22" s="44" t="e">
        <f t="shared" si="1"/>
        <v>#REF!</v>
      </c>
      <c r="W22" s="44">
        <f t="shared" si="1"/>
        <v>119658</v>
      </c>
      <c r="X22" s="44" t="e">
        <f t="shared" si="1"/>
        <v>#REF!</v>
      </c>
      <c r="Y22" s="43">
        <f t="shared" si="1"/>
        <v>31055.039999999997</v>
      </c>
      <c r="Z22" s="42">
        <f t="shared" si="1"/>
        <v>7478</v>
      </c>
      <c r="AA22" s="42">
        <f t="shared" si="1"/>
        <v>476</v>
      </c>
      <c r="AB22" s="44">
        <f t="shared" si="1"/>
        <v>1143</v>
      </c>
      <c r="AC22" s="42">
        <f t="shared" si="1"/>
        <v>51261</v>
      </c>
      <c r="AD22" s="44">
        <f>SUM(AD20:AD21)</f>
        <v>43688</v>
      </c>
      <c r="AE22" s="44">
        <f t="shared" si="1"/>
        <v>0</v>
      </c>
      <c r="AF22" s="44">
        <f t="shared" si="1"/>
        <v>42508</v>
      </c>
      <c r="AG22" s="42">
        <f t="shared" si="1"/>
        <v>2405</v>
      </c>
      <c r="AH22" s="46">
        <f t="shared" si="1"/>
        <v>321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f>50*208</f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50*215</f>
        <v>10750</v>
      </c>
      <c r="U23" s="32">
        <f>T23/215*25</f>
        <v>1250</v>
      </c>
      <c r="V23" s="31"/>
      <c r="W23" s="31">
        <f>600*25</f>
        <v>15000</v>
      </c>
      <c r="X23" s="31"/>
      <c r="Y23" s="31"/>
      <c r="Z23" s="31">
        <v>5000</v>
      </c>
      <c r="AA23" s="31"/>
      <c r="AB23" s="31"/>
      <c r="AC23" s="31">
        <v>8000</v>
      </c>
      <c r="AD23" s="31">
        <v>5040</v>
      </c>
      <c r="AE23" s="31"/>
      <c r="AF23" s="48">
        <v>8500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72480</v>
      </c>
      <c r="G24" s="52">
        <f t="shared" si="2"/>
        <v>8711.538461538461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82377</v>
      </c>
      <c r="U24" s="52">
        <f t="shared" si="2"/>
        <v>9578.7209302325573</v>
      </c>
      <c r="V24" s="51" t="e">
        <f t="shared" si="2"/>
        <v>#REF!</v>
      </c>
      <c r="W24" s="51">
        <f t="shared" si="2"/>
        <v>134658</v>
      </c>
      <c r="X24" s="51" t="e">
        <f t="shared" si="2"/>
        <v>#REF!</v>
      </c>
      <c r="Y24" s="52">
        <f t="shared" si="2"/>
        <v>31055.039999999997</v>
      </c>
      <c r="Z24" s="51">
        <f t="shared" si="2"/>
        <v>12478</v>
      </c>
      <c r="AA24" s="51">
        <f t="shared" si="2"/>
        <v>476</v>
      </c>
      <c r="AB24" s="51">
        <f t="shared" si="2"/>
        <v>1143</v>
      </c>
      <c r="AC24" s="51">
        <f t="shared" si="2"/>
        <v>59261</v>
      </c>
      <c r="AD24" s="51">
        <f t="shared" si="2"/>
        <v>48728</v>
      </c>
      <c r="AE24" s="51">
        <f t="shared" si="2"/>
        <v>0</v>
      </c>
      <c r="AF24" s="51">
        <f t="shared" si="2"/>
        <v>51008</v>
      </c>
      <c r="AG24" s="51">
        <f t="shared" si="2"/>
        <v>2405</v>
      </c>
      <c r="AH24" s="53">
        <f t="shared" si="2"/>
        <v>321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10897</v>
      </c>
      <c r="G25" s="32">
        <f>F25/208*25</f>
        <v>1309.7355769230769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9620</v>
      </c>
      <c r="U25" s="32">
        <f>T25/215*25</f>
        <v>1118.6046511627908</v>
      </c>
      <c r="V25" s="47" t="s">
        <v>40</v>
      </c>
      <c r="W25" s="31">
        <v>5789</v>
      </c>
      <c r="X25" s="47"/>
      <c r="Y25" s="55">
        <f>Z25*2.43</f>
        <v>3154.1400000000003</v>
      </c>
      <c r="Z25" s="31">
        <v>1298</v>
      </c>
      <c r="AA25" s="38">
        <v>18</v>
      </c>
      <c r="AB25" s="47">
        <v>0</v>
      </c>
      <c r="AC25" s="38">
        <v>7857</v>
      </c>
      <c r="AD25" s="47">
        <v>1714</v>
      </c>
      <c r="AE25" s="47">
        <v>0</v>
      </c>
      <c r="AF25" s="47">
        <v>3908</v>
      </c>
      <c r="AG25" s="38"/>
      <c r="AH25" s="56">
        <v>28</v>
      </c>
    </row>
    <row r="26" spans="1:36" s="4" customFormat="1" ht="100.5" customHeight="1" thickBot="1" x14ac:dyDescent="0.25">
      <c r="A26" s="57">
        <v>45347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61583</v>
      </c>
      <c r="G26" s="59">
        <f t="shared" si="3"/>
        <v>7401.8028846153838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72757</v>
      </c>
      <c r="U26" s="59">
        <f t="shared" si="3"/>
        <v>8460.1162790697672</v>
      </c>
      <c r="V26" s="60" t="e">
        <f t="shared" si="3"/>
        <v>#REF!</v>
      </c>
      <c r="W26" s="60">
        <f t="shared" si="3"/>
        <v>128869</v>
      </c>
      <c r="X26" s="60" t="e">
        <f t="shared" si="3"/>
        <v>#REF!</v>
      </c>
      <c r="Y26" s="61">
        <f>Y24-Y25</f>
        <v>27900.899999999998</v>
      </c>
      <c r="Z26" s="58">
        <f>Z24-Z25</f>
        <v>11180</v>
      </c>
      <c r="AA26" s="58">
        <f t="shared" si="3"/>
        <v>458</v>
      </c>
      <c r="AB26" s="60">
        <f>AB24-AB25</f>
        <v>1143</v>
      </c>
      <c r="AC26" s="58">
        <f>AC24-AC25</f>
        <v>51404</v>
      </c>
      <c r="AD26" s="60">
        <f>AD24-AD25</f>
        <v>47014</v>
      </c>
      <c r="AE26" s="60">
        <f>AE24-AE25</f>
        <v>0</v>
      </c>
      <c r="AF26" s="60">
        <f>AF24-AF25</f>
        <v>47100</v>
      </c>
      <c r="AG26" s="58">
        <f t="shared" ref="AG26" si="7">AG24-AG25</f>
        <v>2405</v>
      </c>
      <c r="AH26" s="62">
        <f>AH24-AH25</f>
        <v>293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9" zoomScale="78" zoomScaleNormal="78" workbookViewId="0">
      <selection activeCell="U38" sqref="U38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130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45348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45546</v>
      </c>
      <c r="G20" s="32">
        <f>F20/208*25</f>
        <v>5474.2788461538457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59581</v>
      </c>
      <c r="U20" s="34">
        <f>T20/215*25</f>
        <v>6928.0232558139533</v>
      </c>
      <c r="V20" s="33" t="e">
        <f>#REF!</f>
        <v>#REF!</v>
      </c>
      <c r="W20" s="33">
        <v>120750</v>
      </c>
      <c r="X20" s="33" t="e">
        <f>#REF!</f>
        <v>#REF!</v>
      </c>
      <c r="Y20" s="35">
        <v>24366.339999999997</v>
      </c>
      <c r="Z20" s="31">
        <v>9448</v>
      </c>
      <c r="AA20" s="31">
        <v>390</v>
      </c>
      <c r="AB20" s="33">
        <v>1143</v>
      </c>
      <c r="AC20" s="31">
        <v>29791</v>
      </c>
      <c r="AD20" s="33">
        <v>19080</v>
      </c>
      <c r="AE20" s="33">
        <v>0</v>
      </c>
      <c r="AF20" s="33">
        <v>35333</v>
      </c>
      <c r="AG20" s="31">
        <v>2115</v>
      </c>
      <c r="AH20" s="36">
        <v>210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16037</v>
      </c>
      <c r="G21" s="32">
        <f>F21/208*25</f>
        <v>1927.5240384615383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13176</v>
      </c>
      <c r="U21" s="32">
        <f>T21/215*25</f>
        <v>1532.0930232558139</v>
      </c>
      <c r="V21" s="34"/>
      <c r="W21" s="34">
        <v>8119</v>
      </c>
      <c r="X21" s="34">
        <v>0</v>
      </c>
      <c r="Y21" s="32">
        <v>3534.5599999999995</v>
      </c>
      <c r="Z21" s="38">
        <v>1732</v>
      </c>
      <c r="AA21" s="38">
        <v>68</v>
      </c>
      <c r="AB21" s="34">
        <v>0</v>
      </c>
      <c r="AC21" s="38">
        <v>21613</v>
      </c>
      <c r="AD21" s="34">
        <v>27934</v>
      </c>
      <c r="AE21" s="34">
        <v>0</v>
      </c>
      <c r="AF21" s="34">
        <v>11767</v>
      </c>
      <c r="AG21" s="38">
        <v>290</v>
      </c>
      <c r="AH21" s="39">
        <v>83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61583</v>
      </c>
      <c r="G22" s="43">
        <f t="shared" si="1"/>
        <v>7401.8028846153838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72757</v>
      </c>
      <c r="U22" s="43">
        <f t="shared" si="1"/>
        <v>8460.1162790697672</v>
      </c>
      <c r="V22" s="44" t="e">
        <f t="shared" si="1"/>
        <v>#REF!</v>
      </c>
      <c r="W22" s="44">
        <f t="shared" si="1"/>
        <v>128869</v>
      </c>
      <c r="X22" s="44" t="e">
        <f t="shared" si="1"/>
        <v>#REF!</v>
      </c>
      <c r="Y22" s="43">
        <f t="shared" si="1"/>
        <v>27900.899999999994</v>
      </c>
      <c r="Z22" s="42">
        <f t="shared" si="1"/>
        <v>11180</v>
      </c>
      <c r="AA22" s="42">
        <f t="shared" si="1"/>
        <v>458</v>
      </c>
      <c r="AB22" s="44">
        <f t="shared" si="1"/>
        <v>1143</v>
      </c>
      <c r="AC22" s="42">
        <f t="shared" si="1"/>
        <v>51404</v>
      </c>
      <c r="AD22" s="44">
        <f>SUM(AD20:AD21)</f>
        <v>47014</v>
      </c>
      <c r="AE22" s="44">
        <f t="shared" si="1"/>
        <v>0</v>
      </c>
      <c r="AF22" s="44">
        <f t="shared" si="1"/>
        <v>47100</v>
      </c>
      <c r="AG22" s="42">
        <f t="shared" si="1"/>
        <v>2405</v>
      </c>
      <c r="AH22" s="46">
        <f t="shared" si="1"/>
        <v>293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61583</v>
      </c>
      <c r="G24" s="52">
        <f t="shared" si="2"/>
        <v>7401.8028846153838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72757</v>
      </c>
      <c r="U24" s="52">
        <f t="shared" si="2"/>
        <v>8460.1162790697672</v>
      </c>
      <c r="V24" s="51" t="e">
        <f t="shared" si="2"/>
        <v>#REF!</v>
      </c>
      <c r="W24" s="51">
        <f t="shared" si="2"/>
        <v>128869</v>
      </c>
      <c r="X24" s="51" t="e">
        <f t="shared" si="2"/>
        <v>#REF!</v>
      </c>
      <c r="Y24" s="52">
        <f t="shared" si="2"/>
        <v>27900.899999999994</v>
      </c>
      <c r="Z24" s="51">
        <f t="shared" si="2"/>
        <v>11180</v>
      </c>
      <c r="AA24" s="51">
        <f t="shared" si="2"/>
        <v>458</v>
      </c>
      <c r="AB24" s="51">
        <f t="shared" si="2"/>
        <v>1143</v>
      </c>
      <c r="AC24" s="51">
        <f t="shared" si="2"/>
        <v>51404</v>
      </c>
      <c r="AD24" s="51">
        <f t="shared" si="2"/>
        <v>47014</v>
      </c>
      <c r="AE24" s="51">
        <f t="shared" si="2"/>
        <v>0</v>
      </c>
      <c r="AF24" s="51">
        <f t="shared" si="2"/>
        <v>47100</v>
      </c>
      <c r="AG24" s="51">
        <f t="shared" si="2"/>
        <v>2405</v>
      </c>
      <c r="AH24" s="53">
        <f t="shared" si="2"/>
        <v>293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9154</v>
      </c>
      <c r="G25" s="32">
        <f>F25/208*25</f>
        <v>1100.2403846153848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12408</v>
      </c>
      <c r="U25" s="32">
        <f>T25/215*25</f>
        <v>1442.7906976744187</v>
      </c>
      <c r="V25" s="47" t="s">
        <v>40</v>
      </c>
      <c r="W25" s="31">
        <v>6260</v>
      </c>
      <c r="X25" s="47"/>
      <c r="Y25" s="55">
        <f>Z25*2.43</f>
        <v>3146.8500000000004</v>
      </c>
      <c r="Z25" s="31">
        <v>1295</v>
      </c>
      <c r="AA25" s="38">
        <v>15</v>
      </c>
      <c r="AB25" s="47">
        <v>0</v>
      </c>
      <c r="AC25" s="38">
        <f>115+7986</f>
        <v>8101</v>
      </c>
      <c r="AD25" s="47">
        <v>2169</v>
      </c>
      <c r="AE25" s="47">
        <v>0</v>
      </c>
      <c r="AF25" s="47">
        <f>3384+993</f>
        <v>4377</v>
      </c>
      <c r="AG25" s="38">
        <v>0</v>
      </c>
      <c r="AH25" s="56">
        <v>34</v>
      </c>
    </row>
    <row r="26" spans="1:36" s="4" customFormat="1" ht="100.5" customHeight="1" thickBot="1" x14ac:dyDescent="0.25">
      <c r="A26" s="57">
        <v>45354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52429</v>
      </c>
      <c r="G26" s="59">
        <f t="shared" si="3"/>
        <v>6301.5624999999991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60349</v>
      </c>
      <c r="U26" s="59">
        <f t="shared" si="3"/>
        <v>7017.3255813953483</v>
      </c>
      <c r="V26" s="60" t="e">
        <f t="shared" si="3"/>
        <v>#REF!</v>
      </c>
      <c r="W26" s="60">
        <f t="shared" si="3"/>
        <v>122609</v>
      </c>
      <c r="X26" s="60" t="e">
        <f t="shared" si="3"/>
        <v>#REF!</v>
      </c>
      <c r="Y26" s="61">
        <f>Y24-Y25</f>
        <v>24754.049999999996</v>
      </c>
      <c r="Z26" s="58">
        <f>Z24-Z25</f>
        <v>9885</v>
      </c>
      <c r="AA26" s="58">
        <f t="shared" si="3"/>
        <v>443</v>
      </c>
      <c r="AB26" s="60">
        <f>AB24-AB25</f>
        <v>1143</v>
      </c>
      <c r="AC26" s="58">
        <f>AC24-AC25</f>
        <v>43303</v>
      </c>
      <c r="AD26" s="60">
        <f>AD24-AD25</f>
        <v>44845</v>
      </c>
      <c r="AE26" s="60">
        <f>AE24-AE25</f>
        <v>0</v>
      </c>
      <c r="AF26" s="60">
        <f>AF24-AF25</f>
        <v>42723</v>
      </c>
      <c r="AG26" s="58">
        <f t="shared" ref="AG26" si="7">AG24-AG25</f>
        <v>2405</v>
      </c>
      <c r="AH26" s="62">
        <f>AH24-AH25</f>
        <v>259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A25" sqref="A25:C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131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45355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39306</v>
      </c>
      <c r="G20" s="32">
        <f>F20/208*25</f>
        <v>4724.2788461538457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40231</v>
      </c>
      <c r="U20" s="34">
        <f>T20/215*25</f>
        <v>4678.0232558139542</v>
      </c>
      <c r="V20" s="33" t="e">
        <f>#REF!</f>
        <v>#REF!</v>
      </c>
      <c r="W20" s="33">
        <v>113375</v>
      </c>
      <c r="X20" s="33" t="e">
        <f>#REF!</f>
        <v>#REF!</v>
      </c>
      <c r="Y20" s="35">
        <v>21450.339999999997</v>
      </c>
      <c r="Z20" s="31">
        <v>8248</v>
      </c>
      <c r="AA20" s="31">
        <v>390</v>
      </c>
      <c r="AB20" s="33">
        <v>1143</v>
      </c>
      <c r="AC20" s="31">
        <v>22041</v>
      </c>
      <c r="AD20" s="33">
        <v>19080</v>
      </c>
      <c r="AE20" s="33">
        <v>0</v>
      </c>
      <c r="AF20" s="33">
        <v>33533</v>
      </c>
      <c r="AG20" s="31">
        <v>2115</v>
      </c>
      <c r="AH20" s="36">
        <v>190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13123</v>
      </c>
      <c r="G21" s="32">
        <f>F21/208*25</f>
        <v>1577.2836538461538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20118</v>
      </c>
      <c r="U21" s="32">
        <f>T21/215*25</f>
        <v>2339.3023255813955</v>
      </c>
      <c r="V21" s="34"/>
      <c r="W21" s="34">
        <v>9234</v>
      </c>
      <c r="X21" s="34">
        <v>0</v>
      </c>
      <c r="Y21" s="32">
        <v>3303.7099999999996</v>
      </c>
      <c r="Z21" s="38">
        <v>1637</v>
      </c>
      <c r="AA21" s="38">
        <v>53</v>
      </c>
      <c r="AB21" s="34">
        <v>0</v>
      </c>
      <c r="AC21" s="38">
        <v>21262</v>
      </c>
      <c r="AD21" s="34">
        <v>25765</v>
      </c>
      <c r="AE21" s="34">
        <v>0</v>
      </c>
      <c r="AF21" s="34">
        <v>9190</v>
      </c>
      <c r="AG21" s="38">
        <v>290</v>
      </c>
      <c r="AH21" s="39">
        <v>69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52429</v>
      </c>
      <c r="G22" s="43">
        <f t="shared" si="1"/>
        <v>6301.5625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60349</v>
      </c>
      <c r="U22" s="43">
        <f t="shared" si="1"/>
        <v>7017.3255813953492</v>
      </c>
      <c r="V22" s="44" t="e">
        <f t="shared" si="1"/>
        <v>#REF!</v>
      </c>
      <c r="W22" s="44">
        <f t="shared" si="1"/>
        <v>122609</v>
      </c>
      <c r="X22" s="44" t="e">
        <f t="shared" si="1"/>
        <v>#REF!</v>
      </c>
      <c r="Y22" s="43">
        <f t="shared" si="1"/>
        <v>24754.049999999996</v>
      </c>
      <c r="Z22" s="42">
        <f t="shared" si="1"/>
        <v>9885</v>
      </c>
      <c r="AA22" s="42">
        <f t="shared" si="1"/>
        <v>443</v>
      </c>
      <c r="AB22" s="44">
        <f t="shared" si="1"/>
        <v>1143</v>
      </c>
      <c r="AC22" s="42">
        <f t="shared" si="1"/>
        <v>43303</v>
      </c>
      <c r="AD22" s="44">
        <f>SUM(AD20:AD21)</f>
        <v>44845</v>
      </c>
      <c r="AE22" s="44">
        <f t="shared" si="1"/>
        <v>0</v>
      </c>
      <c r="AF22" s="44">
        <f t="shared" si="1"/>
        <v>42723</v>
      </c>
      <c r="AG22" s="42">
        <f t="shared" si="1"/>
        <v>2405</v>
      </c>
      <c r="AH22" s="46">
        <f t="shared" si="1"/>
        <v>259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52429</v>
      </c>
      <c r="G24" s="52">
        <f t="shared" si="2"/>
        <v>6301.5625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60349</v>
      </c>
      <c r="U24" s="52">
        <f t="shared" si="2"/>
        <v>7017.3255813953492</v>
      </c>
      <c r="V24" s="51" t="e">
        <f t="shared" si="2"/>
        <v>#REF!</v>
      </c>
      <c r="W24" s="51">
        <f t="shared" si="2"/>
        <v>122609</v>
      </c>
      <c r="X24" s="51" t="e">
        <f t="shared" si="2"/>
        <v>#REF!</v>
      </c>
      <c r="Y24" s="52">
        <f t="shared" si="2"/>
        <v>24754.049999999996</v>
      </c>
      <c r="Z24" s="51">
        <f t="shared" si="2"/>
        <v>9885</v>
      </c>
      <c r="AA24" s="51">
        <f t="shared" si="2"/>
        <v>443</v>
      </c>
      <c r="AB24" s="51">
        <f t="shared" si="2"/>
        <v>1143</v>
      </c>
      <c r="AC24" s="51">
        <f t="shared" si="2"/>
        <v>43303</v>
      </c>
      <c r="AD24" s="51">
        <f t="shared" si="2"/>
        <v>44845</v>
      </c>
      <c r="AE24" s="51">
        <f t="shared" si="2"/>
        <v>0</v>
      </c>
      <c r="AF24" s="51">
        <f t="shared" si="2"/>
        <v>42723</v>
      </c>
      <c r="AG24" s="51">
        <f t="shared" si="2"/>
        <v>2405</v>
      </c>
      <c r="AH24" s="53">
        <f t="shared" si="2"/>
        <v>259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4498</v>
      </c>
      <c r="G25" s="32">
        <f>F25/208*25</f>
        <v>540.625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14099</v>
      </c>
      <c r="U25" s="32">
        <f>T25/215*25</f>
        <v>1639.4186046511627</v>
      </c>
      <c r="V25" s="47" t="s">
        <v>40</v>
      </c>
      <c r="W25" s="31">
        <v>4981</v>
      </c>
      <c r="X25" s="47"/>
      <c r="Y25" s="55">
        <f>Z25*2.43</f>
        <v>2658.42</v>
      </c>
      <c r="Z25" s="31">
        <v>1094</v>
      </c>
      <c r="AA25" s="38">
        <v>4</v>
      </c>
      <c r="AB25" s="47">
        <v>0</v>
      </c>
      <c r="AC25" s="38">
        <f>117+6260+11</f>
        <v>6388</v>
      </c>
      <c r="AD25" s="47">
        <v>1988</v>
      </c>
      <c r="AE25" s="47">
        <v>0</v>
      </c>
      <c r="AF25" s="47">
        <f>2672+743</f>
        <v>3415</v>
      </c>
      <c r="AG25" s="38">
        <v>0</v>
      </c>
      <c r="AH25" s="56">
        <v>30</v>
      </c>
    </row>
    <row r="26" spans="1:36" s="4" customFormat="1" ht="100.5" customHeight="1" thickBot="1" x14ac:dyDescent="0.25">
      <c r="A26" s="57">
        <v>45361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47931</v>
      </c>
      <c r="G26" s="59">
        <f t="shared" si="3"/>
        <v>5760.9375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46250</v>
      </c>
      <c r="U26" s="59">
        <f t="shared" si="3"/>
        <v>5377.906976744187</v>
      </c>
      <c r="V26" s="60" t="e">
        <f t="shared" si="3"/>
        <v>#REF!</v>
      </c>
      <c r="W26" s="60">
        <f t="shared" si="3"/>
        <v>117628</v>
      </c>
      <c r="X26" s="60" t="e">
        <f t="shared" si="3"/>
        <v>#REF!</v>
      </c>
      <c r="Y26" s="61">
        <f>Y24-Y25</f>
        <v>22095.629999999997</v>
      </c>
      <c r="Z26" s="58">
        <f>Z24-Z25</f>
        <v>8791</v>
      </c>
      <c r="AA26" s="58">
        <f t="shared" si="3"/>
        <v>439</v>
      </c>
      <c r="AB26" s="60">
        <f>AB24-AB25</f>
        <v>1143</v>
      </c>
      <c r="AC26" s="58">
        <f>AC24-AC25</f>
        <v>36915</v>
      </c>
      <c r="AD26" s="60">
        <f>AD24-AD25</f>
        <v>42857</v>
      </c>
      <c r="AE26" s="60">
        <f>AE24-AE25</f>
        <v>0</v>
      </c>
      <c r="AF26" s="60">
        <f>AF24-AF25</f>
        <v>39308</v>
      </c>
      <c r="AG26" s="58">
        <f t="shared" ref="AG26" si="7">AG24-AG25</f>
        <v>2405</v>
      </c>
      <c r="AH26" s="62">
        <f>AH24-AH25</f>
        <v>229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AA31" sqref="AA31:AA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132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45362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26624</v>
      </c>
      <c r="G20" s="32">
        <f>F20/208*25</f>
        <v>3200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15265</v>
      </c>
      <c r="U20" s="34">
        <f>T20/215*25</f>
        <v>1775</v>
      </c>
      <c r="V20" s="33" t="e">
        <f>#REF!</f>
        <v>#REF!</v>
      </c>
      <c r="W20" s="33">
        <v>105775</v>
      </c>
      <c r="X20" s="33" t="e">
        <f>#REF!</f>
        <v>#REF!</v>
      </c>
      <c r="Y20" s="35">
        <v>6130.5</v>
      </c>
      <c r="Z20" s="31">
        <v>6150</v>
      </c>
      <c r="AA20" s="31">
        <v>150</v>
      </c>
      <c r="AB20" s="33">
        <v>0</v>
      </c>
      <c r="AC20" s="31">
        <v>7110</v>
      </c>
      <c r="AD20" s="33">
        <v>15120</v>
      </c>
      <c r="AE20" s="33">
        <v>0</v>
      </c>
      <c r="AF20" s="33">
        <v>23900</v>
      </c>
      <c r="AG20" s="31">
        <v>0</v>
      </c>
      <c r="AH20" s="36">
        <v>134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f>29627-4959-3709+348</f>
        <v>21307</v>
      </c>
      <c r="G21" s="32">
        <f>F21/208*25</f>
        <v>2560.9375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f>39585-14174+5574</f>
        <v>30985</v>
      </c>
      <c r="U21" s="32">
        <f>T21/215*25</f>
        <v>3602.9069767441861</v>
      </c>
      <c r="V21" s="34"/>
      <c r="W21" s="34">
        <f>17478-5262-363</f>
        <v>11853</v>
      </c>
      <c r="X21" s="34">
        <v>0</v>
      </c>
      <c r="Y21" s="32">
        <f>18638.13-2838.24+165.24</f>
        <v>15965.130000000001</v>
      </c>
      <c r="Z21" s="38">
        <f>3741-1168+68</f>
        <v>2641</v>
      </c>
      <c r="AA21" s="38">
        <f>289-18+18</f>
        <v>289</v>
      </c>
      <c r="AB21" s="34">
        <v>1143</v>
      </c>
      <c r="AC21" s="38">
        <f>31055-6230+4980</f>
        <v>29805</v>
      </c>
      <c r="AD21" s="34">
        <f>31697-2615-1345</f>
        <v>27737</v>
      </c>
      <c r="AE21" s="34">
        <v>0</v>
      </c>
      <c r="AF21" s="34">
        <f>18308-3627+727</f>
        <v>15408</v>
      </c>
      <c r="AG21" s="38">
        <v>2405</v>
      </c>
      <c r="AH21" s="39">
        <f>95-18+18</f>
        <v>95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47931</v>
      </c>
      <c r="G22" s="43">
        <f t="shared" si="1"/>
        <v>5760.9375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46250</v>
      </c>
      <c r="U22" s="43">
        <f t="shared" si="1"/>
        <v>5377.9069767441861</v>
      </c>
      <c r="V22" s="44" t="e">
        <f t="shared" si="1"/>
        <v>#REF!</v>
      </c>
      <c r="W22" s="44">
        <f t="shared" si="1"/>
        <v>117628</v>
      </c>
      <c r="X22" s="44" t="e">
        <f t="shared" si="1"/>
        <v>#REF!</v>
      </c>
      <c r="Y22" s="43">
        <f t="shared" si="1"/>
        <v>22095.63</v>
      </c>
      <c r="Z22" s="42">
        <f t="shared" si="1"/>
        <v>8791</v>
      </c>
      <c r="AA22" s="42">
        <f t="shared" si="1"/>
        <v>439</v>
      </c>
      <c r="AB22" s="44">
        <f t="shared" si="1"/>
        <v>1143</v>
      </c>
      <c r="AC22" s="42">
        <f t="shared" si="1"/>
        <v>36915</v>
      </c>
      <c r="AD22" s="44">
        <f>SUM(AD20:AD21)</f>
        <v>42857</v>
      </c>
      <c r="AE22" s="44">
        <f t="shared" si="1"/>
        <v>0</v>
      </c>
      <c r="AF22" s="44">
        <f t="shared" si="1"/>
        <v>39308</v>
      </c>
      <c r="AG22" s="42">
        <f t="shared" si="1"/>
        <v>2405</v>
      </c>
      <c r="AH22" s="46">
        <f t="shared" si="1"/>
        <v>229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47931</v>
      </c>
      <c r="G24" s="52">
        <f t="shared" si="2"/>
        <v>5760.9375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46250</v>
      </c>
      <c r="U24" s="52">
        <f t="shared" si="2"/>
        <v>5377.9069767441861</v>
      </c>
      <c r="V24" s="51" t="e">
        <f t="shared" si="2"/>
        <v>#REF!</v>
      </c>
      <c r="W24" s="51">
        <f t="shared" si="2"/>
        <v>117628</v>
      </c>
      <c r="X24" s="51" t="e">
        <f t="shared" si="2"/>
        <v>#REF!</v>
      </c>
      <c r="Y24" s="52">
        <f t="shared" si="2"/>
        <v>22095.63</v>
      </c>
      <c r="Z24" s="51">
        <f t="shared" si="2"/>
        <v>8791</v>
      </c>
      <c r="AA24" s="51">
        <f t="shared" si="2"/>
        <v>439</v>
      </c>
      <c r="AB24" s="51">
        <f t="shared" si="2"/>
        <v>1143</v>
      </c>
      <c r="AC24" s="51">
        <f t="shared" si="2"/>
        <v>36915</v>
      </c>
      <c r="AD24" s="51">
        <f t="shared" si="2"/>
        <v>42857</v>
      </c>
      <c r="AE24" s="51">
        <f t="shared" si="2"/>
        <v>0</v>
      </c>
      <c r="AF24" s="51">
        <f t="shared" si="2"/>
        <v>39308</v>
      </c>
      <c r="AG24" s="51">
        <f t="shared" si="2"/>
        <v>2405</v>
      </c>
      <c r="AH24" s="53">
        <f t="shared" si="2"/>
        <v>229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4959</v>
      </c>
      <c r="G25" s="32">
        <f>F25/208*25</f>
        <v>596.03365384615381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14174</v>
      </c>
      <c r="U25" s="32">
        <f>T25/215*25</f>
        <v>1648.1395348837211</v>
      </c>
      <c r="V25" s="47" t="s">
        <v>40</v>
      </c>
      <c r="W25" s="31">
        <v>5262</v>
      </c>
      <c r="X25" s="47"/>
      <c r="Y25" s="55">
        <f>Z25*2.43</f>
        <v>2838.2400000000002</v>
      </c>
      <c r="Z25" s="31">
        <v>1168</v>
      </c>
      <c r="AA25" s="38">
        <v>18</v>
      </c>
      <c r="AB25" s="47">
        <v>0</v>
      </c>
      <c r="AC25" s="38">
        <f>108+6122</f>
        <v>6230</v>
      </c>
      <c r="AD25" s="47">
        <v>2615</v>
      </c>
      <c r="AE25" s="47">
        <v>0</v>
      </c>
      <c r="AF25" s="47">
        <f>2873+754</f>
        <v>3627</v>
      </c>
      <c r="AG25" s="38">
        <v>0</v>
      </c>
      <c r="AH25" s="56">
        <v>18</v>
      </c>
    </row>
    <row r="26" spans="1:36" s="4" customFormat="1" ht="100.5" customHeight="1" thickBot="1" x14ac:dyDescent="0.25">
      <c r="A26" s="57">
        <v>45368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42972</v>
      </c>
      <c r="G26" s="59">
        <f t="shared" si="3"/>
        <v>5164.9038461538457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32076</v>
      </c>
      <c r="U26" s="59">
        <f t="shared" si="3"/>
        <v>3729.7674418604647</v>
      </c>
      <c r="V26" s="60" t="e">
        <f t="shared" si="3"/>
        <v>#REF!</v>
      </c>
      <c r="W26" s="60">
        <f t="shared" si="3"/>
        <v>112366</v>
      </c>
      <c r="X26" s="60" t="e">
        <f t="shared" si="3"/>
        <v>#REF!</v>
      </c>
      <c r="Y26" s="61">
        <f>Y24-Y25</f>
        <v>19257.39</v>
      </c>
      <c r="Z26" s="58">
        <f>Z24-Z25</f>
        <v>7623</v>
      </c>
      <c r="AA26" s="58">
        <f t="shared" si="3"/>
        <v>421</v>
      </c>
      <c r="AB26" s="60">
        <f>AB24-AB25</f>
        <v>1143</v>
      </c>
      <c r="AC26" s="58">
        <f>AC24-AC25</f>
        <v>30685</v>
      </c>
      <c r="AD26" s="60">
        <f>AD24-AD25</f>
        <v>40242</v>
      </c>
      <c r="AE26" s="60">
        <f>AE24-AE25</f>
        <v>0</v>
      </c>
      <c r="AF26" s="60">
        <f>AF24-AF25</f>
        <v>35681</v>
      </c>
      <c r="AG26" s="58">
        <f t="shared" ref="AG26" si="7">AG24-AG25</f>
        <v>2405</v>
      </c>
      <c r="AH26" s="62">
        <f>AH24-AH25</f>
        <v>211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AB26" sqref="AB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133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45369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18304</v>
      </c>
      <c r="G20" s="32">
        <f>F20/208*25</f>
        <v>2200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6665</v>
      </c>
      <c r="U20" s="34">
        <f>T20/215*25</f>
        <v>775</v>
      </c>
      <c r="V20" s="33" t="e">
        <f>#REF!</f>
        <v>#REF!</v>
      </c>
      <c r="W20" s="33">
        <v>100150</v>
      </c>
      <c r="X20" s="33" t="e">
        <f>#REF!</f>
        <v>#REF!</v>
      </c>
      <c r="Y20" s="35">
        <v>3457.5</v>
      </c>
      <c r="Z20" s="31">
        <v>5050</v>
      </c>
      <c r="AA20" s="31">
        <v>150</v>
      </c>
      <c r="AB20" s="33">
        <v>0</v>
      </c>
      <c r="AC20" s="31">
        <v>5860</v>
      </c>
      <c r="AD20" s="33">
        <v>11160</v>
      </c>
      <c r="AE20" s="33">
        <v>0</v>
      </c>
      <c r="AF20" s="33">
        <v>21000</v>
      </c>
      <c r="AG20" s="31">
        <v>0</v>
      </c>
      <c r="AH20" s="36">
        <v>134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24668</v>
      </c>
      <c r="G21" s="32">
        <f>F21/208*25</f>
        <v>2964.9038461538462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25411</v>
      </c>
      <c r="U21" s="32">
        <f>T21/215*25</f>
        <v>2954.7674418604652</v>
      </c>
      <c r="V21" s="34"/>
      <c r="W21" s="34">
        <v>12216</v>
      </c>
      <c r="X21" s="34">
        <v>0</v>
      </c>
      <c r="Y21" s="32">
        <v>15799.889999999998</v>
      </c>
      <c r="Z21" s="38">
        <v>2573</v>
      </c>
      <c r="AA21" s="38">
        <v>271</v>
      </c>
      <c r="AB21" s="34">
        <v>1143</v>
      </c>
      <c r="AC21" s="38">
        <v>24825</v>
      </c>
      <c r="AD21" s="34">
        <v>29082</v>
      </c>
      <c r="AE21" s="34">
        <v>0</v>
      </c>
      <c r="AF21" s="34">
        <v>14681</v>
      </c>
      <c r="AG21" s="38">
        <v>2405</v>
      </c>
      <c r="AH21" s="39">
        <v>77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42972</v>
      </c>
      <c r="G22" s="43">
        <f t="shared" si="1"/>
        <v>5164.9038461538457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32076</v>
      </c>
      <c r="U22" s="43">
        <f t="shared" si="1"/>
        <v>3729.7674418604652</v>
      </c>
      <c r="V22" s="44" t="e">
        <f t="shared" si="1"/>
        <v>#REF!</v>
      </c>
      <c r="W22" s="44">
        <f t="shared" si="1"/>
        <v>112366</v>
      </c>
      <c r="X22" s="44" t="e">
        <f t="shared" si="1"/>
        <v>#REF!</v>
      </c>
      <c r="Y22" s="43">
        <f t="shared" si="1"/>
        <v>19257.39</v>
      </c>
      <c r="Z22" s="42">
        <f t="shared" si="1"/>
        <v>7623</v>
      </c>
      <c r="AA22" s="42">
        <f t="shared" si="1"/>
        <v>421</v>
      </c>
      <c r="AB22" s="44">
        <f t="shared" si="1"/>
        <v>1143</v>
      </c>
      <c r="AC22" s="42">
        <f t="shared" si="1"/>
        <v>30685</v>
      </c>
      <c r="AD22" s="44">
        <f>SUM(AD20:AD21)</f>
        <v>40242</v>
      </c>
      <c r="AE22" s="44">
        <f t="shared" si="1"/>
        <v>0</v>
      </c>
      <c r="AF22" s="44">
        <f t="shared" si="1"/>
        <v>35681</v>
      </c>
      <c r="AG22" s="42">
        <f t="shared" si="1"/>
        <v>2405</v>
      </c>
      <c r="AH22" s="46">
        <f t="shared" si="1"/>
        <v>211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42972</v>
      </c>
      <c r="G24" s="52">
        <f t="shared" si="2"/>
        <v>5164.9038461538457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32076</v>
      </c>
      <c r="U24" s="52">
        <f t="shared" si="2"/>
        <v>3729.7674418604652</v>
      </c>
      <c r="V24" s="51" t="e">
        <f t="shared" si="2"/>
        <v>#REF!</v>
      </c>
      <c r="W24" s="51">
        <f t="shared" si="2"/>
        <v>112366</v>
      </c>
      <c r="X24" s="51" t="e">
        <f t="shared" si="2"/>
        <v>#REF!</v>
      </c>
      <c r="Y24" s="52">
        <f t="shared" si="2"/>
        <v>19257.39</v>
      </c>
      <c r="Z24" s="51">
        <f t="shared" si="2"/>
        <v>7623</v>
      </c>
      <c r="AA24" s="51">
        <f t="shared" si="2"/>
        <v>421</v>
      </c>
      <c r="AB24" s="51">
        <f t="shared" si="2"/>
        <v>1143</v>
      </c>
      <c r="AC24" s="51">
        <f t="shared" si="2"/>
        <v>30685</v>
      </c>
      <c r="AD24" s="51">
        <f t="shared" si="2"/>
        <v>40242</v>
      </c>
      <c r="AE24" s="51">
        <f t="shared" si="2"/>
        <v>0</v>
      </c>
      <c r="AF24" s="51">
        <f t="shared" si="2"/>
        <v>35681</v>
      </c>
      <c r="AG24" s="51">
        <f t="shared" si="2"/>
        <v>2405</v>
      </c>
      <c r="AH24" s="53">
        <f t="shared" si="2"/>
        <v>211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7696</v>
      </c>
      <c r="G25" s="32">
        <f>F25/208*25</f>
        <v>925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10934</v>
      </c>
      <c r="U25" s="32">
        <f>T25/215*25</f>
        <v>1271.3953488372092</v>
      </c>
      <c r="V25" s="47" t="s">
        <v>40</v>
      </c>
      <c r="W25" s="31">
        <v>5540</v>
      </c>
      <c r="X25" s="47"/>
      <c r="Y25" s="55">
        <f>Z25*2.43</f>
        <v>2959.7400000000002</v>
      </c>
      <c r="Z25" s="31">
        <v>1218</v>
      </c>
      <c r="AA25" s="38">
        <v>12</v>
      </c>
      <c r="AB25" s="47">
        <v>0</v>
      </c>
      <c r="AC25" s="38">
        <f>78+4494</f>
        <v>4572</v>
      </c>
      <c r="AD25" s="47">
        <v>4375</v>
      </c>
      <c r="AE25" s="47">
        <v>0</v>
      </c>
      <c r="AF25" s="47">
        <f>1634+2042</f>
        <v>3676</v>
      </c>
      <c r="AG25" s="38">
        <v>0</v>
      </c>
      <c r="AH25" s="56">
        <v>10</v>
      </c>
    </row>
    <row r="26" spans="1:36" s="4" customFormat="1" ht="100.5" customHeight="1" thickBot="1" x14ac:dyDescent="0.25">
      <c r="A26" s="57">
        <v>45375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35276</v>
      </c>
      <c r="G26" s="59">
        <f t="shared" si="3"/>
        <v>4239.9038461538457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21142</v>
      </c>
      <c r="U26" s="59">
        <f t="shared" si="3"/>
        <v>2458.3720930232557</v>
      </c>
      <c r="V26" s="60" t="e">
        <f t="shared" si="3"/>
        <v>#REF!</v>
      </c>
      <c r="W26" s="60">
        <f t="shared" si="3"/>
        <v>106826</v>
      </c>
      <c r="X26" s="60" t="e">
        <f t="shared" si="3"/>
        <v>#REF!</v>
      </c>
      <c r="Y26" s="61">
        <f>Y24-Y25</f>
        <v>16297.65</v>
      </c>
      <c r="Z26" s="58">
        <f>Z24-Z25</f>
        <v>6405</v>
      </c>
      <c r="AA26" s="58">
        <f t="shared" si="3"/>
        <v>409</v>
      </c>
      <c r="AB26" s="60">
        <f>AB24-AB25</f>
        <v>1143</v>
      </c>
      <c r="AC26" s="58">
        <f>AC24-AC25</f>
        <v>26113</v>
      </c>
      <c r="AD26" s="60">
        <f>AD24-AD25</f>
        <v>35867</v>
      </c>
      <c r="AE26" s="60">
        <f>AE24-AE25</f>
        <v>0</v>
      </c>
      <c r="AF26" s="60">
        <f>AF24-AF25</f>
        <v>32005</v>
      </c>
      <c r="AG26" s="58">
        <f t="shared" ref="AG26" si="7">AG24-AG25</f>
        <v>2405</v>
      </c>
      <c r="AH26" s="62">
        <f>AH24-AH25</f>
        <v>201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134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135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9" zoomScale="78" zoomScaleNormal="78" workbookViewId="0">
      <selection activeCell="D23" sqref="D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136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45376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7904</v>
      </c>
      <c r="G20" s="32">
        <f>F20/208*25</f>
        <v>950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2365</v>
      </c>
      <c r="U20" s="34">
        <f>T20/215*25</f>
        <v>275</v>
      </c>
      <c r="V20" s="33" t="e">
        <f>#REF!</f>
        <v>#REF!</v>
      </c>
      <c r="W20" s="33">
        <v>95900</v>
      </c>
      <c r="X20" s="33" t="e">
        <f>#REF!</f>
        <v>#REF!</v>
      </c>
      <c r="Y20" s="35">
        <v>1878</v>
      </c>
      <c r="Z20" s="31">
        <v>4400</v>
      </c>
      <c r="AA20" s="31">
        <v>150</v>
      </c>
      <c r="AB20" s="33">
        <v>0</v>
      </c>
      <c r="AC20" s="31">
        <v>4610</v>
      </c>
      <c r="AD20" s="33">
        <v>9720</v>
      </c>
      <c r="AE20" s="33">
        <v>0</v>
      </c>
      <c r="AF20" s="33">
        <v>19000</v>
      </c>
      <c r="AG20" s="31">
        <v>0</v>
      </c>
      <c r="AH20" s="36">
        <v>134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27372</v>
      </c>
      <c r="G21" s="32">
        <f>F21/208*25</f>
        <v>3289.9038461538462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18777</v>
      </c>
      <c r="U21" s="32">
        <f>T21/215*25</f>
        <v>2183.3720930232557</v>
      </c>
      <c r="V21" s="34"/>
      <c r="W21" s="34">
        <v>10926</v>
      </c>
      <c r="X21" s="34">
        <v>0</v>
      </c>
      <c r="Y21" s="32">
        <v>14419.649999999998</v>
      </c>
      <c r="Z21" s="38">
        <v>2005</v>
      </c>
      <c r="AA21" s="38">
        <v>259</v>
      </c>
      <c r="AB21" s="34">
        <v>1143</v>
      </c>
      <c r="AC21" s="38">
        <v>21503</v>
      </c>
      <c r="AD21" s="34">
        <v>26147</v>
      </c>
      <c r="AE21" s="34">
        <v>0</v>
      </c>
      <c r="AF21" s="34">
        <v>13005</v>
      </c>
      <c r="AG21" s="38">
        <v>2405</v>
      </c>
      <c r="AH21" s="39">
        <v>67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35276</v>
      </c>
      <c r="G22" s="43">
        <f t="shared" si="1"/>
        <v>4239.9038461538457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21142</v>
      </c>
      <c r="U22" s="43">
        <f t="shared" si="1"/>
        <v>2458.3720930232557</v>
      </c>
      <c r="V22" s="44" t="e">
        <f t="shared" si="1"/>
        <v>#REF!</v>
      </c>
      <c r="W22" s="44">
        <f t="shared" si="1"/>
        <v>106826</v>
      </c>
      <c r="X22" s="44" t="e">
        <f t="shared" si="1"/>
        <v>#REF!</v>
      </c>
      <c r="Y22" s="43">
        <f t="shared" si="1"/>
        <v>16297.649999999998</v>
      </c>
      <c r="Z22" s="42">
        <f t="shared" si="1"/>
        <v>6405</v>
      </c>
      <c r="AA22" s="42">
        <f t="shared" si="1"/>
        <v>409</v>
      </c>
      <c r="AB22" s="44">
        <f t="shared" si="1"/>
        <v>1143</v>
      </c>
      <c r="AC22" s="42">
        <f t="shared" si="1"/>
        <v>26113</v>
      </c>
      <c r="AD22" s="44">
        <f>SUM(AD20:AD21)</f>
        <v>35867</v>
      </c>
      <c r="AE22" s="44">
        <f t="shared" si="1"/>
        <v>0</v>
      </c>
      <c r="AF22" s="44">
        <f t="shared" si="1"/>
        <v>32005</v>
      </c>
      <c r="AG22" s="42">
        <f t="shared" si="1"/>
        <v>2405</v>
      </c>
      <c r="AH22" s="46">
        <f t="shared" si="1"/>
        <v>201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f>40*208</f>
        <v>8320</v>
      </c>
      <c r="G23" s="32">
        <f>F23/208*25</f>
        <v>1000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40*215</f>
        <v>8600</v>
      </c>
      <c r="U23" s="32">
        <f>T23/215*25</f>
        <v>1000</v>
      </c>
      <c r="V23" s="31"/>
      <c r="W23" s="31"/>
      <c r="X23" s="31"/>
      <c r="Y23" s="31"/>
      <c r="Z23" s="31"/>
      <c r="AA23" s="31"/>
      <c r="AB23" s="31"/>
      <c r="AC23" s="31">
        <v>5000</v>
      </c>
      <c r="AD23" s="31">
        <v>5040</v>
      </c>
      <c r="AE23" s="31"/>
      <c r="AF23" s="48">
        <v>6600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43596</v>
      </c>
      <c r="G24" s="52">
        <f t="shared" si="2"/>
        <v>5239.9038461538457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29742</v>
      </c>
      <c r="U24" s="52">
        <f t="shared" si="2"/>
        <v>3458.3720930232557</v>
      </c>
      <c r="V24" s="51" t="e">
        <f t="shared" si="2"/>
        <v>#REF!</v>
      </c>
      <c r="W24" s="51">
        <f t="shared" si="2"/>
        <v>106826</v>
      </c>
      <c r="X24" s="51" t="e">
        <f t="shared" si="2"/>
        <v>#REF!</v>
      </c>
      <c r="Y24" s="52">
        <f t="shared" si="2"/>
        <v>16297.649999999998</v>
      </c>
      <c r="Z24" s="51">
        <f t="shared" si="2"/>
        <v>6405</v>
      </c>
      <c r="AA24" s="51">
        <f t="shared" si="2"/>
        <v>409</v>
      </c>
      <c r="AB24" s="51">
        <f t="shared" si="2"/>
        <v>1143</v>
      </c>
      <c r="AC24" s="51">
        <f t="shared" si="2"/>
        <v>31113</v>
      </c>
      <c r="AD24" s="51">
        <f t="shared" si="2"/>
        <v>40907</v>
      </c>
      <c r="AE24" s="51">
        <f t="shared" si="2"/>
        <v>0</v>
      </c>
      <c r="AF24" s="51">
        <f t="shared" si="2"/>
        <v>38605</v>
      </c>
      <c r="AG24" s="51">
        <f t="shared" si="2"/>
        <v>2405</v>
      </c>
      <c r="AH24" s="53">
        <f t="shared" si="2"/>
        <v>201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5688</v>
      </c>
      <c r="G25" s="32">
        <f>F25/208*25</f>
        <v>683.65384615384619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3544</v>
      </c>
      <c r="U25" s="32">
        <f>T25/215*25</f>
        <v>412.09302325581393</v>
      </c>
      <c r="V25" s="47" t="s">
        <v>40</v>
      </c>
      <c r="W25" s="31">
        <v>2207</v>
      </c>
      <c r="X25" s="47"/>
      <c r="Y25" s="55">
        <f>Z25*2.43</f>
        <v>1081.3500000000001</v>
      </c>
      <c r="Z25" s="31">
        <v>445</v>
      </c>
      <c r="AA25" s="38">
        <v>2</v>
      </c>
      <c r="AB25" s="47"/>
      <c r="AC25" s="38">
        <f>227+1258</f>
        <v>1485</v>
      </c>
      <c r="AD25" s="47">
        <v>2458</v>
      </c>
      <c r="AE25" s="47"/>
      <c r="AF25" s="47">
        <f>612+992</f>
        <v>1604</v>
      </c>
      <c r="AG25" s="38">
        <v>80</v>
      </c>
      <c r="AH25" s="56">
        <v>20</v>
      </c>
    </row>
    <row r="26" spans="1:36" s="4" customFormat="1" ht="100.5" customHeight="1" thickBot="1" x14ac:dyDescent="0.25">
      <c r="A26" s="57">
        <v>45382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37908</v>
      </c>
      <c r="G26" s="59">
        <f t="shared" si="3"/>
        <v>4556.25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26198</v>
      </c>
      <c r="U26" s="59">
        <f t="shared" si="3"/>
        <v>3046.2790697674418</v>
      </c>
      <c r="V26" s="60" t="e">
        <f t="shared" si="3"/>
        <v>#REF!</v>
      </c>
      <c r="W26" s="60">
        <f t="shared" si="3"/>
        <v>104619</v>
      </c>
      <c r="X26" s="60" t="e">
        <f t="shared" si="3"/>
        <v>#REF!</v>
      </c>
      <c r="Y26" s="61">
        <f>Y24-Y25</f>
        <v>15216.299999999997</v>
      </c>
      <c r="Z26" s="58">
        <f>Z24-Z25</f>
        <v>5960</v>
      </c>
      <c r="AA26" s="58">
        <f t="shared" si="3"/>
        <v>407</v>
      </c>
      <c r="AB26" s="60">
        <f>AB24-AB25</f>
        <v>1143</v>
      </c>
      <c r="AC26" s="58">
        <f>AC24-AC25</f>
        <v>29628</v>
      </c>
      <c r="AD26" s="60">
        <f>AD24-AD25</f>
        <v>38449</v>
      </c>
      <c r="AE26" s="60">
        <f>AE24-AE25</f>
        <v>0</v>
      </c>
      <c r="AF26" s="60">
        <f>AF24-AF25</f>
        <v>37001</v>
      </c>
      <c r="AG26" s="58">
        <f t="shared" ref="AG26" si="7">AG24-AG25</f>
        <v>2325</v>
      </c>
      <c r="AH26" s="62">
        <f>AH24-AH25</f>
        <v>181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Z28" sqref="Z28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137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45383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16224</v>
      </c>
      <c r="G20" s="32">
        <f>F20/208*25</f>
        <v>1950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10965</v>
      </c>
      <c r="U20" s="34">
        <f>T20/215*25</f>
        <v>1275</v>
      </c>
      <c r="V20" s="33" t="e">
        <f>#REF!</f>
        <v>#REF!</v>
      </c>
      <c r="W20" s="33">
        <v>95900</v>
      </c>
      <c r="X20" s="33" t="e">
        <f>#REF!</f>
        <v>#REF!</v>
      </c>
      <c r="Y20" s="35">
        <v>4878</v>
      </c>
      <c r="Z20" s="31">
        <v>4400</v>
      </c>
      <c r="AA20" s="31">
        <v>150</v>
      </c>
      <c r="AB20" s="33">
        <v>0</v>
      </c>
      <c r="AC20" s="31">
        <v>9610</v>
      </c>
      <c r="AD20" s="33">
        <v>14760</v>
      </c>
      <c r="AE20" s="33">
        <v>0</v>
      </c>
      <c r="AF20" s="33">
        <v>25600</v>
      </c>
      <c r="AG20" s="31">
        <v>0</v>
      </c>
      <c r="AH20" s="36">
        <v>134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21684</v>
      </c>
      <c r="G21" s="32">
        <f>F21/208*25</f>
        <v>2606.25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15233</v>
      </c>
      <c r="U21" s="32">
        <f>T21/215*25</f>
        <v>1771.2790697674418</v>
      </c>
      <c r="V21" s="34"/>
      <c r="W21" s="34">
        <v>8719</v>
      </c>
      <c r="X21" s="34">
        <v>0</v>
      </c>
      <c r="Y21" s="32">
        <f>13338.3-3000</f>
        <v>10338.299999999999</v>
      </c>
      <c r="Z21" s="38">
        <v>1560</v>
      </c>
      <c r="AA21" s="38">
        <v>257</v>
      </c>
      <c r="AB21" s="34">
        <v>1143</v>
      </c>
      <c r="AC21" s="38">
        <v>20018</v>
      </c>
      <c r="AD21" s="34">
        <v>23689</v>
      </c>
      <c r="AE21" s="34">
        <v>0</v>
      </c>
      <c r="AF21" s="34">
        <v>11401</v>
      </c>
      <c r="AG21" s="38">
        <v>2325</v>
      </c>
      <c r="AH21" s="39">
        <v>47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37908</v>
      </c>
      <c r="G22" s="43">
        <f t="shared" si="1"/>
        <v>4556.25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26198</v>
      </c>
      <c r="U22" s="43">
        <f t="shared" si="1"/>
        <v>3046.2790697674418</v>
      </c>
      <c r="V22" s="44" t="e">
        <f t="shared" si="1"/>
        <v>#REF!</v>
      </c>
      <c r="W22" s="44">
        <f t="shared" si="1"/>
        <v>104619</v>
      </c>
      <c r="X22" s="44" t="e">
        <f t="shared" si="1"/>
        <v>#REF!</v>
      </c>
      <c r="Y22" s="43">
        <f t="shared" si="1"/>
        <v>15216.3</v>
      </c>
      <c r="Z22" s="42">
        <f t="shared" si="1"/>
        <v>5960</v>
      </c>
      <c r="AA22" s="42">
        <f t="shared" si="1"/>
        <v>407</v>
      </c>
      <c r="AB22" s="44">
        <f t="shared" si="1"/>
        <v>1143</v>
      </c>
      <c r="AC22" s="42">
        <f t="shared" si="1"/>
        <v>29628</v>
      </c>
      <c r="AD22" s="44">
        <f>SUM(AD20:AD21)</f>
        <v>38449</v>
      </c>
      <c r="AE22" s="44">
        <f t="shared" si="1"/>
        <v>0</v>
      </c>
      <c r="AF22" s="44">
        <f t="shared" si="1"/>
        <v>37001</v>
      </c>
      <c r="AG22" s="42">
        <f t="shared" si="1"/>
        <v>2325</v>
      </c>
      <c r="AH22" s="46">
        <f t="shared" si="1"/>
        <v>181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37908</v>
      </c>
      <c r="G24" s="52">
        <f t="shared" si="2"/>
        <v>4556.25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26198</v>
      </c>
      <c r="U24" s="52">
        <f t="shared" si="2"/>
        <v>3046.2790697674418</v>
      </c>
      <c r="V24" s="51" t="e">
        <f t="shared" si="2"/>
        <v>#REF!</v>
      </c>
      <c r="W24" s="51">
        <f t="shared" si="2"/>
        <v>104619</v>
      </c>
      <c r="X24" s="51" t="e">
        <f t="shared" si="2"/>
        <v>#REF!</v>
      </c>
      <c r="Y24" s="52">
        <f t="shared" si="2"/>
        <v>15216.3</v>
      </c>
      <c r="Z24" s="51">
        <f t="shared" si="2"/>
        <v>5960</v>
      </c>
      <c r="AA24" s="51">
        <f t="shared" si="2"/>
        <v>407</v>
      </c>
      <c r="AB24" s="51">
        <f t="shared" si="2"/>
        <v>1143</v>
      </c>
      <c r="AC24" s="51">
        <f t="shared" si="2"/>
        <v>29628</v>
      </c>
      <c r="AD24" s="51">
        <f t="shared" si="2"/>
        <v>38449</v>
      </c>
      <c r="AE24" s="51">
        <f t="shared" si="2"/>
        <v>0</v>
      </c>
      <c r="AF24" s="51">
        <f t="shared" si="2"/>
        <v>37001</v>
      </c>
      <c r="AG24" s="51">
        <f t="shared" si="2"/>
        <v>2325</v>
      </c>
      <c r="AH24" s="53">
        <f t="shared" si="2"/>
        <v>181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11059</v>
      </c>
      <c r="G25" s="32">
        <f>F25/208*25</f>
        <v>1329.2067307692309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5617</v>
      </c>
      <c r="U25" s="32">
        <f>T25/215*25</f>
        <v>653.13953488372101</v>
      </c>
      <c r="V25" s="47" t="s">
        <v>40</v>
      </c>
      <c r="W25" s="31">
        <v>4376</v>
      </c>
      <c r="X25" s="47"/>
      <c r="Y25" s="55">
        <f>Z25*2.43</f>
        <v>2381.4</v>
      </c>
      <c r="Z25" s="31">
        <v>980</v>
      </c>
      <c r="AA25" s="38">
        <v>11</v>
      </c>
      <c r="AB25" s="47">
        <v>0</v>
      </c>
      <c r="AC25" s="38">
        <f>354+2429</f>
        <v>2783</v>
      </c>
      <c r="AD25" s="47">
        <v>4797</v>
      </c>
      <c r="AE25" s="47">
        <v>0</v>
      </c>
      <c r="AF25" s="47">
        <f>710+2306+0</f>
        <v>3016</v>
      </c>
      <c r="AG25" s="38">
        <v>0</v>
      </c>
      <c r="AH25" s="56">
        <v>28</v>
      </c>
    </row>
    <row r="26" spans="1:36" s="4" customFormat="1" ht="100.5" customHeight="1" thickBot="1" x14ac:dyDescent="0.25">
      <c r="A26" s="57">
        <v>45389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26849</v>
      </c>
      <c r="G26" s="59">
        <f t="shared" si="3"/>
        <v>3227.0432692307691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20581</v>
      </c>
      <c r="U26" s="59">
        <f t="shared" si="3"/>
        <v>2393.1395348837209</v>
      </c>
      <c r="V26" s="60" t="e">
        <f t="shared" si="3"/>
        <v>#REF!</v>
      </c>
      <c r="W26" s="60">
        <f t="shared" si="3"/>
        <v>100243</v>
      </c>
      <c r="X26" s="60" t="e">
        <f t="shared" si="3"/>
        <v>#REF!</v>
      </c>
      <c r="Y26" s="61">
        <f>Y24-Y25</f>
        <v>12834.9</v>
      </c>
      <c r="Z26" s="58">
        <f>Z24-Z25</f>
        <v>4980</v>
      </c>
      <c r="AA26" s="58">
        <f t="shared" si="3"/>
        <v>396</v>
      </c>
      <c r="AB26" s="60">
        <f>AB24-AB25</f>
        <v>1143</v>
      </c>
      <c r="AC26" s="58">
        <f>AC24-AC25</f>
        <v>26845</v>
      </c>
      <c r="AD26" s="60">
        <f>AD24-AD25</f>
        <v>33652</v>
      </c>
      <c r="AE26" s="60">
        <f>AE24-AE25</f>
        <v>0</v>
      </c>
      <c r="AF26" s="60">
        <f>AF24-AF25</f>
        <v>33985</v>
      </c>
      <c r="AG26" s="58">
        <f t="shared" ref="AG26" si="7">AG24-AG25</f>
        <v>2325</v>
      </c>
      <c r="AH26" s="62">
        <f>AH24-AH25</f>
        <v>153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138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8" zoomScaleNormal="78" workbookViewId="0">
      <selection activeCell="P38" sqref="P38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139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45390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16224</v>
      </c>
      <c r="G20" s="32">
        <f>F20/208*25</f>
        <v>1950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6665</v>
      </c>
      <c r="U20" s="34">
        <f>T20/215*25</f>
        <v>775</v>
      </c>
      <c r="V20" s="33" t="e">
        <f>#REF!</f>
        <v>#REF!</v>
      </c>
      <c r="W20" s="33">
        <v>90275</v>
      </c>
      <c r="X20" s="33" t="e">
        <f>#REF!</f>
        <v>#REF!</v>
      </c>
      <c r="Y20" s="35">
        <v>1354.4999999999995</v>
      </c>
      <c r="Z20" s="31">
        <v>2950</v>
      </c>
      <c r="AA20" s="31">
        <v>150</v>
      </c>
      <c r="AB20" s="33">
        <v>0</v>
      </c>
      <c r="AC20" s="31">
        <v>8360</v>
      </c>
      <c r="AD20" s="33">
        <v>7200</v>
      </c>
      <c r="AE20" s="33">
        <v>0</v>
      </c>
      <c r="AF20" s="33">
        <v>20800</v>
      </c>
      <c r="AG20" s="31">
        <v>0</v>
      </c>
      <c r="AH20" s="36">
        <v>134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12250</v>
      </c>
      <c r="G21" s="32">
        <f>F21/208*25</f>
        <v>1472.3557692307691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13916</v>
      </c>
      <c r="U21" s="32">
        <f>T21/215*25</f>
        <v>1618.1395348837209</v>
      </c>
      <c r="V21" s="34"/>
      <c r="W21" s="34">
        <v>9968</v>
      </c>
      <c r="X21" s="34">
        <v>0</v>
      </c>
      <c r="Y21" s="32">
        <v>11480.400000000001</v>
      </c>
      <c r="Z21" s="38">
        <v>2030</v>
      </c>
      <c r="AA21" s="38">
        <v>246</v>
      </c>
      <c r="AB21" s="34">
        <v>1143</v>
      </c>
      <c r="AC21" s="38">
        <v>18485</v>
      </c>
      <c r="AD21" s="34">
        <v>26452</v>
      </c>
      <c r="AE21" s="34">
        <v>0</v>
      </c>
      <c r="AF21" s="34">
        <v>13185</v>
      </c>
      <c r="AG21" s="38">
        <v>2325</v>
      </c>
      <c r="AH21" s="39">
        <v>19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28474</v>
      </c>
      <c r="G22" s="43">
        <f t="shared" si="1"/>
        <v>3422.3557692307691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20581</v>
      </c>
      <c r="U22" s="43">
        <f t="shared" si="1"/>
        <v>2393.1395348837209</v>
      </c>
      <c r="V22" s="44" t="e">
        <f t="shared" si="1"/>
        <v>#REF!</v>
      </c>
      <c r="W22" s="44">
        <f t="shared" si="1"/>
        <v>100243</v>
      </c>
      <c r="X22" s="44" t="e">
        <f t="shared" si="1"/>
        <v>#REF!</v>
      </c>
      <c r="Y22" s="43">
        <f t="shared" si="1"/>
        <v>12834.900000000001</v>
      </c>
      <c r="Z22" s="42">
        <f t="shared" si="1"/>
        <v>4980</v>
      </c>
      <c r="AA22" s="42">
        <f t="shared" si="1"/>
        <v>396</v>
      </c>
      <c r="AB22" s="44">
        <f t="shared" si="1"/>
        <v>1143</v>
      </c>
      <c r="AC22" s="42">
        <f t="shared" si="1"/>
        <v>26845</v>
      </c>
      <c r="AD22" s="44">
        <f>SUM(AD20:AD21)</f>
        <v>33652</v>
      </c>
      <c r="AE22" s="44">
        <f t="shared" si="1"/>
        <v>0</v>
      </c>
      <c r="AF22" s="44">
        <f t="shared" si="1"/>
        <v>33985</v>
      </c>
      <c r="AG22" s="42">
        <f t="shared" si="1"/>
        <v>2325</v>
      </c>
      <c r="AH22" s="46">
        <f t="shared" si="1"/>
        <v>153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f>100*208</f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100*215</f>
        <v>21500</v>
      </c>
      <c r="U23" s="32">
        <f>T23/215*25</f>
        <v>2500</v>
      </c>
      <c r="V23" s="31"/>
      <c r="W23" s="31"/>
      <c r="X23" s="31"/>
      <c r="Y23" s="31">
        <v>2000</v>
      </c>
      <c r="Z23" s="31">
        <v>2000</v>
      </c>
      <c r="AA23" s="31"/>
      <c r="AB23" s="31"/>
      <c r="AC23" s="31">
        <v>4250</v>
      </c>
      <c r="AD23" s="31">
        <v>4320</v>
      </c>
      <c r="AE23" s="31"/>
      <c r="AF23" s="48">
        <v>3800</v>
      </c>
      <c r="AG23" s="31"/>
      <c r="AH23" s="49">
        <v>30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49274</v>
      </c>
      <c r="G24" s="52">
        <f t="shared" si="2"/>
        <v>5922.3557692307695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42081</v>
      </c>
      <c r="U24" s="52">
        <f t="shared" si="2"/>
        <v>4893.1395348837214</v>
      </c>
      <c r="V24" s="51" t="e">
        <f t="shared" si="2"/>
        <v>#REF!</v>
      </c>
      <c r="W24" s="51">
        <f t="shared" si="2"/>
        <v>100243</v>
      </c>
      <c r="X24" s="51" t="e">
        <f t="shared" si="2"/>
        <v>#REF!</v>
      </c>
      <c r="Y24" s="52">
        <f t="shared" si="2"/>
        <v>14834.900000000001</v>
      </c>
      <c r="Z24" s="51">
        <f t="shared" si="2"/>
        <v>6980</v>
      </c>
      <c r="AA24" s="51">
        <f t="shared" si="2"/>
        <v>396</v>
      </c>
      <c r="AB24" s="51">
        <f t="shared" si="2"/>
        <v>1143</v>
      </c>
      <c r="AC24" s="51">
        <f t="shared" si="2"/>
        <v>31095</v>
      </c>
      <c r="AD24" s="51">
        <f t="shared" si="2"/>
        <v>37972</v>
      </c>
      <c r="AE24" s="51">
        <f t="shared" si="2"/>
        <v>0</v>
      </c>
      <c r="AF24" s="51">
        <f t="shared" si="2"/>
        <v>37785</v>
      </c>
      <c r="AG24" s="51">
        <f t="shared" si="2"/>
        <v>2325</v>
      </c>
      <c r="AH24" s="53">
        <f t="shared" si="2"/>
        <v>183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11873</v>
      </c>
      <c r="G25" s="32">
        <f>F25/208*25</f>
        <v>1427.0432692307691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6535</v>
      </c>
      <c r="U25" s="32">
        <f>T25/215*25</f>
        <v>759.88372093023258</v>
      </c>
      <c r="V25" s="47" t="s">
        <v>40</v>
      </c>
      <c r="W25" s="31">
        <v>5795</v>
      </c>
      <c r="X25" s="47"/>
      <c r="Y25" s="55">
        <f>Z25*2.43</f>
        <v>2624.4</v>
      </c>
      <c r="Z25" s="31">
        <v>1080</v>
      </c>
      <c r="AA25" s="38">
        <v>8</v>
      </c>
      <c r="AB25" s="47">
        <v>0</v>
      </c>
      <c r="AC25" s="38">
        <f>195+4025</f>
        <v>4220</v>
      </c>
      <c r="AD25" s="47">
        <v>5174</v>
      </c>
      <c r="AE25" s="47">
        <v>0</v>
      </c>
      <c r="AF25" s="47">
        <f>337+3330</f>
        <v>3667</v>
      </c>
      <c r="AG25" s="38">
        <v>0</v>
      </c>
      <c r="AH25" s="56">
        <v>18</v>
      </c>
    </row>
    <row r="26" spans="1:36" s="4" customFormat="1" ht="100.5" customHeight="1" thickBot="1" x14ac:dyDescent="0.25">
      <c r="A26" s="57">
        <v>45396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37401</v>
      </c>
      <c r="G26" s="59">
        <f t="shared" si="3"/>
        <v>4495.3125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35546</v>
      </c>
      <c r="U26" s="59">
        <f t="shared" si="3"/>
        <v>4133.2558139534885</v>
      </c>
      <c r="V26" s="60" t="e">
        <f t="shared" si="3"/>
        <v>#REF!</v>
      </c>
      <c r="W26" s="60">
        <f t="shared" si="3"/>
        <v>94448</v>
      </c>
      <c r="X26" s="60" t="e">
        <f t="shared" si="3"/>
        <v>#REF!</v>
      </c>
      <c r="Y26" s="61">
        <f>Y24-Y25</f>
        <v>12210.500000000002</v>
      </c>
      <c r="Z26" s="58">
        <f>Z24-Z25</f>
        <v>5900</v>
      </c>
      <c r="AA26" s="58">
        <f t="shared" si="3"/>
        <v>388</v>
      </c>
      <c r="AB26" s="60">
        <f>AB24-AB25</f>
        <v>1143</v>
      </c>
      <c r="AC26" s="58">
        <f>AC24-AC25</f>
        <v>26875</v>
      </c>
      <c r="AD26" s="60">
        <f>AD24-AD25</f>
        <v>32798</v>
      </c>
      <c r="AE26" s="60">
        <f>AE24-AE25</f>
        <v>0</v>
      </c>
      <c r="AF26" s="60">
        <f>AF24-AF25</f>
        <v>34118</v>
      </c>
      <c r="AG26" s="58">
        <f t="shared" ref="AG26" si="7">AG24-AG25</f>
        <v>2325</v>
      </c>
      <c r="AH26" s="62">
        <f>AH24-AH25</f>
        <v>165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F23" sqref="F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45397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17264</v>
      </c>
      <c r="G20" s="32">
        <f>F20/208*25</f>
        <v>2075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23865</v>
      </c>
      <c r="U20" s="34">
        <f>T20/215*25</f>
        <v>2775</v>
      </c>
      <c r="V20" s="33" t="e">
        <f>#REF!</f>
        <v>#REF!</v>
      </c>
      <c r="W20" s="33">
        <v>80525</v>
      </c>
      <c r="X20" s="33" t="e">
        <f>#REF!</f>
        <v>#REF!</v>
      </c>
      <c r="Y20" s="35">
        <v>559.99999999999955</v>
      </c>
      <c r="Z20" s="31">
        <v>3800</v>
      </c>
      <c r="AA20" s="31">
        <v>150</v>
      </c>
      <c r="AB20" s="33">
        <v>0</v>
      </c>
      <c r="AC20" s="31">
        <v>10860</v>
      </c>
      <c r="AD20" s="33">
        <v>6120</v>
      </c>
      <c r="AE20" s="33">
        <v>0</v>
      </c>
      <c r="AF20" s="33">
        <v>19800</v>
      </c>
      <c r="AG20" s="31">
        <v>0</v>
      </c>
      <c r="AH20" s="36">
        <v>155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f>20137-1625</f>
        <v>18512</v>
      </c>
      <c r="G21" s="32">
        <f>F21/208*25</f>
        <v>2225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11681</v>
      </c>
      <c r="U21" s="32">
        <f>T21/215*25</f>
        <v>1358.2558139534883</v>
      </c>
      <c r="V21" s="34"/>
      <c r="W21" s="34">
        <v>13923</v>
      </c>
      <c r="X21" s="34">
        <v>0</v>
      </c>
      <c r="Y21" s="32">
        <v>11650.5</v>
      </c>
      <c r="Z21" s="38">
        <v>2100</v>
      </c>
      <c r="AA21" s="38">
        <v>238</v>
      </c>
      <c r="AB21" s="34">
        <v>1143</v>
      </c>
      <c r="AC21" s="38">
        <v>16015</v>
      </c>
      <c r="AD21" s="34">
        <v>26678</v>
      </c>
      <c r="AE21" s="34">
        <v>0</v>
      </c>
      <c r="AF21" s="34">
        <v>14318</v>
      </c>
      <c r="AG21" s="38">
        <v>2325</v>
      </c>
      <c r="AH21" s="39">
        <v>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35776</v>
      </c>
      <c r="G22" s="43">
        <f t="shared" si="1"/>
        <v>4300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35546</v>
      </c>
      <c r="U22" s="43">
        <f t="shared" si="1"/>
        <v>4133.2558139534885</v>
      </c>
      <c r="V22" s="44" t="e">
        <f t="shared" si="1"/>
        <v>#REF!</v>
      </c>
      <c r="W22" s="44">
        <f t="shared" si="1"/>
        <v>94448</v>
      </c>
      <c r="X22" s="44" t="e">
        <f t="shared" si="1"/>
        <v>#REF!</v>
      </c>
      <c r="Y22" s="43">
        <f t="shared" si="1"/>
        <v>12210.5</v>
      </c>
      <c r="Z22" s="42">
        <f t="shared" si="1"/>
        <v>5900</v>
      </c>
      <c r="AA22" s="42">
        <f t="shared" si="1"/>
        <v>388</v>
      </c>
      <c r="AB22" s="44">
        <f t="shared" si="1"/>
        <v>1143</v>
      </c>
      <c r="AC22" s="42">
        <f t="shared" si="1"/>
        <v>26875</v>
      </c>
      <c r="AD22" s="44">
        <f>SUM(AD20:AD21)</f>
        <v>32798</v>
      </c>
      <c r="AE22" s="44">
        <f t="shared" si="1"/>
        <v>0</v>
      </c>
      <c r="AF22" s="44">
        <f t="shared" si="1"/>
        <v>34118</v>
      </c>
      <c r="AG22" s="42">
        <f t="shared" si="1"/>
        <v>2325</v>
      </c>
      <c r="AH22" s="46">
        <f t="shared" si="1"/>
        <v>165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f>150*208</f>
        <v>31200</v>
      </c>
      <c r="G23" s="32">
        <f>F23/208*25</f>
        <v>3750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150*215</f>
        <v>32250</v>
      </c>
      <c r="U23" s="32">
        <f>T23/215*25</f>
        <v>3750</v>
      </c>
      <c r="V23" s="31"/>
      <c r="W23" s="31"/>
      <c r="X23" s="31"/>
      <c r="Y23" s="31">
        <v>10000</v>
      </c>
      <c r="Z23" s="31">
        <v>4000</v>
      </c>
      <c r="AA23" s="31"/>
      <c r="AB23" s="31"/>
      <c r="AC23" s="31">
        <f>11250+5720</f>
        <v>16970</v>
      </c>
      <c r="AD23" s="31">
        <v>16920</v>
      </c>
      <c r="AE23" s="31"/>
      <c r="AF23" s="48">
        <f>3600+2000</f>
        <v>5600</v>
      </c>
      <c r="AG23" s="31"/>
      <c r="AH23" s="49">
        <v>100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66976</v>
      </c>
      <c r="G24" s="52">
        <f t="shared" si="2"/>
        <v>8050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67796</v>
      </c>
      <c r="U24" s="52">
        <f t="shared" si="2"/>
        <v>7883.2558139534885</v>
      </c>
      <c r="V24" s="51" t="e">
        <f t="shared" si="2"/>
        <v>#REF!</v>
      </c>
      <c r="W24" s="51">
        <f t="shared" si="2"/>
        <v>94448</v>
      </c>
      <c r="X24" s="51" t="e">
        <f t="shared" si="2"/>
        <v>#REF!</v>
      </c>
      <c r="Y24" s="52">
        <f t="shared" si="2"/>
        <v>22210.5</v>
      </c>
      <c r="Z24" s="51">
        <f t="shared" si="2"/>
        <v>9900</v>
      </c>
      <c r="AA24" s="51">
        <f t="shared" si="2"/>
        <v>388</v>
      </c>
      <c r="AB24" s="51">
        <f t="shared" si="2"/>
        <v>1143</v>
      </c>
      <c r="AC24" s="51">
        <f t="shared" si="2"/>
        <v>43845</v>
      </c>
      <c r="AD24" s="51">
        <f t="shared" si="2"/>
        <v>49718</v>
      </c>
      <c r="AE24" s="51">
        <f t="shared" si="2"/>
        <v>0</v>
      </c>
      <c r="AF24" s="51">
        <f t="shared" si="2"/>
        <v>39718</v>
      </c>
      <c r="AG24" s="51">
        <f t="shared" si="2"/>
        <v>2325</v>
      </c>
      <c r="AH24" s="53">
        <f t="shared" si="2"/>
        <v>265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11922</v>
      </c>
      <c r="G25" s="32">
        <f>F25/208*25</f>
        <v>1432.9326923076924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6008</v>
      </c>
      <c r="U25" s="32">
        <f>T25/215*25</f>
        <v>698.60465116279067</v>
      </c>
      <c r="V25" s="47" t="s">
        <v>40</v>
      </c>
      <c r="W25" s="31">
        <v>5761.6</v>
      </c>
      <c r="X25" s="47"/>
      <c r="Y25" s="55">
        <f>Z25*2.43</f>
        <v>3015.63</v>
      </c>
      <c r="Z25" s="31">
        <v>1241</v>
      </c>
      <c r="AA25" s="38">
        <v>17</v>
      </c>
      <c r="AB25" s="47">
        <v>0</v>
      </c>
      <c r="AC25" s="38">
        <f>3864</f>
        <v>3864</v>
      </c>
      <c r="AD25" s="47">
        <v>5440</v>
      </c>
      <c r="AE25" s="47">
        <v>0</v>
      </c>
      <c r="AF25" s="47">
        <f>2448+1317</f>
        <v>3765</v>
      </c>
      <c r="AG25" s="38">
        <v>0</v>
      </c>
      <c r="AH25" s="56">
        <v>4</v>
      </c>
    </row>
    <row r="26" spans="1:36" s="4" customFormat="1" ht="100.5" customHeight="1" thickBot="1" x14ac:dyDescent="0.25">
      <c r="A26" s="57">
        <v>45403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55054</v>
      </c>
      <c r="G26" s="59">
        <f t="shared" si="3"/>
        <v>6617.0673076923076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61788</v>
      </c>
      <c r="U26" s="59">
        <f t="shared" si="3"/>
        <v>7184.6511627906975</v>
      </c>
      <c r="V26" s="60" t="e">
        <f t="shared" si="3"/>
        <v>#REF!</v>
      </c>
      <c r="W26" s="60">
        <f t="shared" si="3"/>
        <v>88686.399999999994</v>
      </c>
      <c r="X26" s="60" t="e">
        <f t="shared" si="3"/>
        <v>#REF!</v>
      </c>
      <c r="Y26" s="61">
        <f>Y24-Y25</f>
        <v>19194.87</v>
      </c>
      <c r="Z26" s="58">
        <f>Z24-Z25</f>
        <v>8659</v>
      </c>
      <c r="AA26" s="58">
        <f t="shared" si="3"/>
        <v>371</v>
      </c>
      <c r="AB26" s="60">
        <f>AB24-AB25</f>
        <v>1143</v>
      </c>
      <c r="AC26" s="58">
        <f>AC24-AC25</f>
        <v>39981</v>
      </c>
      <c r="AD26" s="60">
        <f>AD24-AD25</f>
        <v>44278</v>
      </c>
      <c r="AE26" s="60">
        <f>AE24-AE25</f>
        <v>0</v>
      </c>
      <c r="AF26" s="60">
        <f>AF24-AF25</f>
        <v>35953</v>
      </c>
      <c r="AG26" s="58">
        <f t="shared" ref="AG26" si="7">AG24-AG25</f>
        <v>2325</v>
      </c>
      <c r="AH26" s="62">
        <f>AH24-AH25</f>
        <v>261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8" zoomScale="78" zoomScaleNormal="78" workbookViewId="0">
      <selection activeCell="G25" sqref="G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45404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32864</v>
      </c>
      <c r="G20" s="32">
        <f>F20/208*25</f>
        <v>3950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45365</v>
      </c>
      <c r="U20" s="34">
        <f>T20/215*25</f>
        <v>5275</v>
      </c>
      <c r="V20" s="33" t="e">
        <f>#REF!</f>
        <v>#REF!</v>
      </c>
      <c r="W20" s="33">
        <v>70650</v>
      </c>
      <c r="X20" s="33" t="e">
        <f>#REF!</f>
        <v>#REF!</v>
      </c>
      <c r="Y20" s="35">
        <v>5700</v>
      </c>
      <c r="Z20" s="31">
        <v>5800</v>
      </c>
      <c r="AA20" s="31">
        <v>150</v>
      </c>
      <c r="AB20" s="33">
        <v>0</v>
      </c>
      <c r="AC20" s="31">
        <v>21580</v>
      </c>
      <c r="AD20" s="33">
        <v>16560</v>
      </c>
      <c r="AE20" s="33">
        <v>0</v>
      </c>
      <c r="AF20" s="33">
        <v>18900</v>
      </c>
      <c r="AG20" s="31">
        <v>0</v>
      </c>
      <c r="AH20" s="36">
        <v>200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22190</v>
      </c>
      <c r="G21" s="32">
        <f>F21/208*25</f>
        <v>2667.0673076923076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16423</v>
      </c>
      <c r="U21" s="32">
        <f>T21/215*25</f>
        <v>1909.6511627906978</v>
      </c>
      <c r="V21" s="34"/>
      <c r="W21" s="34">
        <v>18036.400000000001</v>
      </c>
      <c r="X21" s="34">
        <v>0</v>
      </c>
      <c r="Y21" s="32">
        <v>13494.869999999999</v>
      </c>
      <c r="Z21" s="38">
        <v>2859</v>
      </c>
      <c r="AA21" s="38">
        <v>221</v>
      </c>
      <c r="AB21" s="34">
        <v>1143</v>
      </c>
      <c r="AC21" s="38">
        <v>18401</v>
      </c>
      <c r="AD21" s="34">
        <v>27718</v>
      </c>
      <c r="AE21" s="34">
        <v>0</v>
      </c>
      <c r="AF21" s="34">
        <v>17053</v>
      </c>
      <c r="AG21" s="38">
        <v>2325</v>
      </c>
      <c r="AH21" s="39">
        <v>61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55054</v>
      </c>
      <c r="G22" s="43">
        <f t="shared" si="1"/>
        <v>6617.0673076923076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61788</v>
      </c>
      <c r="U22" s="43">
        <f t="shared" si="1"/>
        <v>7184.6511627906975</v>
      </c>
      <c r="V22" s="44" t="e">
        <f t="shared" si="1"/>
        <v>#REF!</v>
      </c>
      <c r="W22" s="44">
        <f t="shared" si="1"/>
        <v>88686.399999999994</v>
      </c>
      <c r="X22" s="44" t="e">
        <f t="shared" si="1"/>
        <v>#REF!</v>
      </c>
      <c r="Y22" s="43">
        <f t="shared" si="1"/>
        <v>19194.87</v>
      </c>
      <c r="Z22" s="42">
        <f t="shared" si="1"/>
        <v>8659</v>
      </c>
      <c r="AA22" s="42">
        <f t="shared" si="1"/>
        <v>371</v>
      </c>
      <c r="AB22" s="44">
        <f t="shared" si="1"/>
        <v>1143</v>
      </c>
      <c r="AC22" s="42">
        <f t="shared" si="1"/>
        <v>39981</v>
      </c>
      <c r="AD22" s="44">
        <f>SUM(AD20:AD21)</f>
        <v>44278</v>
      </c>
      <c r="AE22" s="44">
        <f t="shared" si="1"/>
        <v>0</v>
      </c>
      <c r="AF22" s="44">
        <f t="shared" si="1"/>
        <v>35953</v>
      </c>
      <c r="AG22" s="42">
        <f t="shared" si="1"/>
        <v>2325</v>
      </c>
      <c r="AH22" s="46">
        <f t="shared" si="1"/>
        <v>261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55054</v>
      </c>
      <c r="G24" s="52">
        <f t="shared" si="2"/>
        <v>6617.0673076923076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61788</v>
      </c>
      <c r="U24" s="52">
        <f t="shared" si="2"/>
        <v>7184.6511627906975</v>
      </c>
      <c r="V24" s="51" t="e">
        <f t="shared" si="2"/>
        <v>#REF!</v>
      </c>
      <c r="W24" s="51">
        <f t="shared" si="2"/>
        <v>88686.399999999994</v>
      </c>
      <c r="X24" s="51" t="e">
        <f t="shared" si="2"/>
        <v>#REF!</v>
      </c>
      <c r="Y24" s="52">
        <f t="shared" si="2"/>
        <v>19194.87</v>
      </c>
      <c r="Z24" s="51">
        <f t="shared" si="2"/>
        <v>8659</v>
      </c>
      <c r="AA24" s="51">
        <f t="shared" si="2"/>
        <v>371</v>
      </c>
      <c r="AB24" s="51">
        <f t="shared" si="2"/>
        <v>1143</v>
      </c>
      <c r="AC24" s="51">
        <f t="shared" si="2"/>
        <v>39981</v>
      </c>
      <c r="AD24" s="51">
        <f t="shared" si="2"/>
        <v>44278</v>
      </c>
      <c r="AE24" s="51">
        <f t="shared" si="2"/>
        <v>0</v>
      </c>
      <c r="AF24" s="51">
        <f t="shared" si="2"/>
        <v>35953</v>
      </c>
      <c r="AG24" s="51">
        <f t="shared" si="2"/>
        <v>2325</v>
      </c>
      <c r="AH24" s="53">
        <f t="shared" si="2"/>
        <v>261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12779</v>
      </c>
      <c r="G25" s="32">
        <f>F25/208*25</f>
        <v>1535.9375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7770</v>
      </c>
      <c r="U25" s="32">
        <f>T25/215*25</f>
        <v>903.48837209302314</v>
      </c>
      <c r="V25" s="47" t="s">
        <v>40</v>
      </c>
      <c r="W25" s="33">
        <v>6339.4</v>
      </c>
      <c r="X25" s="47"/>
      <c r="Y25" s="55">
        <f>Z25*2.43</f>
        <v>3421.44</v>
      </c>
      <c r="Z25" s="31">
        <v>1408</v>
      </c>
      <c r="AA25" s="38">
        <v>14</v>
      </c>
      <c r="AB25" s="47">
        <v>0</v>
      </c>
      <c r="AC25" s="38">
        <f>4448+216</f>
        <v>4664</v>
      </c>
      <c r="AD25" s="47">
        <v>5635</v>
      </c>
      <c r="AE25" s="47">
        <v>0</v>
      </c>
      <c r="AF25" s="47">
        <f>3040+1307</f>
        <v>4347</v>
      </c>
      <c r="AG25" s="38">
        <v>300</v>
      </c>
      <c r="AH25" s="56">
        <v>30</v>
      </c>
    </row>
    <row r="26" spans="1:36" s="4" customFormat="1" ht="100.5" customHeight="1" thickBot="1" x14ac:dyDescent="0.25">
      <c r="A26" s="57">
        <v>45410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42275</v>
      </c>
      <c r="G26" s="59">
        <f t="shared" si="3"/>
        <v>5081.1298076923076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54018</v>
      </c>
      <c r="U26" s="59">
        <f t="shared" si="3"/>
        <v>6281.1627906976746</v>
      </c>
      <c r="V26" s="60" t="e">
        <f t="shared" si="3"/>
        <v>#REF!</v>
      </c>
      <c r="W26" s="60">
        <f t="shared" si="3"/>
        <v>82347</v>
      </c>
      <c r="X26" s="60" t="e">
        <f t="shared" si="3"/>
        <v>#REF!</v>
      </c>
      <c r="Y26" s="61">
        <f>Y24-Y25</f>
        <v>15773.429999999998</v>
      </c>
      <c r="Z26" s="58">
        <f>Z24-Z25</f>
        <v>7251</v>
      </c>
      <c r="AA26" s="58">
        <f t="shared" si="3"/>
        <v>357</v>
      </c>
      <c r="AB26" s="60">
        <f>AB24-AB25</f>
        <v>1143</v>
      </c>
      <c r="AC26" s="58">
        <f>AC24-AC25</f>
        <v>35317</v>
      </c>
      <c r="AD26" s="60">
        <f>AD24-AD25</f>
        <v>38643</v>
      </c>
      <c r="AE26" s="60">
        <f>AE24-AE25</f>
        <v>0</v>
      </c>
      <c r="AF26" s="60">
        <f>AF24-AF25</f>
        <v>31606</v>
      </c>
      <c r="AG26" s="58">
        <f t="shared" ref="AG26" si="7">AG24-AG25</f>
        <v>2025</v>
      </c>
      <c r="AH26" s="62">
        <f>AH24-AH25</f>
        <v>231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2" zoomScale="78" zoomScaleNormal="78" workbookViewId="0">
      <selection activeCell="U30" sqref="U3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45411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22464</v>
      </c>
      <c r="G20" s="32">
        <f>F20/208*25</f>
        <v>2700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37840</v>
      </c>
      <c r="U20" s="34">
        <f>T20/215*25</f>
        <v>4400</v>
      </c>
      <c r="V20" s="33" t="e">
        <f>#REF!</f>
        <v>#REF!</v>
      </c>
      <c r="W20" s="33">
        <v>64775</v>
      </c>
      <c r="X20" s="33" t="e">
        <f>#REF!</f>
        <v>#REF!</v>
      </c>
      <c r="Y20" s="35">
        <v>1204.5</v>
      </c>
      <c r="Z20" s="31">
        <v>3950</v>
      </c>
      <c r="AA20" s="31">
        <v>150</v>
      </c>
      <c r="AB20" s="33">
        <v>0</v>
      </c>
      <c r="AC20" s="31">
        <v>17830</v>
      </c>
      <c r="AD20" s="33">
        <v>13680</v>
      </c>
      <c r="AE20" s="33">
        <v>0</v>
      </c>
      <c r="AF20" s="33">
        <v>14000</v>
      </c>
      <c r="AG20" s="31">
        <v>0</v>
      </c>
      <c r="AH20" s="36">
        <v>200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19811</v>
      </c>
      <c r="G21" s="32">
        <f>F21/208*25</f>
        <v>2381.1298076923076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16178</v>
      </c>
      <c r="U21" s="32">
        <f>T21/215*25</f>
        <v>1881.1627906976746</v>
      </c>
      <c r="V21" s="34"/>
      <c r="W21" s="34">
        <v>17572</v>
      </c>
      <c r="X21" s="34">
        <v>0</v>
      </c>
      <c r="Y21" s="32">
        <v>14568.930000000002</v>
      </c>
      <c r="Z21" s="38">
        <v>3301</v>
      </c>
      <c r="AA21" s="38">
        <v>207</v>
      </c>
      <c r="AB21" s="34">
        <v>1143</v>
      </c>
      <c r="AC21" s="38">
        <v>17487</v>
      </c>
      <c r="AD21" s="34">
        <v>24963</v>
      </c>
      <c r="AE21" s="34">
        <v>0</v>
      </c>
      <c r="AF21" s="34">
        <v>17606</v>
      </c>
      <c r="AG21" s="38">
        <v>2025</v>
      </c>
      <c r="AH21" s="39">
        <v>31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42275</v>
      </c>
      <c r="G22" s="43">
        <f t="shared" si="1"/>
        <v>5081.1298076923076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54018</v>
      </c>
      <c r="U22" s="43">
        <f t="shared" si="1"/>
        <v>6281.1627906976746</v>
      </c>
      <c r="V22" s="44" t="e">
        <f t="shared" si="1"/>
        <v>#REF!</v>
      </c>
      <c r="W22" s="44">
        <f t="shared" si="1"/>
        <v>82347</v>
      </c>
      <c r="X22" s="44" t="e">
        <f t="shared" si="1"/>
        <v>#REF!</v>
      </c>
      <c r="Y22" s="43">
        <f t="shared" si="1"/>
        <v>15773.430000000002</v>
      </c>
      <c r="Z22" s="42">
        <f t="shared" si="1"/>
        <v>7251</v>
      </c>
      <c r="AA22" s="42">
        <f t="shared" si="1"/>
        <v>357</v>
      </c>
      <c r="AB22" s="44">
        <f t="shared" si="1"/>
        <v>1143</v>
      </c>
      <c r="AC22" s="42">
        <f t="shared" si="1"/>
        <v>35317</v>
      </c>
      <c r="AD22" s="44">
        <f>SUM(AD20:AD21)</f>
        <v>38643</v>
      </c>
      <c r="AE22" s="44">
        <f t="shared" si="1"/>
        <v>0</v>
      </c>
      <c r="AF22" s="44">
        <f t="shared" si="1"/>
        <v>31606</v>
      </c>
      <c r="AG22" s="42">
        <f t="shared" si="1"/>
        <v>2025</v>
      </c>
      <c r="AH22" s="46">
        <f t="shared" si="1"/>
        <v>231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42275</v>
      </c>
      <c r="G24" s="52">
        <f t="shared" si="2"/>
        <v>5081.1298076923076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54018</v>
      </c>
      <c r="U24" s="52">
        <f t="shared" si="2"/>
        <v>6281.1627906976746</v>
      </c>
      <c r="V24" s="51" t="e">
        <f t="shared" si="2"/>
        <v>#REF!</v>
      </c>
      <c r="W24" s="51">
        <f t="shared" si="2"/>
        <v>82347</v>
      </c>
      <c r="X24" s="51" t="e">
        <f t="shared" si="2"/>
        <v>#REF!</v>
      </c>
      <c r="Y24" s="52">
        <f t="shared" si="2"/>
        <v>15773.430000000002</v>
      </c>
      <c r="Z24" s="51">
        <f t="shared" si="2"/>
        <v>7251</v>
      </c>
      <c r="AA24" s="51">
        <f t="shared" si="2"/>
        <v>357</v>
      </c>
      <c r="AB24" s="51">
        <f t="shared" si="2"/>
        <v>1143</v>
      </c>
      <c r="AC24" s="51">
        <f t="shared" si="2"/>
        <v>35317</v>
      </c>
      <c r="AD24" s="51">
        <f t="shared" si="2"/>
        <v>38643</v>
      </c>
      <c r="AE24" s="51">
        <f t="shared" si="2"/>
        <v>0</v>
      </c>
      <c r="AF24" s="51">
        <f t="shared" si="2"/>
        <v>31606</v>
      </c>
      <c r="AG24" s="51">
        <f t="shared" si="2"/>
        <v>2025</v>
      </c>
      <c r="AH24" s="53">
        <f t="shared" si="2"/>
        <v>231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6361</v>
      </c>
      <c r="G25" s="32">
        <f>F25/208*25</f>
        <v>764.54326923076928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4715</v>
      </c>
      <c r="U25" s="32">
        <f>T25/215*25</f>
        <v>548.25581395348843</v>
      </c>
      <c r="V25" s="47" t="s">
        <v>40</v>
      </c>
      <c r="W25" s="33">
        <v>3355</v>
      </c>
      <c r="X25" s="47"/>
      <c r="Y25" s="55">
        <f>Z25*2.43</f>
        <v>1649.97</v>
      </c>
      <c r="Z25" s="31">
        <v>679</v>
      </c>
      <c r="AA25" s="38">
        <v>4</v>
      </c>
      <c r="AB25" s="47">
        <v>0</v>
      </c>
      <c r="AC25" s="38">
        <f>185+2326</f>
        <v>2511</v>
      </c>
      <c r="AD25" s="47">
        <v>2898</v>
      </c>
      <c r="AE25" s="47">
        <v>0</v>
      </c>
      <c r="AF25" s="47">
        <f>1303+1070</f>
        <v>2373</v>
      </c>
      <c r="AG25" s="38">
        <v>0</v>
      </c>
      <c r="AH25" s="56">
        <v>26</v>
      </c>
    </row>
    <row r="26" spans="1:36" s="4" customFormat="1" ht="100.5" customHeight="1" thickBot="1" x14ac:dyDescent="0.25">
      <c r="A26" s="57">
        <v>45417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35914</v>
      </c>
      <c r="G26" s="59">
        <f t="shared" si="3"/>
        <v>4316.5865384615381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49303</v>
      </c>
      <c r="U26" s="59">
        <f t="shared" si="3"/>
        <v>5732.9069767441861</v>
      </c>
      <c r="V26" s="60" t="e">
        <f t="shared" si="3"/>
        <v>#REF!</v>
      </c>
      <c r="W26" s="60">
        <f t="shared" si="3"/>
        <v>78992</v>
      </c>
      <c r="X26" s="60" t="e">
        <f t="shared" si="3"/>
        <v>#REF!</v>
      </c>
      <c r="Y26" s="61">
        <f>Y24-Y25</f>
        <v>14123.460000000003</v>
      </c>
      <c r="Z26" s="58">
        <f>Z24-Z25</f>
        <v>6572</v>
      </c>
      <c r="AA26" s="58">
        <f t="shared" si="3"/>
        <v>353</v>
      </c>
      <c r="AB26" s="60">
        <f>AB24-AB25</f>
        <v>1143</v>
      </c>
      <c r="AC26" s="58">
        <f>AC24-AC25</f>
        <v>32806</v>
      </c>
      <c r="AD26" s="60">
        <f>AD24-AD25</f>
        <v>35745</v>
      </c>
      <c r="AE26" s="60">
        <f>AE24-AE25</f>
        <v>0</v>
      </c>
      <c r="AF26" s="60">
        <f>AF24-AF25</f>
        <v>29233</v>
      </c>
      <c r="AG26" s="58">
        <f t="shared" ref="AG26" si="7">AG24-AG25</f>
        <v>2025</v>
      </c>
      <c r="AH26" s="62">
        <f>AH24-AH25</f>
        <v>205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Y22" sqref="Y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45418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22464</v>
      </c>
      <c r="G20" s="32">
        <f>F20/208*25</f>
        <v>2700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37840</v>
      </c>
      <c r="U20" s="34">
        <f>T20/215*25</f>
        <v>4400</v>
      </c>
      <c r="V20" s="33" t="e">
        <f>#REF!</f>
        <v>#REF!</v>
      </c>
      <c r="W20" s="33">
        <v>64775</v>
      </c>
      <c r="X20" s="33" t="e">
        <f>#REF!</f>
        <v>#REF!</v>
      </c>
      <c r="Y20" s="35">
        <v>4204.5</v>
      </c>
      <c r="Z20" s="31">
        <v>3950</v>
      </c>
      <c r="AA20" s="31">
        <v>150</v>
      </c>
      <c r="AB20" s="33">
        <v>0</v>
      </c>
      <c r="AC20" s="31">
        <v>17830</v>
      </c>
      <c r="AD20" s="33">
        <v>13680</v>
      </c>
      <c r="AE20" s="33">
        <v>0</v>
      </c>
      <c r="AF20" s="33">
        <v>14000</v>
      </c>
      <c r="AG20" s="31">
        <v>0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13450</v>
      </c>
      <c r="G21" s="32">
        <f>F21/208*25</f>
        <v>1616.5865384615383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11463</v>
      </c>
      <c r="U21" s="32">
        <f>T21/215*25</f>
        <v>1332.9069767441861</v>
      </c>
      <c r="V21" s="34"/>
      <c r="W21" s="32">
        <v>14217.4</v>
      </c>
      <c r="X21" s="34">
        <v>0</v>
      </c>
      <c r="Y21" s="32">
        <v>9918.9599999999991</v>
      </c>
      <c r="Z21" s="38">
        <v>2622</v>
      </c>
      <c r="AA21" s="38">
        <v>203</v>
      </c>
      <c r="AB21" s="34">
        <v>1143</v>
      </c>
      <c r="AC21" s="38">
        <v>14976</v>
      </c>
      <c r="AD21" s="34">
        <v>22065</v>
      </c>
      <c r="AE21" s="34">
        <v>0</v>
      </c>
      <c r="AF21" s="34">
        <v>15233</v>
      </c>
      <c r="AG21" s="38">
        <v>2025</v>
      </c>
      <c r="AH21" s="39">
        <v>55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35914</v>
      </c>
      <c r="G22" s="43">
        <f t="shared" si="1"/>
        <v>4316.5865384615381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49303</v>
      </c>
      <c r="U22" s="43">
        <f t="shared" si="1"/>
        <v>5732.9069767441861</v>
      </c>
      <c r="V22" s="44" t="e">
        <f t="shared" si="1"/>
        <v>#REF!</v>
      </c>
      <c r="W22" s="45">
        <f t="shared" si="1"/>
        <v>78992.399999999994</v>
      </c>
      <c r="X22" s="44" t="e">
        <f t="shared" si="1"/>
        <v>#REF!</v>
      </c>
      <c r="Y22" s="43">
        <f t="shared" si="1"/>
        <v>14123.46</v>
      </c>
      <c r="Z22" s="42">
        <f t="shared" si="1"/>
        <v>6572</v>
      </c>
      <c r="AA22" s="42">
        <f t="shared" si="1"/>
        <v>353</v>
      </c>
      <c r="AB22" s="44">
        <f t="shared" si="1"/>
        <v>1143</v>
      </c>
      <c r="AC22" s="42">
        <f t="shared" si="1"/>
        <v>32806</v>
      </c>
      <c r="AD22" s="44">
        <f>SUM(AD20:AD21)</f>
        <v>35745</v>
      </c>
      <c r="AE22" s="44">
        <f t="shared" si="1"/>
        <v>0</v>
      </c>
      <c r="AF22" s="44">
        <f t="shared" si="1"/>
        <v>29233</v>
      </c>
      <c r="AG22" s="42">
        <f t="shared" si="1"/>
        <v>2025</v>
      </c>
      <c r="AH22" s="46">
        <f t="shared" si="1"/>
        <v>205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35914</v>
      </c>
      <c r="G24" s="52">
        <f t="shared" si="2"/>
        <v>4316.5865384615381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49303</v>
      </c>
      <c r="U24" s="52">
        <f t="shared" si="2"/>
        <v>5732.9069767441861</v>
      </c>
      <c r="V24" s="51" t="e">
        <f t="shared" si="2"/>
        <v>#REF!</v>
      </c>
      <c r="W24" s="52">
        <f t="shared" si="2"/>
        <v>78992.399999999994</v>
      </c>
      <c r="X24" s="51" t="e">
        <f t="shared" si="2"/>
        <v>#REF!</v>
      </c>
      <c r="Y24" s="52">
        <f t="shared" si="2"/>
        <v>14123.46</v>
      </c>
      <c r="Z24" s="51">
        <f t="shared" si="2"/>
        <v>6572</v>
      </c>
      <c r="AA24" s="51">
        <f t="shared" si="2"/>
        <v>353</v>
      </c>
      <c r="AB24" s="51">
        <f t="shared" si="2"/>
        <v>1143</v>
      </c>
      <c r="AC24" s="51">
        <f t="shared" si="2"/>
        <v>32806</v>
      </c>
      <c r="AD24" s="51">
        <f t="shared" si="2"/>
        <v>35745</v>
      </c>
      <c r="AE24" s="51">
        <f t="shared" si="2"/>
        <v>0</v>
      </c>
      <c r="AF24" s="51">
        <f t="shared" si="2"/>
        <v>29233</v>
      </c>
      <c r="AG24" s="51">
        <f t="shared" si="2"/>
        <v>2025</v>
      </c>
      <c r="AH24" s="53">
        <f t="shared" si="2"/>
        <v>205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10670</v>
      </c>
      <c r="G25" s="32">
        <f>F25/208*25</f>
        <v>1282.4519230769231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7428</v>
      </c>
      <c r="U25" s="32">
        <f>T25/215*25</f>
        <v>863.7209302325582</v>
      </c>
      <c r="V25" s="47" t="s">
        <v>40</v>
      </c>
      <c r="W25" s="33">
        <v>5758.4</v>
      </c>
      <c r="X25" s="47"/>
      <c r="Y25" s="55">
        <f>Z25*2.43</f>
        <v>2857.6800000000003</v>
      </c>
      <c r="Z25" s="31">
        <v>1176</v>
      </c>
      <c r="AA25" s="38">
        <v>5</v>
      </c>
      <c r="AB25" s="47">
        <v>0</v>
      </c>
      <c r="AC25" s="38">
        <f>40+4406</f>
        <v>4446</v>
      </c>
      <c r="AD25" s="47">
        <v>4898</v>
      </c>
      <c r="AE25" s="47">
        <v>0</v>
      </c>
      <c r="AF25" s="47">
        <f>3564+527</f>
        <v>4091</v>
      </c>
      <c r="AG25" s="38">
        <v>0</v>
      </c>
      <c r="AH25" s="56">
        <v>24</v>
      </c>
    </row>
    <row r="26" spans="1:36" s="4" customFormat="1" ht="100.5" customHeight="1" thickBot="1" x14ac:dyDescent="0.25">
      <c r="A26" s="57">
        <v>45423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25244</v>
      </c>
      <c r="G26" s="59">
        <f t="shared" si="3"/>
        <v>3034.1346153846152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41875</v>
      </c>
      <c r="U26" s="59">
        <f t="shared" si="3"/>
        <v>4869.1860465116279</v>
      </c>
      <c r="V26" s="60" t="e">
        <f t="shared" si="3"/>
        <v>#REF!</v>
      </c>
      <c r="W26" s="60">
        <f t="shared" si="3"/>
        <v>73234</v>
      </c>
      <c r="X26" s="60" t="e">
        <f t="shared" si="3"/>
        <v>#REF!</v>
      </c>
      <c r="Y26" s="61">
        <f>Y24-Y25</f>
        <v>11265.779999999999</v>
      </c>
      <c r="Z26" s="58">
        <f>Z24-Z25</f>
        <v>5396</v>
      </c>
      <c r="AA26" s="58">
        <f t="shared" si="3"/>
        <v>348</v>
      </c>
      <c r="AB26" s="60">
        <f>AB24-AB25</f>
        <v>1143</v>
      </c>
      <c r="AC26" s="58">
        <f>AC24-AC25</f>
        <v>28360</v>
      </c>
      <c r="AD26" s="60">
        <f>AD24-AD25</f>
        <v>30847</v>
      </c>
      <c r="AE26" s="60">
        <f>AE24-AE25</f>
        <v>0</v>
      </c>
      <c r="AF26" s="60">
        <f>AF24-AF25</f>
        <v>25142</v>
      </c>
      <c r="AG26" s="58">
        <f t="shared" ref="AG26" si="7">AG24-AG25</f>
        <v>2025</v>
      </c>
      <c r="AH26" s="62">
        <f>AH24-AH25</f>
        <v>181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9" width="12.710937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45425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11648</v>
      </c>
      <c r="G20" s="32">
        <f>F20/208*25</f>
        <v>1400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24940</v>
      </c>
      <c r="U20" s="34">
        <f>T20/215*25</f>
        <v>2900</v>
      </c>
      <c r="V20" s="33" t="e">
        <f>#REF!</f>
        <v>#REF!</v>
      </c>
      <c r="W20" s="33">
        <v>60025</v>
      </c>
      <c r="X20" s="33" t="e">
        <f>#REF!</f>
        <v>#REF!</v>
      </c>
      <c r="Y20" s="35">
        <v>1774.5</v>
      </c>
      <c r="Z20" s="31">
        <v>2950</v>
      </c>
      <c r="AA20" s="31">
        <v>150</v>
      </c>
      <c r="AB20" s="33">
        <v>0</v>
      </c>
      <c r="AC20" s="31">
        <v>13330</v>
      </c>
      <c r="AD20" s="33">
        <v>8640</v>
      </c>
      <c r="AE20" s="33">
        <v>0</v>
      </c>
      <c r="AF20" s="33">
        <v>12000</v>
      </c>
      <c r="AG20" s="31">
        <v>0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13596</v>
      </c>
      <c r="G21" s="32">
        <f>F21/208*25</f>
        <v>1634.1346153846152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16935</v>
      </c>
      <c r="U21" s="32">
        <f>T21/215*25</f>
        <v>1969.1860465116279</v>
      </c>
      <c r="V21" s="34"/>
      <c r="W21" s="32">
        <v>13209</v>
      </c>
      <c r="X21" s="34">
        <v>0</v>
      </c>
      <c r="Y21" s="32">
        <v>9491.2799999999988</v>
      </c>
      <c r="Z21" s="38">
        <v>2446</v>
      </c>
      <c r="AA21" s="38">
        <v>198</v>
      </c>
      <c r="AB21" s="34">
        <v>1143</v>
      </c>
      <c r="AC21" s="38">
        <v>15020</v>
      </c>
      <c r="AD21" s="34">
        <f>22207+10</f>
        <v>22217</v>
      </c>
      <c r="AE21" s="34">
        <v>0</v>
      </c>
      <c r="AF21" s="34">
        <v>13142</v>
      </c>
      <c r="AG21" s="38">
        <v>2025</v>
      </c>
      <c r="AH21" s="39">
        <v>31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25244</v>
      </c>
      <c r="G22" s="43">
        <f t="shared" si="1"/>
        <v>3034.1346153846152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41875</v>
      </c>
      <c r="U22" s="43">
        <f t="shared" si="1"/>
        <v>4869.1860465116279</v>
      </c>
      <c r="V22" s="44" t="e">
        <f t="shared" si="1"/>
        <v>#REF!</v>
      </c>
      <c r="W22" s="45">
        <f t="shared" si="1"/>
        <v>73234</v>
      </c>
      <c r="X22" s="44" t="e">
        <f t="shared" si="1"/>
        <v>#REF!</v>
      </c>
      <c r="Y22" s="43">
        <f t="shared" si="1"/>
        <v>11265.779999999999</v>
      </c>
      <c r="Z22" s="42">
        <f t="shared" si="1"/>
        <v>5396</v>
      </c>
      <c r="AA22" s="42">
        <f t="shared" si="1"/>
        <v>348</v>
      </c>
      <c r="AB22" s="44">
        <f t="shared" si="1"/>
        <v>1143</v>
      </c>
      <c r="AC22" s="42">
        <f t="shared" si="1"/>
        <v>28350</v>
      </c>
      <c r="AD22" s="44">
        <f>SUM(AD20:AD21)</f>
        <v>30857</v>
      </c>
      <c r="AE22" s="44">
        <f t="shared" si="1"/>
        <v>0</v>
      </c>
      <c r="AF22" s="44">
        <f t="shared" si="1"/>
        <v>25142</v>
      </c>
      <c r="AG22" s="42">
        <f t="shared" si="1"/>
        <v>2025</v>
      </c>
      <c r="AH22" s="46">
        <f t="shared" si="1"/>
        <v>181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f>150*208</f>
        <v>31200</v>
      </c>
      <c r="G23" s="32">
        <f>F23/208*25</f>
        <v>3750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150*215</f>
        <v>32250</v>
      </c>
      <c r="U23" s="32">
        <f>T23/215*25</f>
        <v>3750</v>
      </c>
      <c r="V23" s="31"/>
      <c r="W23" s="31"/>
      <c r="X23" s="31"/>
      <c r="Y23" s="31">
        <v>10000</v>
      </c>
      <c r="Z23" s="31">
        <v>4000</v>
      </c>
      <c r="AA23" s="31"/>
      <c r="AB23" s="31"/>
      <c r="AC23" s="31">
        <v>15000</v>
      </c>
      <c r="AD23" s="31">
        <v>15120</v>
      </c>
      <c r="AE23" s="31"/>
      <c r="AF23" s="48">
        <v>13500</v>
      </c>
      <c r="AG23" s="31"/>
      <c r="AH23" s="49">
        <v>150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56444</v>
      </c>
      <c r="G24" s="52">
        <f t="shared" si="2"/>
        <v>6784.1346153846152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74125</v>
      </c>
      <c r="U24" s="52">
        <f t="shared" si="2"/>
        <v>8619.1860465116279</v>
      </c>
      <c r="V24" s="51" t="e">
        <f t="shared" si="2"/>
        <v>#REF!</v>
      </c>
      <c r="W24" s="52">
        <f t="shared" si="2"/>
        <v>73234</v>
      </c>
      <c r="X24" s="51" t="e">
        <f t="shared" si="2"/>
        <v>#REF!</v>
      </c>
      <c r="Y24" s="52">
        <f t="shared" si="2"/>
        <v>21265.78</v>
      </c>
      <c r="Z24" s="51">
        <f t="shared" si="2"/>
        <v>9396</v>
      </c>
      <c r="AA24" s="51">
        <f t="shared" si="2"/>
        <v>348</v>
      </c>
      <c r="AB24" s="51">
        <f t="shared" si="2"/>
        <v>1143</v>
      </c>
      <c r="AC24" s="51">
        <f t="shared" si="2"/>
        <v>43350</v>
      </c>
      <c r="AD24" s="51">
        <f t="shared" si="2"/>
        <v>45977</v>
      </c>
      <c r="AE24" s="51">
        <f t="shared" si="2"/>
        <v>0</v>
      </c>
      <c r="AF24" s="51">
        <f t="shared" si="2"/>
        <v>38642</v>
      </c>
      <c r="AG24" s="51">
        <f t="shared" si="2"/>
        <v>2025</v>
      </c>
      <c r="AH24" s="53">
        <f t="shared" si="2"/>
        <v>331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10219</v>
      </c>
      <c r="G25" s="32">
        <f>F25/208*25</f>
        <v>1228.2451923076924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6015</v>
      </c>
      <c r="U25" s="32">
        <f>T25/215*25</f>
        <v>699.41860465116281</v>
      </c>
      <c r="V25" s="47" t="s">
        <v>40</v>
      </c>
      <c r="W25" s="33">
        <v>5748.4</v>
      </c>
      <c r="X25" s="47"/>
      <c r="Y25" s="55">
        <f>Z25*2.43</f>
        <v>2502.9</v>
      </c>
      <c r="Z25" s="31">
        <v>1030</v>
      </c>
      <c r="AA25" s="38">
        <v>4</v>
      </c>
      <c r="AB25" s="47">
        <v>0</v>
      </c>
      <c r="AC25" s="38">
        <f>63+3912</f>
        <v>3975</v>
      </c>
      <c r="AD25" s="47">
        <v>5013</v>
      </c>
      <c r="AE25" s="47">
        <v>0</v>
      </c>
      <c r="AF25" s="47">
        <f>26+3750</f>
        <v>3776</v>
      </c>
      <c r="AG25" s="38">
        <v>0</v>
      </c>
      <c r="AH25" s="56">
        <v>20</v>
      </c>
    </row>
    <row r="26" spans="1:36" s="4" customFormat="1" ht="100.5" customHeight="1" thickBot="1" x14ac:dyDescent="0.25">
      <c r="A26" s="57">
        <v>45431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46225</v>
      </c>
      <c r="G26" s="59">
        <f t="shared" si="3"/>
        <v>5555.8894230769229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68110</v>
      </c>
      <c r="U26" s="59">
        <f t="shared" si="3"/>
        <v>7919.7674418604647</v>
      </c>
      <c r="V26" s="60" t="e">
        <f t="shared" si="3"/>
        <v>#REF!</v>
      </c>
      <c r="W26" s="60">
        <f t="shared" si="3"/>
        <v>67485.600000000006</v>
      </c>
      <c r="X26" s="60" t="e">
        <f t="shared" si="3"/>
        <v>#REF!</v>
      </c>
      <c r="Y26" s="61">
        <f>Y24-Y25</f>
        <v>18762.879999999997</v>
      </c>
      <c r="Z26" s="58">
        <f>Z24-Z25</f>
        <v>8366</v>
      </c>
      <c r="AA26" s="58">
        <f t="shared" si="3"/>
        <v>344</v>
      </c>
      <c r="AB26" s="60">
        <f>AB24-AB25</f>
        <v>1143</v>
      </c>
      <c r="AC26" s="58">
        <f>AC24-AC25</f>
        <v>39375</v>
      </c>
      <c r="AD26" s="60">
        <f>AD24-AD25</f>
        <v>40964</v>
      </c>
      <c r="AE26" s="60">
        <f>AE24-AE25</f>
        <v>0</v>
      </c>
      <c r="AF26" s="60">
        <f>AF24-AF25</f>
        <v>34866</v>
      </c>
      <c r="AG26" s="58">
        <f t="shared" ref="AG26" si="7">AG24-AG25</f>
        <v>2025</v>
      </c>
      <c r="AH26" s="62">
        <f>AH24-AH25</f>
        <v>311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AC25" sqref="AC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45432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32448</v>
      </c>
      <c r="G20" s="32">
        <f>F20/208*25</f>
        <v>3900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50095</v>
      </c>
      <c r="U20" s="34">
        <f>T20/215*25</f>
        <v>5825</v>
      </c>
      <c r="V20" s="33" t="e">
        <f>#REF!</f>
        <v>#REF!</v>
      </c>
      <c r="W20" s="33">
        <v>51700</v>
      </c>
      <c r="X20" s="33" t="e">
        <f>#REF!</f>
        <v>#REF!</v>
      </c>
      <c r="Y20" s="35">
        <v>8129.5</v>
      </c>
      <c r="Z20" s="31">
        <v>5450</v>
      </c>
      <c r="AA20" s="31">
        <v>150</v>
      </c>
      <c r="AB20" s="33">
        <v>0</v>
      </c>
      <c r="AC20" s="31">
        <v>22830</v>
      </c>
      <c r="AD20" s="33">
        <v>15120</v>
      </c>
      <c r="AE20" s="33">
        <v>0</v>
      </c>
      <c r="AF20" s="33">
        <v>16900</v>
      </c>
      <c r="AG20" s="31">
        <v>0</v>
      </c>
      <c r="AH20" s="36">
        <v>240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13777</v>
      </c>
      <c r="G21" s="32">
        <f>F21/208*25</f>
        <v>1655.8894230769231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18015</v>
      </c>
      <c r="U21" s="32">
        <f>T21/215*25</f>
        <v>2094.7674418604652</v>
      </c>
      <c r="V21" s="34"/>
      <c r="W21" s="32">
        <v>15785</v>
      </c>
      <c r="X21" s="34">
        <v>0</v>
      </c>
      <c r="Y21" s="32">
        <v>10633.38</v>
      </c>
      <c r="Z21" s="38">
        <v>2916</v>
      </c>
      <c r="AA21" s="38">
        <v>194</v>
      </c>
      <c r="AB21" s="34">
        <v>1143</v>
      </c>
      <c r="AC21" s="38">
        <v>16545</v>
      </c>
      <c r="AD21" s="34">
        <v>25844</v>
      </c>
      <c r="AE21" s="34">
        <v>0</v>
      </c>
      <c r="AF21" s="34">
        <v>15966</v>
      </c>
      <c r="AG21" s="38">
        <v>2025</v>
      </c>
      <c r="AH21" s="39">
        <v>71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46225</v>
      </c>
      <c r="G22" s="43">
        <f t="shared" si="1"/>
        <v>5555.8894230769229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68110</v>
      </c>
      <c r="U22" s="43">
        <f t="shared" si="1"/>
        <v>7919.7674418604656</v>
      </c>
      <c r="V22" s="44" t="e">
        <f t="shared" si="1"/>
        <v>#REF!</v>
      </c>
      <c r="W22" s="45">
        <f t="shared" si="1"/>
        <v>67485</v>
      </c>
      <c r="X22" s="44" t="e">
        <f t="shared" si="1"/>
        <v>#REF!</v>
      </c>
      <c r="Y22" s="43">
        <f t="shared" si="1"/>
        <v>18762.879999999997</v>
      </c>
      <c r="Z22" s="42">
        <f t="shared" si="1"/>
        <v>8366</v>
      </c>
      <c r="AA22" s="42">
        <f t="shared" si="1"/>
        <v>344</v>
      </c>
      <c r="AB22" s="44">
        <f t="shared" si="1"/>
        <v>1143</v>
      </c>
      <c r="AC22" s="42">
        <f t="shared" si="1"/>
        <v>39375</v>
      </c>
      <c r="AD22" s="44">
        <f>SUM(AD20:AD21)</f>
        <v>40964</v>
      </c>
      <c r="AE22" s="44">
        <f t="shared" si="1"/>
        <v>0</v>
      </c>
      <c r="AF22" s="44">
        <f>SUM(AF20:AF21)</f>
        <v>32866</v>
      </c>
      <c r="AG22" s="42">
        <f t="shared" si="1"/>
        <v>2025</v>
      </c>
      <c r="AH22" s="46">
        <f t="shared" si="1"/>
        <v>311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46225</v>
      </c>
      <c r="G24" s="52">
        <f t="shared" si="2"/>
        <v>5555.8894230769229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68110</v>
      </c>
      <c r="U24" s="52">
        <f t="shared" si="2"/>
        <v>7919.7674418604656</v>
      </c>
      <c r="V24" s="51" t="e">
        <f t="shared" si="2"/>
        <v>#REF!</v>
      </c>
      <c r="W24" s="52">
        <f t="shared" si="2"/>
        <v>67485</v>
      </c>
      <c r="X24" s="51" t="e">
        <f t="shared" si="2"/>
        <v>#REF!</v>
      </c>
      <c r="Y24" s="52">
        <f t="shared" si="2"/>
        <v>18762.879999999997</v>
      </c>
      <c r="Z24" s="51">
        <f t="shared" si="2"/>
        <v>8366</v>
      </c>
      <c r="AA24" s="51">
        <f t="shared" si="2"/>
        <v>344</v>
      </c>
      <c r="AB24" s="51">
        <f t="shared" si="2"/>
        <v>1143</v>
      </c>
      <c r="AC24" s="51">
        <f t="shared" si="2"/>
        <v>39375</v>
      </c>
      <c r="AD24" s="51">
        <f t="shared" si="2"/>
        <v>40964</v>
      </c>
      <c r="AE24" s="51">
        <f t="shared" si="2"/>
        <v>0</v>
      </c>
      <c r="AF24" s="51">
        <f t="shared" si="2"/>
        <v>32866</v>
      </c>
      <c r="AG24" s="51">
        <f t="shared" si="2"/>
        <v>2025</v>
      </c>
      <c r="AH24" s="53">
        <f t="shared" si="2"/>
        <v>311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10825</v>
      </c>
      <c r="G25" s="32">
        <f>F25/208*25</f>
        <v>1301.0817307692309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6365</v>
      </c>
      <c r="U25" s="32">
        <f>T25/215*25</f>
        <v>740.11627906976742</v>
      </c>
      <c r="V25" s="47" t="s">
        <v>40</v>
      </c>
      <c r="W25" s="33">
        <v>5778.2</v>
      </c>
      <c r="X25" s="47"/>
      <c r="Y25" s="55">
        <v>2604.96</v>
      </c>
      <c r="Z25" s="31">
        <v>1072</v>
      </c>
      <c r="AA25" s="38">
        <v>3</v>
      </c>
      <c r="AB25" s="47">
        <v>0</v>
      </c>
      <c r="AC25" s="38">
        <v>3891</v>
      </c>
      <c r="AD25" s="47">
        <v>5238</v>
      </c>
      <c r="AE25" s="47">
        <v>0</v>
      </c>
      <c r="AF25" s="47">
        <v>3831</v>
      </c>
      <c r="AG25" s="38">
        <v>0</v>
      </c>
      <c r="AH25" s="56">
        <v>16</v>
      </c>
    </row>
    <row r="26" spans="1:36" s="4" customFormat="1" ht="100.5" customHeight="1" thickBot="1" x14ac:dyDescent="0.25">
      <c r="A26" s="57">
        <v>45438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35400</v>
      </c>
      <c r="G26" s="59">
        <f t="shared" si="3"/>
        <v>4254.8076923076915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61745</v>
      </c>
      <c r="U26" s="59">
        <f t="shared" si="3"/>
        <v>7179.6511627906984</v>
      </c>
      <c r="V26" s="60" t="e">
        <f t="shared" si="3"/>
        <v>#REF!</v>
      </c>
      <c r="W26" s="60">
        <f t="shared" si="3"/>
        <v>61706.8</v>
      </c>
      <c r="X26" s="60" t="e">
        <f t="shared" si="3"/>
        <v>#REF!</v>
      </c>
      <c r="Y26" s="61">
        <f>Y24-Y25</f>
        <v>16157.919999999998</v>
      </c>
      <c r="Z26" s="58">
        <f>Z24-Z25</f>
        <v>7294</v>
      </c>
      <c r="AA26" s="58">
        <f t="shared" si="3"/>
        <v>341</v>
      </c>
      <c r="AB26" s="60">
        <f>AB24-AB25</f>
        <v>1143</v>
      </c>
      <c r="AC26" s="58">
        <f>AC24-AC25</f>
        <v>35484</v>
      </c>
      <c r="AD26" s="60">
        <f>AD24-AD25</f>
        <v>35726</v>
      </c>
      <c r="AE26" s="60">
        <f>AE24-AE25</f>
        <v>0</v>
      </c>
      <c r="AF26" s="60">
        <f>AF24-AF25</f>
        <v>29035</v>
      </c>
      <c r="AG26" s="58">
        <f t="shared" ref="AG26" si="7">AG24-AG25</f>
        <v>2025</v>
      </c>
      <c r="AH26" s="62">
        <f>AH24-AH25</f>
        <v>295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T25" sqref="T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45439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11648</v>
      </c>
      <c r="G20" s="32">
        <f>F20/208*25</f>
        <v>1400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37195</v>
      </c>
      <c r="U20" s="34">
        <f>T20/215*25</f>
        <v>4325</v>
      </c>
      <c r="V20" s="33" t="e">
        <f>#REF!</f>
        <v>#REF!</v>
      </c>
      <c r="W20" s="33">
        <v>44700</v>
      </c>
      <c r="X20" s="33" t="e">
        <f>#REF!</f>
        <v>#REF!</v>
      </c>
      <c r="Y20" s="35">
        <v>5213.5</v>
      </c>
      <c r="Z20" s="31">
        <v>4250</v>
      </c>
      <c r="AA20" s="31">
        <v>150</v>
      </c>
      <c r="AB20" s="33">
        <v>0</v>
      </c>
      <c r="AC20" s="31">
        <v>15330</v>
      </c>
      <c r="AD20" s="33">
        <v>9000</v>
      </c>
      <c r="AE20" s="33">
        <v>0</v>
      </c>
      <c r="AF20" s="33">
        <v>12400</v>
      </c>
      <c r="AG20" s="31">
        <v>0</v>
      </c>
      <c r="AH20" s="36">
        <v>240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23752</v>
      </c>
      <c r="G21" s="32">
        <f>F21/208*25</f>
        <v>2854.8076923076924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24550</v>
      </c>
      <c r="U21" s="32">
        <f>T21/215*25</f>
        <v>2854.6511627906975</v>
      </c>
      <c r="V21" s="34"/>
      <c r="W21" s="32">
        <v>17007.399999999998</v>
      </c>
      <c r="X21" s="34">
        <v>0</v>
      </c>
      <c r="Y21" s="32">
        <v>10944.420000000002</v>
      </c>
      <c r="Z21" s="38">
        <v>3044</v>
      </c>
      <c r="AA21" s="38">
        <v>191</v>
      </c>
      <c r="AB21" s="34">
        <v>1143</v>
      </c>
      <c r="AC21" s="38">
        <v>20154</v>
      </c>
      <c r="AD21" s="34">
        <v>26726</v>
      </c>
      <c r="AE21" s="34">
        <v>0</v>
      </c>
      <c r="AF21" s="34">
        <v>18635</v>
      </c>
      <c r="AG21" s="38">
        <v>2025</v>
      </c>
      <c r="AH21" s="39">
        <v>55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35400</v>
      </c>
      <c r="G22" s="43">
        <f t="shared" si="1"/>
        <v>4254.8076923076924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61745</v>
      </c>
      <c r="U22" s="43">
        <f t="shared" si="1"/>
        <v>7179.6511627906975</v>
      </c>
      <c r="V22" s="44" t="e">
        <f t="shared" si="1"/>
        <v>#REF!</v>
      </c>
      <c r="W22" s="45">
        <f t="shared" si="1"/>
        <v>61707.399999999994</v>
      </c>
      <c r="X22" s="44" t="e">
        <f t="shared" si="1"/>
        <v>#REF!</v>
      </c>
      <c r="Y22" s="43">
        <f t="shared" si="1"/>
        <v>16157.920000000002</v>
      </c>
      <c r="Z22" s="42">
        <f t="shared" si="1"/>
        <v>7294</v>
      </c>
      <c r="AA22" s="42">
        <f t="shared" si="1"/>
        <v>341</v>
      </c>
      <c r="AB22" s="44">
        <f t="shared" si="1"/>
        <v>1143</v>
      </c>
      <c r="AC22" s="42">
        <f t="shared" si="1"/>
        <v>35484</v>
      </c>
      <c r="AD22" s="44">
        <f>SUM(AD20:AD21)</f>
        <v>35726</v>
      </c>
      <c r="AE22" s="44">
        <f t="shared" si="1"/>
        <v>0</v>
      </c>
      <c r="AF22" s="44">
        <f>SUM(AF20:AF21)</f>
        <v>31035</v>
      </c>
      <c r="AG22" s="42">
        <f t="shared" si="1"/>
        <v>2025</v>
      </c>
      <c r="AH22" s="46">
        <f t="shared" si="1"/>
        <v>295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35400</v>
      </c>
      <c r="G24" s="52">
        <f t="shared" si="2"/>
        <v>4254.8076923076924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61745</v>
      </c>
      <c r="U24" s="52">
        <f t="shared" si="2"/>
        <v>7179.6511627906975</v>
      </c>
      <c r="V24" s="51" t="e">
        <f t="shared" si="2"/>
        <v>#REF!</v>
      </c>
      <c r="W24" s="52">
        <f t="shared" si="2"/>
        <v>61707.399999999994</v>
      </c>
      <c r="X24" s="51" t="e">
        <f t="shared" si="2"/>
        <v>#REF!</v>
      </c>
      <c r="Y24" s="52">
        <f t="shared" si="2"/>
        <v>16157.920000000002</v>
      </c>
      <c r="Z24" s="51">
        <f t="shared" si="2"/>
        <v>7294</v>
      </c>
      <c r="AA24" s="51">
        <f t="shared" si="2"/>
        <v>341</v>
      </c>
      <c r="AB24" s="51">
        <f t="shared" si="2"/>
        <v>1143</v>
      </c>
      <c r="AC24" s="51">
        <f t="shared" si="2"/>
        <v>35484</v>
      </c>
      <c r="AD24" s="51">
        <f t="shared" si="2"/>
        <v>35726</v>
      </c>
      <c r="AE24" s="51">
        <f t="shared" si="2"/>
        <v>0</v>
      </c>
      <c r="AF24" s="51">
        <f t="shared" si="2"/>
        <v>31035</v>
      </c>
      <c r="AG24" s="51">
        <f t="shared" si="2"/>
        <v>2025</v>
      </c>
      <c r="AH24" s="53">
        <f t="shared" si="2"/>
        <v>295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9803</v>
      </c>
      <c r="G25" s="32">
        <f>F25/208*25</f>
        <v>1178.2451923076924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6822</v>
      </c>
      <c r="U25" s="32">
        <f>T25/215*25</f>
        <v>793.25581395348831</v>
      </c>
      <c r="V25" s="47" t="s">
        <v>40</v>
      </c>
      <c r="W25" s="33">
        <v>5801.4</v>
      </c>
      <c r="X25" s="47"/>
      <c r="Y25" s="55">
        <v>2702.1600000000003</v>
      </c>
      <c r="Z25" s="31">
        <v>1112</v>
      </c>
      <c r="AA25" s="38">
        <v>1</v>
      </c>
      <c r="AB25" s="47">
        <v>0</v>
      </c>
      <c r="AC25" s="38">
        <v>3727</v>
      </c>
      <c r="AD25" s="47">
        <v>5124</v>
      </c>
      <c r="AE25" s="47">
        <v>0</v>
      </c>
      <c r="AF25" s="47">
        <v>3490</v>
      </c>
      <c r="AG25" s="38">
        <v>0</v>
      </c>
      <c r="AH25" s="56">
        <v>24</v>
      </c>
    </row>
    <row r="26" spans="1:36" s="4" customFormat="1" ht="100.5" customHeight="1" thickBot="1" x14ac:dyDescent="0.25">
      <c r="A26" s="57">
        <v>45445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25597</v>
      </c>
      <c r="G26" s="59">
        <f t="shared" si="3"/>
        <v>3076.5625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54923</v>
      </c>
      <c r="U26" s="59">
        <f t="shared" si="3"/>
        <v>6386.395348837209</v>
      </c>
      <c r="V26" s="60" t="e">
        <f t="shared" si="3"/>
        <v>#REF!</v>
      </c>
      <c r="W26" s="60">
        <f t="shared" si="3"/>
        <v>55905.999999999993</v>
      </c>
      <c r="X26" s="60" t="e">
        <f t="shared" si="3"/>
        <v>#REF!</v>
      </c>
      <c r="Y26" s="61">
        <f>Y24-Y25</f>
        <v>13455.760000000002</v>
      </c>
      <c r="Z26" s="58">
        <f>Z24-Z25</f>
        <v>6182</v>
      </c>
      <c r="AA26" s="58">
        <f t="shared" si="3"/>
        <v>340</v>
      </c>
      <c r="AB26" s="60">
        <f>AB24-AB25</f>
        <v>1143</v>
      </c>
      <c r="AC26" s="58">
        <f>AC24-AC25</f>
        <v>31757</v>
      </c>
      <c r="AD26" s="60">
        <f>AD24-AD25</f>
        <v>30602</v>
      </c>
      <c r="AE26" s="60">
        <f>AE24-AE25</f>
        <v>0</v>
      </c>
      <c r="AF26" s="60">
        <f>AF24-AF25</f>
        <v>27545</v>
      </c>
      <c r="AG26" s="58">
        <f t="shared" ref="AG26" si="7">AG24-AG25</f>
        <v>2025</v>
      </c>
      <c r="AH26" s="62">
        <f>AH24-AH25</f>
        <v>271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68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8" zoomScaleNormal="78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45446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5408</v>
      </c>
      <c r="G20" s="32">
        <f>F20/208*25</f>
        <v>650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33970</v>
      </c>
      <c r="U20" s="34">
        <f>T20/215*25</f>
        <v>3950</v>
      </c>
      <c r="V20" s="33" t="e">
        <f>#REF!</f>
        <v>#REF!</v>
      </c>
      <c r="W20" s="33">
        <v>39700</v>
      </c>
      <c r="X20" s="33" t="e">
        <f>#REF!</f>
        <v>#REF!</v>
      </c>
      <c r="Y20" s="35">
        <v>1356.1499999999996</v>
      </c>
      <c r="Z20" s="31">
        <v>2750</v>
      </c>
      <c r="AA20" s="31">
        <v>150</v>
      </c>
      <c r="AB20" s="33">
        <v>0</v>
      </c>
      <c r="AC20" s="31">
        <v>15330</v>
      </c>
      <c r="AD20" s="33">
        <v>2160</v>
      </c>
      <c r="AE20" s="33">
        <v>0</v>
      </c>
      <c r="AF20" s="33">
        <v>9400</v>
      </c>
      <c r="AG20" s="31">
        <v>0</v>
      </c>
      <c r="AH20" s="36">
        <v>220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20189</v>
      </c>
      <c r="G21" s="32">
        <f>F21/208*25</f>
        <v>2426.5625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20953</v>
      </c>
      <c r="U21" s="32">
        <f>T21/215*25</f>
        <v>2436.3953488372094</v>
      </c>
      <c r="V21" s="34"/>
      <c r="W21" s="32">
        <v>16205.999999999998</v>
      </c>
      <c r="X21" s="34">
        <v>0</v>
      </c>
      <c r="Y21" s="32">
        <v>12099.609999999999</v>
      </c>
      <c r="Z21" s="38">
        <v>3432</v>
      </c>
      <c r="AA21" s="38">
        <v>190</v>
      </c>
      <c r="AB21" s="34">
        <v>1143</v>
      </c>
      <c r="AC21" s="38">
        <v>16427</v>
      </c>
      <c r="AD21" s="34">
        <v>28442</v>
      </c>
      <c r="AE21" s="34">
        <v>0</v>
      </c>
      <c r="AF21" s="34">
        <v>18145</v>
      </c>
      <c r="AG21" s="38">
        <v>2025</v>
      </c>
      <c r="AH21" s="39">
        <v>51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25597</v>
      </c>
      <c r="G22" s="43">
        <f t="shared" si="1"/>
        <v>3076.5625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54923</v>
      </c>
      <c r="U22" s="43">
        <f t="shared" si="1"/>
        <v>6386.3953488372099</v>
      </c>
      <c r="V22" s="44" t="e">
        <f t="shared" si="1"/>
        <v>#REF!</v>
      </c>
      <c r="W22" s="45">
        <f t="shared" si="1"/>
        <v>55906</v>
      </c>
      <c r="X22" s="44" t="e">
        <f t="shared" si="1"/>
        <v>#REF!</v>
      </c>
      <c r="Y22" s="43">
        <f t="shared" si="1"/>
        <v>13455.759999999998</v>
      </c>
      <c r="Z22" s="42">
        <f t="shared" si="1"/>
        <v>6182</v>
      </c>
      <c r="AA22" s="42">
        <f t="shared" si="1"/>
        <v>340</v>
      </c>
      <c r="AB22" s="44">
        <f t="shared" si="1"/>
        <v>1143</v>
      </c>
      <c r="AC22" s="42">
        <f t="shared" si="1"/>
        <v>31757</v>
      </c>
      <c r="AD22" s="44">
        <f>SUM(AD20:AD21)</f>
        <v>30602</v>
      </c>
      <c r="AE22" s="44">
        <f t="shared" si="1"/>
        <v>0</v>
      </c>
      <c r="AF22" s="44">
        <f>SUM(AF20:AF21)</f>
        <v>27545</v>
      </c>
      <c r="AG22" s="42">
        <f t="shared" si="1"/>
        <v>2025</v>
      </c>
      <c r="AH22" s="46">
        <f t="shared" si="1"/>
        <v>271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f>150*208</f>
        <v>31200</v>
      </c>
      <c r="G23" s="32">
        <f>F23/208*25</f>
        <v>3750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150*215</f>
        <v>32250</v>
      </c>
      <c r="U23" s="32">
        <f>T23/215*25</f>
        <v>3750</v>
      </c>
      <c r="V23" s="31"/>
      <c r="W23" s="31"/>
      <c r="X23" s="31"/>
      <c r="Y23" s="31">
        <v>15000</v>
      </c>
      <c r="Z23" s="31">
        <v>4000</v>
      </c>
      <c r="AA23" s="31"/>
      <c r="AB23" s="31"/>
      <c r="AC23" s="31">
        <v>21000</v>
      </c>
      <c r="AD23" s="31">
        <v>13680</v>
      </c>
      <c r="AE23" s="31"/>
      <c r="AF23" s="48">
        <f>2000+11700</f>
        <v>13700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56797</v>
      </c>
      <c r="G24" s="52">
        <f t="shared" si="2"/>
        <v>6826.5625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87173</v>
      </c>
      <c r="U24" s="52">
        <f t="shared" si="2"/>
        <v>10136.39534883721</v>
      </c>
      <c r="V24" s="51" t="e">
        <f t="shared" si="2"/>
        <v>#REF!</v>
      </c>
      <c r="W24" s="52">
        <f t="shared" si="2"/>
        <v>55906</v>
      </c>
      <c r="X24" s="51" t="e">
        <f t="shared" si="2"/>
        <v>#REF!</v>
      </c>
      <c r="Y24" s="52">
        <f t="shared" si="2"/>
        <v>28455.759999999998</v>
      </c>
      <c r="Z24" s="51">
        <f t="shared" si="2"/>
        <v>10182</v>
      </c>
      <c r="AA24" s="51">
        <f t="shared" si="2"/>
        <v>340</v>
      </c>
      <c r="AB24" s="51">
        <f t="shared" si="2"/>
        <v>1143</v>
      </c>
      <c r="AC24" s="51">
        <f t="shared" si="2"/>
        <v>52757</v>
      </c>
      <c r="AD24" s="51">
        <f t="shared" si="2"/>
        <v>44282</v>
      </c>
      <c r="AE24" s="51">
        <f t="shared" si="2"/>
        <v>0</v>
      </c>
      <c r="AF24" s="51">
        <f t="shared" si="2"/>
        <v>41245</v>
      </c>
      <c r="AG24" s="51">
        <f t="shared" si="2"/>
        <v>2025</v>
      </c>
      <c r="AH24" s="53">
        <f t="shared" si="2"/>
        <v>271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f>D25/200*25</f>
        <v>0</v>
      </c>
      <c r="F25" s="31">
        <v>8544</v>
      </c>
      <c r="G25" s="32">
        <f>F25/208*25</f>
        <v>1026.9230769230769</v>
      </c>
      <c r="H25" s="47" t="e">
        <f>#REF!</f>
        <v>#REF!</v>
      </c>
      <c r="I25" s="47" t="e">
        <f>#REF!</f>
        <v>#REF!</v>
      </c>
      <c r="J25" s="47">
        <v>0</v>
      </c>
      <c r="K25" s="38">
        <f>J25/208*25</f>
        <v>0</v>
      </c>
      <c r="L25" s="47">
        <v>0</v>
      </c>
      <c r="M25" s="32">
        <f>L25/150*25</f>
        <v>0</v>
      </c>
      <c r="N25" s="47">
        <v>0</v>
      </c>
      <c r="O25" s="47">
        <f>N25/150*20</f>
        <v>0</v>
      </c>
      <c r="P25" s="47">
        <v>0</v>
      </c>
      <c r="Q25" s="32">
        <f>P25/38*25</f>
        <v>0</v>
      </c>
      <c r="R25" s="38">
        <v>0</v>
      </c>
      <c r="S25" s="32">
        <f>R25/135*25</f>
        <v>0</v>
      </c>
      <c r="T25" s="31">
        <v>10450</v>
      </c>
      <c r="U25" s="32">
        <f>T25/215*25</f>
        <v>1215.1162790697674</v>
      </c>
      <c r="V25" s="47" t="s">
        <v>40</v>
      </c>
      <c r="W25" s="33">
        <v>6784.8</v>
      </c>
      <c r="X25" s="47"/>
      <c r="Y25" s="55">
        <f>Z25*2.43</f>
        <v>3107.9700000000003</v>
      </c>
      <c r="Z25" s="31">
        <v>1279</v>
      </c>
      <c r="AA25" s="38">
        <v>6</v>
      </c>
      <c r="AB25" s="47">
        <v>0</v>
      </c>
      <c r="AC25" s="38">
        <v>5593</v>
      </c>
      <c r="AD25" s="47">
        <v>4599</v>
      </c>
      <c r="AE25" s="47">
        <v>0</v>
      </c>
      <c r="AF25" s="47">
        <v>4211</v>
      </c>
      <c r="AG25" s="38">
        <v>0</v>
      </c>
      <c r="AH25" s="56">
        <v>32</v>
      </c>
    </row>
    <row r="26" spans="1:36" s="4" customFormat="1" ht="100.5" customHeight="1" thickBot="1" x14ac:dyDescent="0.25">
      <c r="A26" s="57">
        <v>45452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48253</v>
      </c>
      <c r="G26" s="59">
        <f t="shared" si="3"/>
        <v>5799.6394230769229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76723</v>
      </c>
      <c r="U26" s="59">
        <f t="shared" si="3"/>
        <v>8921.2790697674427</v>
      </c>
      <c r="V26" s="60" t="e">
        <f t="shared" si="3"/>
        <v>#REF!</v>
      </c>
      <c r="W26" s="60">
        <f t="shared" si="3"/>
        <v>49121.2</v>
      </c>
      <c r="X26" s="60" t="e">
        <f t="shared" si="3"/>
        <v>#REF!</v>
      </c>
      <c r="Y26" s="61">
        <f>Y24-Y25</f>
        <v>25347.789999999997</v>
      </c>
      <c r="Z26" s="58">
        <f>Z24-Z25</f>
        <v>8903</v>
      </c>
      <c r="AA26" s="58">
        <f t="shared" si="3"/>
        <v>334</v>
      </c>
      <c r="AB26" s="60">
        <f>AB24-AB25</f>
        <v>1143</v>
      </c>
      <c r="AC26" s="58">
        <f>AC24-AC25</f>
        <v>47164</v>
      </c>
      <c r="AD26" s="60">
        <f>AD24-AD25</f>
        <v>39683</v>
      </c>
      <c r="AE26" s="60">
        <f>AE24-AE25</f>
        <v>0</v>
      </c>
      <c r="AF26" s="60">
        <f>AF24-AF25</f>
        <v>37034</v>
      </c>
      <c r="AG26" s="58">
        <f t="shared" ref="AG26" si="7">AG24-AG25</f>
        <v>2025</v>
      </c>
      <c r="AH26" s="62">
        <f>AH24-AH25</f>
        <v>239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58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AH26" sqref="AH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5.1406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148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45453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32448</v>
      </c>
      <c r="G20" s="32">
        <f>F20/208*25</f>
        <v>3900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57620</v>
      </c>
      <c r="U20" s="34">
        <f>T20/215*25</f>
        <v>6700</v>
      </c>
      <c r="V20" s="33" t="e">
        <f>#REF!</f>
        <v>#REF!</v>
      </c>
      <c r="W20" s="33">
        <v>33575</v>
      </c>
      <c r="X20" s="33" t="e">
        <f>#REF!</f>
        <v>#REF!</v>
      </c>
      <c r="Y20" s="35">
        <v>13561.65</v>
      </c>
      <c r="Z20" s="31">
        <v>5600</v>
      </c>
      <c r="AA20" s="31">
        <v>150</v>
      </c>
      <c r="AB20" s="33">
        <v>0</v>
      </c>
      <c r="AC20" s="31">
        <v>30330</v>
      </c>
      <c r="AD20" s="33">
        <v>12600</v>
      </c>
      <c r="AE20" s="33">
        <v>0</v>
      </c>
      <c r="AF20" s="33">
        <v>18400</v>
      </c>
      <c r="AG20" s="31">
        <v>0</v>
      </c>
      <c r="AH20" s="36">
        <v>210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15805</v>
      </c>
      <c r="G21" s="32">
        <f>F21/208*25</f>
        <v>1899.6394230769231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19103</v>
      </c>
      <c r="U21" s="32">
        <f>T21/215*25</f>
        <v>2221.2790697674418</v>
      </c>
      <c r="V21" s="34"/>
      <c r="W21" s="32">
        <v>15546.199999999999</v>
      </c>
      <c r="X21" s="34">
        <v>0</v>
      </c>
      <c r="Y21" s="32">
        <v>11786.139999999998</v>
      </c>
      <c r="Z21" s="38">
        <v>3303</v>
      </c>
      <c r="AA21" s="38">
        <v>184</v>
      </c>
      <c r="AB21" s="34">
        <v>1143</v>
      </c>
      <c r="AC21" s="38">
        <v>16834</v>
      </c>
      <c r="AD21" s="34">
        <v>27083</v>
      </c>
      <c r="AE21" s="34">
        <v>0</v>
      </c>
      <c r="AF21" s="34">
        <v>18634</v>
      </c>
      <c r="AG21" s="38">
        <v>2025</v>
      </c>
      <c r="AH21" s="39">
        <f>19+10</f>
        <v>29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48253</v>
      </c>
      <c r="G22" s="43">
        <f t="shared" si="1"/>
        <v>5799.6394230769229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76723</v>
      </c>
      <c r="U22" s="43">
        <f t="shared" si="1"/>
        <v>8921.2790697674427</v>
      </c>
      <c r="V22" s="44" t="e">
        <f t="shared" si="1"/>
        <v>#REF!</v>
      </c>
      <c r="W22" s="45">
        <f t="shared" si="1"/>
        <v>49121.2</v>
      </c>
      <c r="X22" s="44" t="e">
        <f t="shared" si="1"/>
        <v>#REF!</v>
      </c>
      <c r="Y22" s="43">
        <f t="shared" si="1"/>
        <v>25347.789999999997</v>
      </c>
      <c r="Z22" s="42">
        <f t="shared" si="1"/>
        <v>8903</v>
      </c>
      <c r="AA22" s="42">
        <f t="shared" si="1"/>
        <v>334</v>
      </c>
      <c r="AB22" s="44">
        <f t="shared" si="1"/>
        <v>1143</v>
      </c>
      <c r="AC22" s="42">
        <f t="shared" si="1"/>
        <v>47164</v>
      </c>
      <c r="AD22" s="44">
        <f>SUM(AD20:AD21)</f>
        <v>39683</v>
      </c>
      <c r="AE22" s="44">
        <f t="shared" si="1"/>
        <v>0</v>
      </c>
      <c r="AF22" s="44">
        <f>SUM(AF20:AF21)</f>
        <v>37034</v>
      </c>
      <c r="AG22" s="42">
        <f t="shared" si="1"/>
        <v>2025</v>
      </c>
      <c r="AH22" s="46">
        <f t="shared" si="1"/>
        <v>239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48253</v>
      </c>
      <c r="G24" s="52">
        <f t="shared" si="2"/>
        <v>5799.6394230769229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76723</v>
      </c>
      <c r="U24" s="52">
        <f t="shared" si="2"/>
        <v>8921.2790697674427</v>
      </c>
      <c r="V24" s="51" t="e">
        <f t="shared" si="2"/>
        <v>#REF!</v>
      </c>
      <c r="W24" s="52">
        <f t="shared" si="2"/>
        <v>49121.2</v>
      </c>
      <c r="X24" s="51" t="e">
        <f t="shared" si="2"/>
        <v>#REF!</v>
      </c>
      <c r="Y24" s="52">
        <f t="shared" si="2"/>
        <v>25347.789999999997</v>
      </c>
      <c r="Z24" s="51">
        <f t="shared" si="2"/>
        <v>8903</v>
      </c>
      <c r="AA24" s="51">
        <f t="shared" si="2"/>
        <v>334</v>
      </c>
      <c r="AB24" s="51">
        <f t="shared" si="2"/>
        <v>1143</v>
      </c>
      <c r="AC24" s="51">
        <f t="shared" si="2"/>
        <v>47164</v>
      </c>
      <c r="AD24" s="51">
        <f t="shared" si="2"/>
        <v>39683</v>
      </c>
      <c r="AE24" s="51">
        <f t="shared" si="2"/>
        <v>0</v>
      </c>
      <c r="AF24" s="51">
        <f t="shared" si="2"/>
        <v>37034</v>
      </c>
      <c r="AG24" s="51">
        <f t="shared" si="2"/>
        <v>2025</v>
      </c>
      <c r="AH24" s="53">
        <f t="shared" si="2"/>
        <v>239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8324</v>
      </c>
      <c r="G25" s="32"/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f>9380+150</f>
        <v>9530</v>
      </c>
      <c r="U25" s="32"/>
      <c r="V25" s="47"/>
      <c r="W25" s="33">
        <v>6203.4</v>
      </c>
      <c r="X25" s="47"/>
      <c r="Y25" s="55">
        <v>2690.01</v>
      </c>
      <c r="Z25" s="31">
        <v>1107</v>
      </c>
      <c r="AA25" s="38">
        <v>5</v>
      </c>
      <c r="AB25" s="47"/>
      <c r="AC25" s="38">
        <f>4680+25</f>
        <v>4705</v>
      </c>
      <c r="AD25" s="47">
        <v>4898</v>
      </c>
      <c r="AE25" s="47"/>
      <c r="AF25" s="47">
        <f>3889+25</f>
        <v>3914</v>
      </c>
      <c r="AG25" s="38"/>
      <c r="AH25" s="56">
        <v>22</v>
      </c>
    </row>
    <row r="26" spans="1:36" s="4" customFormat="1" ht="100.5" customHeight="1" thickBot="1" x14ac:dyDescent="0.25">
      <c r="A26" s="57">
        <v>45459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39929</v>
      </c>
      <c r="G26" s="59">
        <f t="shared" si="3"/>
        <v>5799.6394230769229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67193</v>
      </c>
      <c r="U26" s="59">
        <f t="shared" si="3"/>
        <v>8921.2790697674427</v>
      </c>
      <c r="V26" s="60" t="e">
        <f t="shared" si="3"/>
        <v>#REF!</v>
      </c>
      <c r="W26" s="60">
        <f t="shared" si="3"/>
        <v>42917.799999999996</v>
      </c>
      <c r="X26" s="60" t="e">
        <f t="shared" si="3"/>
        <v>#REF!</v>
      </c>
      <c r="Y26" s="61">
        <f>Y24-Y25</f>
        <v>22657.78</v>
      </c>
      <c r="Z26" s="58">
        <f>Z24-Z25</f>
        <v>7796</v>
      </c>
      <c r="AA26" s="58">
        <f t="shared" si="3"/>
        <v>329</v>
      </c>
      <c r="AB26" s="60">
        <f>AB24-AB25</f>
        <v>1143</v>
      </c>
      <c r="AC26" s="58">
        <f>AC24-AC25</f>
        <v>42459</v>
      </c>
      <c r="AD26" s="60">
        <f>AD24-AD25</f>
        <v>34785</v>
      </c>
      <c r="AE26" s="60">
        <f>AE24-AE25</f>
        <v>0</v>
      </c>
      <c r="AF26" s="60">
        <f>AF24-AF25</f>
        <v>33120</v>
      </c>
      <c r="AG26" s="58">
        <f t="shared" ref="AG26" si="7">AG24-AG25</f>
        <v>2025</v>
      </c>
      <c r="AH26" s="62">
        <f>AH24-AH25</f>
        <v>217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U23" sqref="U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150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45460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19968</v>
      </c>
      <c r="G20" s="32">
        <f>F20/208*25</f>
        <v>2400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54395</v>
      </c>
      <c r="U20" s="34">
        <f>T20/215*25</f>
        <v>6325</v>
      </c>
      <c r="V20" s="33" t="e">
        <f>#REF!</f>
        <v>#REF!</v>
      </c>
      <c r="W20" s="33">
        <v>28950</v>
      </c>
      <c r="X20" s="33" t="e">
        <f>#REF!</f>
        <v>#REF!</v>
      </c>
      <c r="Y20" s="35">
        <v>11617.65</v>
      </c>
      <c r="Z20" s="31">
        <v>4800</v>
      </c>
      <c r="AA20" s="31">
        <v>150</v>
      </c>
      <c r="AB20" s="33">
        <v>0</v>
      </c>
      <c r="AC20" s="31">
        <v>15780</v>
      </c>
      <c r="AD20" s="33">
        <v>7200</v>
      </c>
      <c r="AE20" s="33">
        <v>0</v>
      </c>
      <c r="AF20" s="33">
        <v>15500</v>
      </c>
      <c r="AG20" s="31">
        <v>0</v>
      </c>
      <c r="AH20" s="36">
        <v>190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19961</v>
      </c>
      <c r="G21" s="32">
        <f>F21/208*25</f>
        <v>2399.1586538461538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12798</v>
      </c>
      <c r="U21" s="32">
        <f>T21/215*25</f>
        <v>1488.1395348837209</v>
      </c>
      <c r="V21" s="34"/>
      <c r="W21" s="32">
        <v>13967.8</v>
      </c>
      <c r="X21" s="34">
        <v>0</v>
      </c>
      <c r="Y21" s="32">
        <v>11040.129999999997</v>
      </c>
      <c r="Z21" s="38">
        <v>2996</v>
      </c>
      <c r="AA21" s="38">
        <v>179</v>
      </c>
      <c r="AB21" s="34">
        <v>1143</v>
      </c>
      <c r="AC21" s="38">
        <v>26679</v>
      </c>
      <c r="AD21" s="34">
        <v>27585</v>
      </c>
      <c r="AE21" s="34">
        <v>0</v>
      </c>
      <c r="AF21" s="34">
        <v>17620</v>
      </c>
      <c r="AG21" s="38">
        <v>2025</v>
      </c>
      <c r="AH21" s="39">
        <v>27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39929</v>
      </c>
      <c r="G22" s="43">
        <f t="shared" si="1"/>
        <v>4799.1586538461543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67193</v>
      </c>
      <c r="U22" s="43">
        <f t="shared" si="1"/>
        <v>7813.1395348837214</v>
      </c>
      <c r="V22" s="44" t="e">
        <f t="shared" si="1"/>
        <v>#REF!</v>
      </c>
      <c r="W22" s="45">
        <f t="shared" si="1"/>
        <v>42917.8</v>
      </c>
      <c r="X22" s="44" t="e">
        <f t="shared" si="1"/>
        <v>#REF!</v>
      </c>
      <c r="Y22" s="43">
        <f t="shared" si="1"/>
        <v>22657.78</v>
      </c>
      <c r="Z22" s="42">
        <f t="shared" si="1"/>
        <v>7796</v>
      </c>
      <c r="AA22" s="42">
        <f t="shared" si="1"/>
        <v>329</v>
      </c>
      <c r="AB22" s="44">
        <f t="shared" si="1"/>
        <v>1143</v>
      </c>
      <c r="AC22" s="42">
        <f t="shared" si="1"/>
        <v>42459</v>
      </c>
      <c r="AD22" s="44">
        <f>SUM(AD20:AD21)</f>
        <v>34785</v>
      </c>
      <c r="AE22" s="44">
        <f t="shared" si="1"/>
        <v>0</v>
      </c>
      <c r="AF22" s="44">
        <f>SUM(AF20:AF21)</f>
        <v>33120</v>
      </c>
      <c r="AG22" s="42">
        <f t="shared" si="1"/>
        <v>2025</v>
      </c>
      <c r="AH22" s="46">
        <f t="shared" si="1"/>
        <v>217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10000</v>
      </c>
      <c r="X23" s="31"/>
      <c r="Y23" s="31">
        <v>17000</v>
      </c>
      <c r="Z23" s="31">
        <v>4000</v>
      </c>
      <c r="AA23" s="31"/>
      <c r="AB23" s="31"/>
      <c r="AC23" s="31">
        <v>25000</v>
      </c>
      <c r="AD23" s="31">
        <v>5400</v>
      </c>
      <c r="AE23" s="31"/>
      <c r="AF23" s="48">
        <f>2700+9000</f>
        <v>11700</v>
      </c>
      <c r="AG23" s="31"/>
      <c r="AH23" s="49">
        <v>100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60729</v>
      </c>
      <c r="G24" s="52">
        <f t="shared" si="2"/>
        <v>7299.1586538461543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88693</v>
      </c>
      <c r="U24" s="52">
        <f t="shared" si="2"/>
        <v>10313.139534883721</v>
      </c>
      <c r="V24" s="51" t="e">
        <f t="shared" si="2"/>
        <v>#REF!</v>
      </c>
      <c r="W24" s="52">
        <f t="shared" si="2"/>
        <v>52917.8</v>
      </c>
      <c r="X24" s="51" t="e">
        <f t="shared" si="2"/>
        <v>#REF!</v>
      </c>
      <c r="Y24" s="52">
        <f t="shared" si="2"/>
        <v>39657.78</v>
      </c>
      <c r="Z24" s="51">
        <f t="shared" si="2"/>
        <v>11796</v>
      </c>
      <c r="AA24" s="51">
        <f t="shared" si="2"/>
        <v>329</v>
      </c>
      <c r="AB24" s="51">
        <f t="shared" si="2"/>
        <v>1143</v>
      </c>
      <c r="AC24" s="51">
        <f t="shared" si="2"/>
        <v>67459</v>
      </c>
      <c r="AD24" s="51">
        <f t="shared" si="2"/>
        <v>40185</v>
      </c>
      <c r="AE24" s="51">
        <f t="shared" si="2"/>
        <v>0</v>
      </c>
      <c r="AF24" s="51">
        <f t="shared" si="2"/>
        <v>44820</v>
      </c>
      <c r="AG24" s="51">
        <f t="shared" si="2"/>
        <v>2025</v>
      </c>
      <c r="AH24" s="53">
        <f t="shared" si="2"/>
        <v>317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6337</v>
      </c>
      <c r="G25" s="32">
        <f>F25/208*25</f>
        <v>761.65865384615381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10529</v>
      </c>
      <c r="U25" s="32">
        <f>T25/215*25</f>
        <v>1224.3023255813955</v>
      </c>
      <c r="V25" s="47"/>
      <c r="W25" s="33">
        <v>6722.7999999999993</v>
      </c>
      <c r="X25" s="47"/>
      <c r="Y25" s="55">
        <v>2726.46</v>
      </c>
      <c r="Z25" s="31">
        <v>1122</v>
      </c>
      <c r="AA25" s="38">
        <v>7</v>
      </c>
      <c r="AB25" s="47"/>
      <c r="AC25" s="38">
        <v>4958</v>
      </c>
      <c r="AD25" s="47">
        <v>4765</v>
      </c>
      <c r="AE25" s="47"/>
      <c r="AF25" s="47">
        <v>3841</v>
      </c>
      <c r="AG25" s="38"/>
      <c r="AH25" s="56">
        <v>30</v>
      </c>
    </row>
    <row r="26" spans="1:36" s="4" customFormat="1" ht="100.5" customHeight="1" thickBot="1" x14ac:dyDescent="0.25">
      <c r="A26" s="57">
        <v>45466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54392</v>
      </c>
      <c r="G26" s="59">
        <f t="shared" si="3"/>
        <v>6537.5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78164</v>
      </c>
      <c r="U26" s="59">
        <f t="shared" si="3"/>
        <v>9088.8372093023263</v>
      </c>
      <c r="V26" s="60" t="e">
        <f t="shared" si="3"/>
        <v>#REF!</v>
      </c>
      <c r="W26" s="60">
        <f t="shared" si="3"/>
        <v>46195</v>
      </c>
      <c r="X26" s="60" t="e">
        <f t="shared" si="3"/>
        <v>#REF!</v>
      </c>
      <c r="Y26" s="61">
        <f>Y24-Y25</f>
        <v>36931.32</v>
      </c>
      <c r="Z26" s="58">
        <f>Z24-Z25</f>
        <v>10674</v>
      </c>
      <c r="AA26" s="58">
        <f t="shared" si="3"/>
        <v>322</v>
      </c>
      <c r="AB26" s="60">
        <f>AB24-AB25</f>
        <v>1143</v>
      </c>
      <c r="AC26" s="58">
        <f>AC24-AC25</f>
        <v>62501</v>
      </c>
      <c r="AD26" s="60">
        <f>AD24-AD25</f>
        <v>35420</v>
      </c>
      <c r="AE26" s="60">
        <f>AE24-AE25</f>
        <v>0</v>
      </c>
      <c r="AF26" s="60">
        <f>AF24-AF25</f>
        <v>40979</v>
      </c>
      <c r="AG26" s="58">
        <f t="shared" ref="AG26" si="7">AG24-AG25</f>
        <v>2025</v>
      </c>
      <c r="AH26" s="62">
        <f>AH24-AH25</f>
        <v>287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9" zoomScale="78" zoomScaleNormal="78" workbookViewId="0">
      <selection activeCell="U31" sqref="U31:U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151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45467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32448</v>
      </c>
      <c r="G20" s="32">
        <f>F20/208*25</f>
        <v>3900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61920</v>
      </c>
      <c r="U20" s="34">
        <f>T20/215*25</f>
        <v>7200</v>
      </c>
      <c r="V20" s="33" t="e">
        <f>#REF!</f>
        <v>#REF!</v>
      </c>
      <c r="W20" s="33">
        <v>30700</v>
      </c>
      <c r="X20" s="33" t="e">
        <f>#REF!</f>
        <v>#REF!</v>
      </c>
      <c r="Y20" s="35">
        <v>25944.65</v>
      </c>
      <c r="Z20" s="31">
        <v>7700</v>
      </c>
      <c r="AA20" s="31">
        <v>150</v>
      </c>
      <c r="AB20" s="33">
        <v>0</v>
      </c>
      <c r="AC20" s="31">
        <v>33030</v>
      </c>
      <c r="AD20" s="33">
        <v>10440</v>
      </c>
      <c r="AE20" s="33">
        <v>0</v>
      </c>
      <c r="AF20" s="33">
        <v>21500</v>
      </c>
      <c r="AG20" s="31">
        <v>0</v>
      </c>
      <c r="AH20" s="36">
        <v>287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21944</v>
      </c>
      <c r="G21" s="32">
        <f>F21/208*25</f>
        <v>2637.5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16244</v>
      </c>
      <c r="U21" s="32">
        <f>T21/215*25</f>
        <v>1888.8372093023256</v>
      </c>
      <c r="V21" s="34"/>
      <c r="W21" s="32">
        <v>15494.999999999998</v>
      </c>
      <c r="X21" s="34">
        <v>0</v>
      </c>
      <c r="Y21" s="32">
        <v>10986.669999999996</v>
      </c>
      <c r="Z21" s="38">
        <v>2974</v>
      </c>
      <c r="AA21" s="38">
        <v>172</v>
      </c>
      <c r="AB21" s="34">
        <v>1143</v>
      </c>
      <c r="AC21" s="38">
        <v>29471</v>
      </c>
      <c r="AD21" s="34">
        <v>24980</v>
      </c>
      <c r="AE21" s="34">
        <v>0</v>
      </c>
      <c r="AF21" s="34">
        <v>19479</v>
      </c>
      <c r="AG21" s="38">
        <v>2025</v>
      </c>
      <c r="AH21" s="39">
        <v>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54392</v>
      </c>
      <c r="G22" s="43">
        <f t="shared" si="1"/>
        <v>6537.5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78164</v>
      </c>
      <c r="U22" s="43">
        <f t="shared" si="1"/>
        <v>9088.8372093023263</v>
      </c>
      <c r="V22" s="44" t="e">
        <f t="shared" si="1"/>
        <v>#REF!</v>
      </c>
      <c r="W22" s="45">
        <f t="shared" si="1"/>
        <v>46195</v>
      </c>
      <c r="X22" s="44" t="e">
        <f t="shared" si="1"/>
        <v>#REF!</v>
      </c>
      <c r="Y22" s="43">
        <f t="shared" si="1"/>
        <v>36931.32</v>
      </c>
      <c r="Z22" s="42">
        <f t="shared" si="1"/>
        <v>10674</v>
      </c>
      <c r="AA22" s="42">
        <f t="shared" si="1"/>
        <v>322</v>
      </c>
      <c r="AB22" s="44">
        <f t="shared" si="1"/>
        <v>1143</v>
      </c>
      <c r="AC22" s="42">
        <f t="shared" si="1"/>
        <v>62501</v>
      </c>
      <c r="AD22" s="44">
        <f>SUM(AD20:AD21)</f>
        <v>35420</v>
      </c>
      <c r="AE22" s="44">
        <f t="shared" si="1"/>
        <v>0</v>
      </c>
      <c r="AF22" s="44">
        <f>SUM(AF20:AF21)</f>
        <v>40979</v>
      </c>
      <c r="AG22" s="42">
        <f t="shared" si="1"/>
        <v>2025</v>
      </c>
      <c r="AH22" s="46">
        <f t="shared" si="1"/>
        <v>287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54392</v>
      </c>
      <c r="G24" s="52">
        <f t="shared" si="2"/>
        <v>6537.5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78164</v>
      </c>
      <c r="U24" s="52">
        <f t="shared" si="2"/>
        <v>9088.8372093023263</v>
      </c>
      <c r="V24" s="51" t="e">
        <f t="shared" si="2"/>
        <v>#REF!</v>
      </c>
      <c r="W24" s="52">
        <f t="shared" si="2"/>
        <v>46195</v>
      </c>
      <c r="X24" s="51" t="e">
        <f t="shared" si="2"/>
        <v>#REF!</v>
      </c>
      <c r="Y24" s="52">
        <f t="shared" si="2"/>
        <v>36931.32</v>
      </c>
      <c r="Z24" s="51">
        <f t="shared" si="2"/>
        <v>10674</v>
      </c>
      <c r="AA24" s="51">
        <f t="shared" si="2"/>
        <v>322</v>
      </c>
      <c r="AB24" s="51">
        <f t="shared" si="2"/>
        <v>1143</v>
      </c>
      <c r="AC24" s="51">
        <f t="shared" si="2"/>
        <v>62501</v>
      </c>
      <c r="AD24" s="51">
        <f t="shared" si="2"/>
        <v>35420</v>
      </c>
      <c r="AE24" s="51">
        <f t="shared" si="2"/>
        <v>0</v>
      </c>
      <c r="AF24" s="51">
        <f t="shared" si="2"/>
        <v>40979</v>
      </c>
      <c r="AG24" s="51">
        <f t="shared" si="2"/>
        <v>2025</v>
      </c>
      <c r="AH24" s="53">
        <f t="shared" si="2"/>
        <v>287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10032</v>
      </c>
      <c r="G25" s="32">
        <f>F25/208*25</f>
        <v>1205.7692307692309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8609</v>
      </c>
      <c r="U25" s="32">
        <f>T25/215*25</f>
        <v>1001.046511627907</v>
      </c>
      <c r="V25" s="47"/>
      <c r="W25" s="33">
        <v>7197</v>
      </c>
      <c r="X25" s="47"/>
      <c r="Y25" s="55">
        <f>Z25*2.43</f>
        <v>3013.2000000000003</v>
      </c>
      <c r="Z25" s="31">
        <v>1240</v>
      </c>
      <c r="AA25" s="38">
        <v>6</v>
      </c>
      <c r="AB25" s="47">
        <v>0</v>
      </c>
      <c r="AC25" s="38">
        <f>260+4210</f>
        <v>4470</v>
      </c>
      <c r="AD25" s="47">
        <v>6031</v>
      </c>
      <c r="AE25" s="47">
        <v>0</v>
      </c>
      <c r="AF25" s="47">
        <f>1551+2615</f>
        <v>4166</v>
      </c>
      <c r="AG25" s="38">
        <v>380</v>
      </c>
      <c r="AH25" s="56">
        <v>28</v>
      </c>
    </row>
    <row r="26" spans="1:36" s="4" customFormat="1" ht="100.5" customHeight="1" thickBot="1" x14ac:dyDescent="0.25">
      <c r="A26" s="57">
        <v>45473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44360</v>
      </c>
      <c r="G26" s="59">
        <f t="shared" si="3"/>
        <v>5331.7307692307695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69555</v>
      </c>
      <c r="U26" s="59">
        <f t="shared" si="3"/>
        <v>8087.7906976744198</v>
      </c>
      <c r="V26" s="60" t="e">
        <f t="shared" si="3"/>
        <v>#REF!</v>
      </c>
      <c r="W26" s="60">
        <f t="shared" si="3"/>
        <v>38998</v>
      </c>
      <c r="X26" s="60" t="e">
        <f t="shared" si="3"/>
        <v>#REF!</v>
      </c>
      <c r="Y26" s="61">
        <f>Y24-Y25</f>
        <v>33918.120000000003</v>
      </c>
      <c r="Z26" s="58">
        <f>Z24-Z25</f>
        <v>9434</v>
      </c>
      <c r="AA26" s="58">
        <f t="shared" si="3"/>
        <v>316</v>
      </c>
      <c r="AB26" s="60">
        <f>AB24-AB25</f>
        <v>1143</v>
      </c>
      <c r="AC26" s="58">
        <f>AC24-AC25</f>
        <v>58031</v>
      </c>
      <c r="AD26" s="60">
        <f>AD24-AD25</f>
        <v>29389</v>
      </c>
      <c r="AE26" s="60">
        <f>AE24-AE25</f>
        <v>0</v>
      </c>
      <c r="AF26" s="60">
        <f>AF24-AF25</f>
        <v>36813</v>
      </c>
      <c r="AG26" s="58">
        <f t="shared" ref="AG26" si="7">AG24-AG25</f>
        <v>1645</v>
      </c>
      <c r="AH26" s="62">
        <f>AH24-AH25</f>
        <v>259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F23" sqref="F23:AH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152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45474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17888</v>
      </c>
      <c r="G20" s="32">
        <f>F20/208*25</f>
        <v>2150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60920</v>
      </c>
      <c r="U20" s="34">
        <f>T20/215*25</f>
        <v>7083.7209302325573</v>
      </c>
      <c r="V20" s="33" t="e">
        <f>#REF!</f>
        <v>#REF!</v>
      </c>
      <c r="W20" s="33">
        <v>23700</v>
      </c>
      <c r="X20" s="33" t="e">
        <f>#REF!</f>
        <v>#REF!</v>
      </c>
      <c r="Y20" s="35">
        <v>23757.65</v>
      </c>
      <c r="Z20" s="31">
        <v>6800</v>
      </c>
      <c r="AA20" s="31">
        <v>150</v>
      </c>
      <c r="AB20" s="33">
        <v>0</v>
      </c>
      <c r="AC20" s="31">
        <v>25530</v>
      </c>
      <c r="AD20" s="33">
        <v>10440</v>
      </c>
      <c r="AE20" s="33">
        <v>0</v>
      </c>
      <c r="AF20" s="33">
        <v>16800</v>
      </c>
      <c r="AG20" s="31">
        <v>0</v>
      </c>
      <c r="AH20" s="36">
        <v>200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26472</v>
      </c>
      <c r="G21" s="32">
        <f>F21/208*25</f>
        <v>3181.7307692307695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8635</v>
      </c>
      <c r="U21" s="32">
        <f>T21/215*25</f>
        <v>1004.0697674418604</v>
      </c>
      <c r="V21" s="34"/>
      <c r="W21" s="32">
        <v>15297.999999999998</v>
      </c>
      <c r="X21" s="34">
        <v>0</v>
      </c>
      <c r="Y21" s="32">
        <v>10160.469999999994</v>
      </c>
      <c r="Z21" s="38">
        <v>2634</v>
      </c>
      <c r="AA21" s="38">
        <v>166</v>
      </c>
      <c r="AB21" s="34"/>
      <c r="AC21" s="38">
        <v>32501</v>
      </c>
      <c r="AD21" s="34">
        <v>18949</v>
      </c>
      <c r="AE21" s="34">
        <v>0</v>
      </c>
      <c r="AF21" s="34">
        <v>20013</v>
      </c>
      <c r="AG21" s="38">
        <v>1645</v>
      </c>
      <c r="AH21" s="39">
        <v>59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44360</v>
      </c>
      <c r="G22" s="43">
        <f t="shared" si="1"/>
        <v>5331.7307692307695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69555</v>
      </c>
      <c r="U22" s="43">
        <f t="shared" si="1"/>
        <v>8087.790697674418</v>
      </c>
      <c r="V22" s="44" t="e">
        <f t="shared" si="1"/>
        <v>#REF!</v>
      </c>
      <c r="W22" s="45">
        <f t="shared" si="1"/>
        <v>38998</v>
      </c>
      <c r="X22" s="44" t="e">
        <f t="shared" si="1"/>
        <v>#REF!</v>
      </c>
      <c r="Y22" s="43">
        <f t="shared" si="1"/>
        <v>33918.119999999995</v>
      </c>
      <c r="Z22" s="42">
        <f t="shared" si="1"/>
        <v>9434</v>
      </c>
      <c r="AA22" s="42">
        <f t="shared" si="1"/>
        <v>316</v>
      </c>
      <c r="AB22" s="44">
        <f t="shared" si="1"/>
        <v>0</v>
      </c>
      <c r="AC22" s="42">
        <f t="shared" si="1"/>
        <v>58031</v>
      </c>
      <c r="AD22" s="44">
        <f>SUM(AD20:AD21)</f>
        <v>29389</v>
      </c>
      <c r="AE22" s="44">
        <f t="shared" si="1"/>
        <v>0</v>
      </c>
      <c r="AF22" s="44">
        <f>SUM(AF20:AF21)</f>
        <v>36813</v>
      </c>
      <c r="AG22" s="42">
        <f t="shared" si="1"/>
        <v>1645</v>
      </c>
      <c r="AH22" s="46">
        <f t="shared" si="1"/>
        <v>259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12500</v>
      </c>
      <c r="X23" s="31"/>
      <c r="Y23" s="31">
        <v>8000</v>
      </c>
      <c r="Z23" s="31">
        <v>4000</v>
      </c>
      <c r="AA23" s="31"/>
      <c r="AB23" s="31"/>
      <c r="AC23" s="31">
        <v>20250</v>
      </c>
      <c r="AD23" s="31">
        <v>0</v>
      </c>
      <c r="AE23" s="31"/>
      <c r="AF23" s="48">
        <v>3000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65160</v>
      </c>
      <c r="G24" s="52">
        <f t="shared" si="2"/>
        <v>7831.7307692307695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91055</v>
      </c>
      <c r="U24" s="52">
        <f t="shared" si="2"/>
        <v>10587.790697674418</v>
      </c>
      <c r="V24" s="51" t="e">
        <f t="shared" si="2"/>
        <v>#REF!</v>
      </c>
      <c r="W24" s="52">
        <f t="shared" si="2"/>
        <v>51498</v>
      </c>
      <c r="X24" s="51" t="e">
        <f t="shared" si="2"/>
        <v>#REF!</v>
      </c>
      <c r="Y24" s="52">
        <f t="shared" si="2"/>
        <v>41918.119999999995</v>
      </c>
      <c r="Z24" s="51">
        <f t="shared" si="2"/>
        <v>13434</v>
      </c>
      <c r="AA24" s="51">
        <f t="shared" si="2"/>
        <v>316</v>
      </c>
      <c r="AB24" s="51">
        <f t="shared" si="2"/>
        <v>0</v>
      </c>
      <c r="AC24" s="51">
        <f t="shared" si="2"/>
        <v>78281</v>
      </c>
      <c r="AD24" s="51">
        <f t="shared" si="2"/>
        <v>29389</v>
      </c>
      <c r="AE24" s="51">
        <f t="shared" si="2"/>
        <v>0</v>
      </c>
      <c r="AF24" s="51">
        <f t="shared" si="2"/>
        <v>39813</v>
      </c>
      <c r="AG24" s="51">
        <f t="shared" si="2"/>
        <v>1645</v>
      </c>
      <c r="AH24" s="53">
        <f t="shared" si="2"/>
        <v>259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9540</v>
      </c>
      <c r="G25" s="32">
        <f>F25/208*25</f>
        <v>1146.6346153846152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8304</v>
      </c>
      <c r="U25" s="32">
        <f>T25/215*25</f>
        <v>965.5813953488373</v>
      </c>
      <c r="V25" s="47"/>
      <c r="W25" s="33">
        <v>6571</v>
      </c>
      <c r="X25" s="47"/>
      <c r="Y25" s="55">
        <f>Z25*2.43</f>
        <v>2762.9100000000003</v>
      </c>
      <c r="Z25" s="31">
        <v>1137</v>
      </c>
      <c r="AA25" s="38">
        <v>14</v>
      </c>
      <c r="AB25" s="47">
        <v>0</v>
      </c>
      <c r="AC25" s="38">
        <f>133+4212</f>
        <v>4345</v>
      </c>
      <c r="AD25" s="47">
        <v>5405</v>
      </c>
      <c r="AE25" s="47">
        <v>0</v>
      </c>
      <c r="AF25" s="47">
        <f>1522+2438</f>
        <v>3960</v>
      </c>
      <c r="AG25" s="38">
        <v>0</v>
      </c>
      <c r="AH25" s="56">
        <v>32</v>
      </c>
    </row>
    <row r="26" spans="1:36" s="4" customFormat="1" ht="100.5" customHeight="1" thickBot="1" x14ac:dyDescent="0.25">
      <c r="A26" s="57">
        <v>45480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55620</v>
      </c>
      <c r="G26" s="59">
        <f t="shared" si="3"/>
        <v>6685.0961538461543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82751</v>
      </c>
      <c r="U26" s="59">
        <f t="shared" si="3"/>
        <v>9622.2093023255802</v>
      </c>
      <c r="V26" s="60" t="e">
        <f t="shared" si="3"/>
        <v>#REF!</v>
      </c>
      <c r="W26" s="60">
        <f t="shared" si="3"/>
        <v>44927</v>
      </c>
      <c r="X26" s="60" t="e">
        <f t="shared" si="3"/>
        <v>#REF!</v>
      </c>
      <c r="Y26" s="61">
        <f>Y24-Y25</f>
        <v>39155.209999999992</v>
      </c>
      <c r="Z26" s="58">
        <f>Z24-Z25</f>
        <v>12297</v>
      </c>
      <c r="AA26" s="58">
        <f t="shared" si="3"/>
        <v>302</v>
      </c>
      <c r="AB26" s="60">
        <f>AB24-AB25</f>
        <v>0</v>
      </c>
      <c r="AC26" s="58">
        <f>AC24-AC25</f>
        <v>73936</v>
      </c>
      <c r="AD26" s="60">
        <f>AD24-AD25</f>
        <v>23984</v>
      </c>
      <c r="AE26" s="60">
        <f>AE24-AE25</f>
        <v>0</v>
      </c>
      <c r="AF26" s="60">
        <f>AF24-AF25</f>
        <v>35853</v>
      </c>
      <c r="AG26" s="58">
        <f t="shared" ref="AG26" si="7">AG24-AG25</f>
        <v>1645</v>
      </c>
      <c r="AH26" s="62">
        <f>AH24-AH25</f>
        <v>227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22" zoomScale="78" zoomScaleNormal="78" workbookViewId="0">
      <selection activeCell="A36" sqref="A36:A38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153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45481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29120</v>
      </c>
      <c r="G20" s="32">
        <f>F20/208*25</f>
        <v>3500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59125</v>
      </c>
      <c r="U20" s="34">
        <f>T20/215*25</f>
        <v>6875</v>
      </c>
      <c r="V20" s="33" t="e">
        <f>#REF!</f>
        <v>#REF!</v>
      </c>
      <c r="W20" s="33">
        <v>29175</v>
      </c>
      <c r="X20" s="33" t="e">
        <f>#REF!</f>
        <v>#REF!</v>
      </c>
      <c r="Y20" s="35">
        <v>39916</v>
      </c>
      <c r="Z20" s="31">
        <v>9400</v>
      </c>
      <c r="AA20" s="31">
        <v>150</v>
      </c>
      <c r="AB20" s="33"/>
      <c r="AC20" s="31">
        <v>36330</v>
      </c>
      <c r="AD20" s="33">
        <v>10440</v>
      </c>
      <c r="AE20" s="33">
        <v>0</v>
      </c>
      <c r="AF20" s="33">
        <v>17960</v>
      </c>
      <c r="AG20" s="31">
        <v>765</v>
      </c>
      <c r="AH20" s="36">
        <v>170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26661</v>
      </c>
      <c r="G21" s="32">
        <f>F21/208*25</f>
        <v>3204.4471153846152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23658</v>
      </c>
      <c r="U21" s="32">
        <f>T21/215*25</f>
        <v>2750.9302325581393</v>
      </c>
      <c r="V21" s="34"/>
      <c r="W21" s="32">
        <v>15885.599999999999</v>
      </c>
      <c r="X21" s="34">
        <v>0</v>
      </c>
      <c r="Y21" s="32">
        <v>3149</v>
      </c>
      <c r="Z21" s="38">
        <v>2900</v>
      </c>
      <c r="AA21" s="38">
        <v>170</v>
      </c>
      <c r="AB21" s="34">
        <v>1143</v>
      </c>
      <c r="AC21" s="38">
        <v>37783</v>
      </c>
      <c r="AD21" s="34">
        <v>13590</v>
      </c>
      <c r="AE21" s="34">
        <v>0</v>
      </c>
      <c r="AF21" s="34">
        <v>17917</v>
      </c>
      <c r="AG21" s="38">
        <v>880</v>
      </c>
      <c r="AH21" s="39">
        <v>58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55781</v>
      </c>
      <c r="G22" s="43">
        <f t="shared" si="1"/>
        <v>6704.4471153846152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82783</v>
      </c>
      <c r="U22" s="43">
        <f t="shared" si="1"/>
        <v>9625.9302325581393</v>
      </c>
      <c r="V22" s="44" t="e">
        <f t="shared" si="1"/>
        <v>#REF!</v>
      </c>
      <c r="W22" s="45">
        <f t="shared" si="1"/>
        <v>45060.6</v>
      </c>
      <c r="X22" s="44" t="e">
        <f t="shared" si="1"/>
        <v>#REF!</v>
      </c>
      <c r="Y22" s="43">
        <f t="shared" si="1"/>
        <v>43065</v>
      </c>
      <c r="Z22" s="42">
        <f t="shared" si="1"/>
        <v>12300</v>
      </c>
      <c r="AA22" s="42">
        <f t="shared" si="1"/>
        <v>320</v>
      </c>
      <c r="AB22" s="44">
        <f t="shared" si="1"/>
        <v>1143</v>
      </c>
      <c r="AC22" s="42">
        <f t="shared" si="1"/>
        <v>74113</v>
      </c>
      <c r="AD22" s="44">
        <f>SUM(AD20:AD21)</f>
        <v>24030</v>
      </c>
      <c r="AE22" s="44">
        <f t="shared" si="1"/>
        <v>0</v>
      </c>
      <c r="AF22" s="44">
        <f>SUM(AF20:AF21)</f>
        <v>35877</v>
      </c>
      <c r="AG22" s="42">
        <f t="shared" si="1"/>
        <v>1645</v>
      </c>
      <c r="AH22" s="46">
        <f t="shared" si="1"/>
        <v>228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55781</v>
      </c>
      <c r="G24" s="52">
        <f t="shared" si="2"/>
        <v>6704.4471153846152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82783</v>
      </c>
      <c r="U24" s="52">
        <f t="shared" si="2"/>
        <v>9625.9302325581393</v>
      </c>
      <c r="V24" s="51" t="e">
        <f t="shared" si="2"/>
        <v>#REF!</v>
      </c>
      <c r="W24" s="52">
        <f t="shared" si="2"/>
        <v>45060.6</v>
      </c>
      <c r="X24" s="51" t="e">
        <f t="shared" si="2"/>
        <v>#REF!</v>
      </c>
      <c r="Y24" s="52">
        <f t="shared" si="2"/>
        <v>43065</v>
      </c>
      <c r="Z24" s="51">
        <f t="shared" si="2"/>
        <v>12300</v>
      </c>
      <c r="AA24" s="51">
        <f t="shared" si="2"/>
        <v>320</v>
      </c>
      <c r="AB24" s="51">
        <f t="shared" si="2"/>
        <v>1143</v>
      </c>
      <c r="AC24" s="51">
        <f t="shared" si="2"/>
        <v>74113</v>
      </c>
      <c r="AD24" s="51">
        <f t="shared" si="2"/>
        <v>24030</v>
      </c>
      <c r="AE24" s="51">
        <f t="shared" si="2"/>
        <v>0</v>
      </c>
      <c r="AF24" s="51">
        <f t="shared" si="2"/>
        <v>35877</v>
      </c>
      <c r="AG24" s="51">
        <f t="shared" si="2"/>
        <v>1645</v>
      </c>
      <c r="AH24" s="53">
        <f t="shared" si="2"/>
        <v>228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9359</v>
      </c>
      <c r="G25" s="32">
        <f>F25/208*25</f>
        <v>1124.8798076923076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8065</v>
      </c>
      <c r="U25" s="32">
        <f>T25/215*25</f>
        <v>937.79069767441854</v>
      </c>
      <c r="V25" s="47"/>
      <c r="W25" s="35">
        <v>6337.2000000000007</v>
      </c>
      <c r="X25" s="47"/>
      <c r="Y25" s="55">
        <f>Z25*2.43</f>
        <v>2954.88</v>
      </c>
      <c r="Z25" s="31">
        <v>1216</v>
      </c>
      <c r="AA25" s="38">
        <v>2</v>
      </c>
      <c r="AB25" s="47"/>
      <c r="AC25" s="38">
        <v>7454</v>
      </c>
      <c r="AD25" s="47">
        <v>2062</v>
      </c>
      <c r="AE25" s="47"/>
      <c r="AF25" s="47">
        <v>3897</v>
      </c>
      <c r="AG25" s="38"/>
      <c r="AH25" s="56">
        <v>38</v>
      </c>
    </row>
    <row r="26" spans="1:36" s="4" customFormat="1" ht="100.5" customHeight="1" thickBot="1" x14ac:dyDescent="0.25">
      <c r="A26" s="57">
        <v>45487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46422</v>
      </c>
      <c r="G26" s="59">
        <f t="shared" si="3"/>
        <v>5579.5673076923076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74718</v>
      </c>
      <c r="U26" s="59">
        <f t="shared" si="3"/>
        <v>8688.1395348837214</v>
      </c>
      <c r="V26" s="60" t="e">
        <f t="shared" si="3"/>
        <v>#REF!</v>
      </c>
      <c r="W26" s="59">
        <f t="shared" si="3"/>
        <v>38723.399999999994</v>
      </c>
      <c r="X26" s="60" t="e">
        <f t="shared" si="3"/>
        <v>#REF!</v>
      </c>
      <c r="Y26" s="61">
        <f>Y24-Y25</f>
        <v>40110.120000000003</v>
      </c>
      <c r="Z26" s="58">
        <f>Z24-Z25</f>
        <v>11084</v>
      </c>
      <c r="AA26" s="58">
        <f t="shared" si="3"/>
        <v>318</v>
      </c>
      <c r="AB26" s="60">
        <f>AB24-AB25</f>
        <v>1143</v>
      </c>
      <c r="AC26" s="58">
        <f>AC24-AC25</f>
        <v>66659</v>
      </c>
      <c r="AD26" s="60">
        <f>AD24-AD25</f>
        <v>21968</v>
      </c>
      <c r="AE26" s="60">
        <f>AE24-AE25</f>
        <v>0</v>
      </c>
      <c r="AF26" s="60">
        <f>AF24-AF25</f>
        <v>31980</v>
      </c>
      <c r="AG26" s="58">
        <f t="shared" ref="AG26" si="7">AG24-AG25</f>
        <v>1645</v>
      </c>
      <c r="AH26" s="62">
        <f>AH24-AH25</f>
        <v>190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20" zoomScale="78" zoomScaleNormal="78" workbookViewId="0">
      <selection activeCell="T26" sqref="T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9.140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154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89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45488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14560</v>
      </c>
      <c r="G20" s="32">
        <f>F20/208*25</f>
        <v>1750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55255</v>
      </c>
      <c r="U20" s="34">
        <f>T20/215*25</f>
        <v>6425</v>
      </c>
      <c r="V20" s="33" t="e">
        <f>#REF!</f>
        <v>#REF!</v>
      </c>
      <c r="W20" s="33">
        <v>22425</v>
      </c>
      <c r="X20" s="33" t="e">
        <f>#REF!</f>
        <v>#REF!</v>
      </c>
      <c r="Y20" s="35">
        <v>35243</v>
      </c>
      <c r="Z20" s="31">
        <v>8300</v>
      </c>
      <c r="AA20" s="31">
        <v>150</v>
      </c>
      <c r="AB20" s="33"/>
      <c r="AC20" s="31">
        <v>25080</v>
      </c>
      <c r="AD20" s="33">
        <v>10440</v>
      </c>
      <c r="AE20" s="33">
        <v>0</v>
      </c>
      <c r="AF20" s="33">
        <v>13960</v>
      </c>
      <c r="AG20" s="31">
        <v>765</v>
      </c>
      <c r="AH20" s="36">
        <v>170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31862</v>
      </c>
      <c r="G21" s="32">
        <f>F21/208*25</f>
        <v>3829.5673076923081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19463</v>
      </c>
      <c r="U21" s="32">
        <f>T21/215*25</f>
        <v>2263.1395348837209</v>
      </c>
      <c r="V21" s="34"/>
      <c r="W21" s="32">
        <v>16298.4</v>
      </c>
      <c r="X21" s="34">
        <v>0</v>
      </c>
      <c r="Y21" s="32">
        <v>4867.12</v>
      </c>
      <c r="Z21" s="38">
        <v>2784</v>
      </c>
      <c r="AA21" s="38">
        <v>168</v>
      </c>
      <c r="AB21" s="34">
        <v>1143</v>
      </c>
      <c r="AC21" s="38">
        <v>41579</v>
      </c>
      <c r="AD21" s="34">
        <v>11528</v>
      </c>
      <c r="AE21" s="34">
        <v>0</v>
      </c>
      <c r="AF21" s="34">
        <v>18020</v>
      </c>
      <c r="AG21" s="38">
        <v>880</v>
      </c>
      <c r="AH21" s="39">
        <v>20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46422</v>
      </c>
      <c r="G22" s="43">
        <f t="shared" si="1"/>
        <v>5579.5673076923085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74718</v>
      </c>
      <c r="U22" s="43">
        <f t="shared" si="1"/>
        <v>8688.1395348837214</v>
      </c>
      <c r="V22" s="44" t="e">
        <f t="shared" si="1"/>
        <v>#REF!</v>
      </c>
      <c r="W22" s="45">
        <f t="shared" si="1"/>
        <v>38723.4</v>
      </c>
      <c r="X22" s="44" t="e">
        <f t="shared" si="1"/>
        <v>#REF!</v>
      </c>
      <c r="Y22" s="43">
        <f t="shared" si="1"/>
        <v>40110.120000000003</v>
      </c>
      <c r="Z22" s="42">
        <f t="shared" si="1"/>
        <v>11084</v>
      </c>
      <c r="AA22" s="42">
        <f t="shared" si="1"/>
        <v>318</v>
      </c>
      <c r="AB22" s="44">
        <f t="shared" si="1"/>
        <v>1143</v>
      </c>
      <c r="AC22" s="42">
        <f t="shared" si="1"/>
        <v>66659</v>
      </c>
      <c r="AD22" s="44">
        <f>SUM(AD20:AD21)</f>
        <v>21968</v>
      </c>
      <c r="AE22" s="44">
        <f t="shared" si="1"/>
        <v>0</v>
      </c>
      <c r="AF22" s="44">
        <f>SUM(AF20:AF21)</f>
        <v>31980</v>
      </c>
      <c r="AG22" s="42">
        <f t="shared" si="1"/>
        <v>1645</v>
      </c>
      <c r="AH22" s="46">
        <f t="shared" si="1"/>
        <v>190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46422</v>
      </c>
      <c r="G24" s="52">
        <f t="shared" si="2"/>
        <v>5579.5673076923085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74718</v>
      </c>
      <c r="U24" s="52">
        <f t="shared" si="2"/>
        <v>8688.1395348837214</v>
      </c>
      <c r="V24" s="51" t="e">
        <f t="shared" si="2"/>
        <v>#REF!</v>
      </c>
      <c r="W24" s="52">
        <f t="shared" si="2"/>
        <v>38723.4</v>
      </c>
      <c r="X24" s="51" t="e">
        <f t="shared" si="2"/>
        <v>#REF!</v>
      </c>
      <c r="Y24" s="52">
        <f t="shared" si="2"/>
        <v>40110.120000000003</v>
      </c>
      <c r="Z24" s="51">
        <f t="shared" si="2"/>
        <v>11084</v>
      </c>
      <c r="AA24" s="51">
        <f t="shared" si="2"/>
        <v>318</v>
      </c>
      <c r="AB24" s="51">
        <f t="shared" si="2"/>
        <v>1143</v>
      </c>
      <c r="AC24" s="51">
        <f t="shared" si="2"/>
        <v>66659</v>
      </c>
      <c r="AD24" s="51">
        <f t="shared" si="2"/>
        <v>21968</v>
      </c>
      <c r="AE24" s="51">
        <f t="shared" si="2"/>
        <v>0</v>
      </c>
      <c r="AF24" s="51">
        <f t="shared" si="2"/>
        <v>31980</v>
      </c>
      <c r="AG24" s="51">
        <f t="shared" si="2"/>
        <v>1645</v>
      </c>
      <c r="AH24" s="53">
        <f t="shared" si="2"/>
        <v>190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8655</v>
      </c>
      <c r="G25" s="32">
        <f>F25/208*25</f>
        <v>1040.2644230769231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8724</v>
      </c>
      <c r="U25" s="32">
        <f>T25/215*25</f>
        <v>1014.4186046511628</v>
      </c>
      <c r="V25" s="47"/>
      <c r="W25" s="35">
        <v>6654.4</v>
      </c>
      <c r="X25" s="47"/>
      <c r="Y25" s="55">
        <f>Z25*2.43</f>
        <v>2962.17</v>
      </c>
      <c r="Z25" s="31">
        <v>1219</v>
      </c>
      <c r="AA25" s="38">
        <v>0</v>
      </c>
      <c r="AB25" s="47"/>
      <c r="AC25" s="38">
        <f>29+9231</f>
        <v>9260</v>
      </c>
      <c r="AD25" s="47">
        <v>645</v>
      </c>
      <c r="AE25" s="47"/>
      <c r="AF25" s="47">
        <f>1566+2418</f>
        <v>3984</v>
      </c>
      <c r="AG25" s="38"/>
      <c r="AH25" s="56">
        <v>12</v>
      </c>
    </row>
    <row r="26" spans="1:36" s="4" customFormat="1" ht="100.5" customHeight="1" thickBot="1" x14ac:dyDescent="0.25">
      <c r="A26" s="57">
        <v>45494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37767</v>
      </c>
      <c r="G26" s="59">
        <f t="shared" si="3"/>
        <v>4539.3028846153857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65994</v>
      </c>
      <c r="U26" s="59">
        <f t="shared" si="3"/>
        <v>7673.7209302325582</v>
      </c>
      <c r="V26" s="60" t="e">
        <f t="shared" si="3"/>
        <v>#REF!</v>
      </c>
      <c r="W26" s="59">
        <f t="shared" si="3"/>
        <v>32069</v>
      </c>
      <c r="X26" s="60" t="e">
        <f t="shared" si="3"/>
        <v>#REF!</v>
      </c>
      <c r="Y26" s="61">
        <f>Y24-Y25</f>
        <v>37147.950000000004</v>
      </c>
      <c r="Z26" s="58">
        <f>Z24-Z25</f>
        <v>9865</v>
      </c>
      <c r="AA26" s="58">
        <f t="shared" si="3"/>
        <v>318</v>
      </c>
      <c r="AB26" s="60">
        <f>AB24-AB25</f>
        <v>1143</v>
      </c>
      <c r="AC26" s="58">
        <f>AC24-AC25</f>
        <v>57399</v>
      </c>
      <c r="AD26" s="60">
        <f>AD24-AD25</f>
        <v>21323</v>
      </c>
      <c r="AE26" s="60">
        <f>AE24-AE25</f>
        <v>0</v>
      </c>
      <c r="AF26" s="60">
        <f>AF24-AF25</f>
        <v>27996</v>
      </c>
      <c r="AG26" s="58">
        <f t="shared" ref="AG26" si="7">AG24-AG25</f>
        <v>1645</v>
      </c>
      <c r="AH26" s="62">
        <f>AH24-AH25</f>
        <v>178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155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22" zoomScale="78" zoomScaleNormal="78" workbookViewId="0">
      <selection activeCell="AB25" sqref="AB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156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29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45495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12480</v>
      </c>
      <c r="G20" s="32">
        <f>F20/208*25</f>
        <v>1500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38055</v>
      </c>
      <c r="U20" s="34">
        <f>T20/215*25</f>
        <v>4425</v>
      </c>
      <c r="V20" s="33" t="e">
        <f>#REF!</f>
        <v>#REF!</v>
      </c>
      <c r="W20" s="33">
        <v>16175</v>
      </c>
      <c r="X20" s="33" t="e">
        <f>#REF!</f>
        <v>#REF!</v>
      </c>
      <c r="Y20" s="35">
        <v>31598</v>
      </c>
      <c r="Z20" s="31">
        <v>6800</v>
      </c>
      <c r="AA20" s="31">
        <v>150</v>
      </c>
      <c r="AB20" s="33">
        <v>0</v>
      </c>
      <c r="AC20" s="31">
        <v>13330</v>
      </c>
      <c r="AD20" s="33">
        <v>10440</v>
      </c>
      <c r="AE20" s="33">
        <v>0</v>
      </c>
      <c r="AF20" s="33">
        <v>10360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25287</v>
      </c>
      <c r="G21" s="32">
        <f>F21/208*25</f>
        <v>3039.3028846153848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27939</v>
      </c>
      <c r="U21" s="32">
        <f>T21/215*25</f>
        <v>3248.7209302325582</v>
      </c>
      <c r="V21" s="34"/>
      <c r="W21" s="32">
        <v>15894</v>
      </c>
      <c r="X21" s="34">
        <v>0</v>
      </c>
      <c r="Y21" s="32">
        <v>5549.9500000000007</v>
      </c>
      <c r="Z21" s="38">
        <v>3065</v>
      </c>
      <c r="AA21" s="38">
        <v>168</v>
      </c>
      <c r="AB21" s="34">
        <v>1143</v>
      </c>
      <c r="AC21" s="38">
        <v>44069</v>
      </c>
      <c r="AD21" s="34">
        <v>10883</v>
      </c>
      <c r="AE21" s="34">
        <v>0</v>
      </c>
      <c r="AF21" s="34">
        <v>17636</v>
      </c>
      <c r="AG21" s="38">
        <v>880</v>
      </c>
      <c r="AH21" s="39">
        <v>28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37767</v>
      </c>
      <c r="G22" s="43">
        <f t="shared" si="1"/>
        <v>4539.3028846153848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65994</v>
      </c>
      <c r="U22" s="43">
        <f t="shared" si="1"/>
        <v>7673.7209302325582</v>
      </c>
      <c r="V22" s="44" t="e">
        <f t="shared" si="1"/>
        <v>#REF!</v>
      </c>
      <c r="W22" s="45">
        <f t="shared" si="1"/>
        <v>32069</v>
      </c>
      <c r="X22" s="44" t="e">
        <f t="shared" si="1"/>
        <v>#REF!</v>
      </c>
      <c r="Y22" s="43">
        <f t="shared" si="1"/>
        <v>37147.949999999997</v>
      </c>
      <c r="Z22" s="42">
        <f t="shared" si="1"/>
        <v>9865</v>
      </c>
      <c r="AA22" s="42">
        <f t="shared" si="1"/>
        <v>318</v>
      </c>
      <c r="AB22" s="44">
        <f t="shared" si="1"/>
        <v>1143</v>
      </c>
      <c r="AC22" s="42">
        <f t="shared" si="1"/>
        <v>57399</v>
      </c>
      <c r="AD22" s="44">
        <f>SUM(AD20:AD21)</f>
        <v>21323</v>
      </c>
      <c r="AE22" s="44">
        <f t="shared" si="1"/>
        <v>0</v>
      </c>
      <c r="AF22" s="44">
        <f>SUM(AF20:AF21)</f>
        <v>27996</v>
      </c>
      <c r="AG22" s="42">
        <f t="shared" si="1"/>
        <v>1645</v>
      </c>
      <c r="AH22" s="46">
        <f t="shared" si="1"/>
        <v>178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37767</v>
      </c>
      <c r="G24" s="52">
        <f t="shared" si="2"/>
        <v>4539.3028846153848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65994</v>
      </c>
      <c r="U24" s="52">
        <f t="shared" si="2"/>
        <v>7673.7209302325582</v>
      </c>
      <c r="V24" s="51" t="e">
        <f t="shared" si="2"/>
        <v>#REF!</v>
      </c>
      <c r="W24" s="52">
        <f t="shared" si="2"/>
        <v>32069</v>
      </c>
      <c r="X24" s="51" t="e">
        <f t="shared" si="2"/>
        <v>#REF!</v>
      </c>
      <c r="Y24" s="52">
        <f t="shared" si="2"/>
        <v>37147.949999999997</v>
      </c>
      <c r="Z24" s="51">
        <f t="shared" si="2"/>
        <v>9865</v>
      </c>
      <c r="AA24" s="51">
        <f t="shared" si="2"/>
        <v>318</v>
      </c>
      <c r="AB24" s="51">
        <f t="shared" si="2"/>
        <v>1143</v>
      </c>
      <c r="AC24" s="51">
        <f t="shared" si="2"/>
        <v>57399</v>
      </c>
      <c r="AD24" s="51">
        <f t="shared" si="2"/>
        <v>21323</v>
      </c>
      <c r="AE24" s="51">
        <f t="shared" si="2"/>
        <v>0</v>
      </c>
      <c r="AF24" s="51">
        <f t="shared" si="2"/>
        <v>27996</v>
      </c>
      <c r="AG24" s="51">
        <f t="shared" si="2"/>
        <v>1645</v>
      </c>
      <c r="AH24" s="53">
        <f t="shared" si="2"/>
        <v>178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8726</v>
      </c>
      <c r="G25" s="32">
        <f>F25/208*25</f>
        <v>1048.7980769230769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9751</v>
      </c>
      <c r="U25" s="32">
        <f>T25/215*25</f>
        <v>1133.8372093023256</v>
      </c>
      <c r="V25" s="47"/>
      <c r="W25" s="35">
        <v>7336</v>
      </c>
      <c r="X25" s="47"/>
      <c r="Y25" s="55">
        <f>Z25*2.43</f>
        <v>2918.4300000000003</v>
      </c>
      <c r="Z25" s="31">
        <v>1201</v>
      </c>
      <c r="AA25" s="38">
        <v>2</v>
      </c>
      <c r="AB25" s="47"/>
      <c r="AC25" s="38">
        <f>10859</f>
        <v>10859</v>
      </c>
      <c r="AD25" s="47">
        <v>36</v>
      </c>
      <c r="AE25" s="47"/>
      <c r="AF25" s="47">
        <f>2232+2186</f>
        <v>4418</v>
      </c>
      <c r="AG25" s="38"/>
      <c r="AH25" s="56">
        <v>16</v>
      </c>
    </row>
    <row r="26" spans="1:36" s="4" customFormat="1" ht="100.5" customHeight="1" thickBot="1" x14ac:dyDescent="0.25">
      <c r="A26" s="57">
        <v>45501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29041</v>
      </c>
      <c r="G26" s="59">
        <f t="shared" si="3"/>
        <v>3490.5048076923076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56243</v>
      </c>
      <c r="U26" s="59">
        <f t="shared" si="3"/>
        <v>6539.8837209302328</v>
      </c>
      <c r="V26" s="60" t="e">
        <f t="shared" si="3"/>
        <v>#REF!</v>
      </c>
      <c r="W26" s="59">
        <f t="shared" si="3"/>
        <v>24733</v>
      </c>
      <c r="X26" s="60" t="e">
        <f t="shared" si="3"/>
        <v>#REF!</v>
      </c>
      <c r="Y26" s="61">
        <f>Y24-Y25</f>
        <v>34229.519999999997</v>
      </c>
      <c r="Z26" s="58">
        <f>Z24-Z25</f>
        <v>8664</v>
      </c>
      <c r="AA26" s="58">
        <f t="shared" si="3"/>
        <v>316</v>
      </c>
      <c r="AB26" s="60">
        <f>AB24-AB25</f>
        <v>1143</v>
      </c>
      <c r="AC26" s="58">
        <f>AC24-AC25</f>
        <v>46540</v>
      </c>
      <c r="AD26" s="60">
        <f>AD24-AD25</f>
        <v>21287</v>
      </c>
      <c r="AE26" s="60">
        <f>AE24-AE25</f>
        <v>0</v>
      </c>
      <c r="AF26" s="60">
        <f>AF24-AF25</f>
        <v>23578</v>
      </c>
      <c r="AG26" s="58">
        <f t="shared" ref="AG26" si="7">AG24-AG25</f>
        <v>1645</v>
      </c>
      <c r="AH26" s="62">
        <f>AH24-AH25</f>
        <v>162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155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T26" sqref="T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157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45502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32680</v>
      </c>
      <c r="U20" s="34">
        <f>T20/215*25</f>
        <v>3800</v>
      </c>
      <c r="V20" s="33" t="e">
        <f>#REF!</f>
        <v>#REF!</v>
      </c>
      <c r="W20" s="33">
        <v>9425</v>
      </c>
      <c r="X20" s="33" t="e">
        <f>#REF!</f>
        <v>#REF!</v>
      </c>
      <c r="Y20" s="35">
        <v>28439</v>
      </c>
      <c r="Z20" s="31">
        <v>5500</v>
      </c>
      <c r="AA20" s="31">
        <v>150</v>
      </c>
      <c r="AB20" s="33">
        <v>0</v>
      </c>
      <c r="AC20" s="31">
        <v>9580</v>
      </c>
      <c r="AD20" s="33">
        <v>10440</v>
      </c>
      <c r="AE20" s="33">
        <v>0</v>
      </c>
      <c r="AF20" s="33">
        <v>7360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29041</v>
      </c>
      <c r="G21" s="32">
        <f>F21/208*25</f>
        <v>3490.5048076923081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23563</v>
      </c>
      <c r="U21" s="32">
        <f>T21/215*25</f>
        <v>2739.8837209302324</v>
      </c>
      <c r="V21" s="34"/>
      <c r="W21" s="32">
        <v>15308</v>
      </c>
      <c r="X21" s="34">
        <v>0</v>
      </c>
      <c r="Y21" s="32">
        <v>5790.52</v>
      </c>
      <c r="Z21" s="38">
        <v>3164</v>
      </c>
      <c r="AA21" s="38">
        <v>166</v>
      </c>
      <c r="AB21" s="34">
        <v>1143</v>
      </c>
      <c r="AC21" s="38">
        <v>36960</v>
      </c>
      <c r="AD21" s="34">
        <v>10847</v>
      </c>
      <c r="AE21" s="34">
        <v>0</v>
      </c>
      <c r="AF21" s="34">
        <v>16218</v>
      </c>
      <c r="AG21" s="38">
        <v>880</v>
      </c>
      <c r="AH21" s="39">
        <v>12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29041</v>
      </c>
      <c r="G22" s="43">
        <f t="shared" si="1"/>
        <v>3490.5048076923081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56243</v>
      </c>
      <c r="U22" s="43">
        <f t="shared" si="1"/>
        <v>6539.8837209302328</v>
      </c>
      <c r="V22" s="44" t="e">
        <f t="shared" si="1"/>
        <v>#REF!</v>
      </c>
      <c r="W22" s="45">
        <f t="shared" si="1"/>
        <v>24733</v>
      </c>
      <c r="X22" s="44" t="e">
        <f t="shared" si="1"/>
        <v>#REF!</v>
      </c>
      <c r="Y22" s="43">
        <f>SUM(Y20:Y21)</f>
        <v>34229.520000000004</v>
      </c>
      <c r="Z22" s="42">
        <f t="shared" si="1"/>
        <v>8664</v>
      </c>
      <c r="AA22" s="42">
        <f t="shared" si="1"/>
        <v>316</v>
      </c>
      <c r="AB22" s="44">
        <f t="shared" si="1"/>
        <v>1143</v>
      </c>
      <c r="AC22" s="42">
        <f t="shared" si="1"/>
        <v>46540</v>
      </c>
      <c r="AD22" s="44">
        <f>SUM(AD20:AD21)</f>
        <v>21287</v>
      </c>
      <c r="AE22" s="44">
        <f t="shared" si="1"/>
        <v>0</v>
      </c>
      <c r="AF22" s="44">
        <f>SUM(AF20:AF21)</f>
        <v>23578</v>
      </c>
      <c r="AG22" s="42">
        <f t="shared" si="1"/>
        <v>1645</v>
      </c>
      <c r="AH22" s="46">
        <f t="shared" si="1"/>
        <v>162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f>100*208</f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100*215</f>
        <v>21500</v>
      </c>
      <c r="U23" s="32">
        <f>T23/215*25</f>
        <v>2500</v>
      </c>
      <c r="V23" s="31"/>
      <c r="W23" s="31">
        <v>15000</v>
      </c>
      <c r="X23" s="31"/>
      <c r="Y23" s="31">
        <v>9000</v>
      </c>
      <c r="Z23" s="31">
        <v>1000</v>
      </c>
      <c r="AA23" s="31"/>
      <c r="AB23" s="31"/>
      <c r="AC23" s="31">
        <v>19750</v>
      </c>
      <c r="AD23" s="31">
        <v>360</v>
      </c>
      <c r="AE23" s="31"/>
      <c r="AF23" s="48">
        <v>8350</v>
      </c>
      <c r="AG23" s="31"/>
      <c r="AH23" s="49">
        <v>150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49841</v>
      </c>
      <c r="G24" s="52">
        <f t="shared" si="2"/>
        <v>5990.5048076923085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77743</v>
      </c>
      <c r="U24" s="52">
        <f t="shared" si="2"/>
        <v>9039.8837209302328</v>
      </c>
      <c r="V24" s="51" t="e">
        <f t="shared" si="2"/>
        <v>#REF!</v>
      </c>
      <c r="W24" s="52">
        <f t="shared" si="2"/>
        <v>39733</v>
      </c>
      <c r="X24" s="51" t="e">
        <f t="shared" si="2"/>
        <v>#REF!</v>
      </c>
      <c r="Y24" s="52">
        <f t="shared" si="2"/>
        <v>43229.520000000004</v>
      </c>
      <c r="Z24" s="51">
        <f t="shared" si="2"/>
        <v>9664</v>
      </c>
      <c r="AA24" s="51">
        <f t="shared" si="2"/>
        <v>316</v>
      </c>
      <c r="AB24" s="51">
        <f t="shared" si="2"/>
        <v>1143</v>
      </c>
      <c r="AC24" s="51">
        <f t="shared" si="2"/>
        <v>66290</v>
      </c>
      <c r="AD24" s="51">
        <f t="shared" si="2"/>
        <v>21647</v>
      </c>
      <c r="AE24" s="51">
        <f t="shared" si="2"/>
        <v>0</v>
      </c>
      <c r="AF24" s="51">
        <f t="shared" si="2"/>
        <v>31928</v>
      </c>
      <c r="AG24" s="51">
        <f t="shared" si="2"/>
        <v>1645</v>
      </c>
      <c r="AH24" s="53">
        <f t="shared" si="2"/>
        <v>312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10194</v>
      </c>
      <c r="G25" s="32">
        <f>F25/208*25</f>
        <v>1225.2403846153848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10217</v>
      </c>
      <c r="U25" s="32">
        <f>T25/215*25</f>
        <v>1188.0232558139535</v>
      </c>
      <c r="V25" s="47"/>
      <c r="W25" s="35">
        <v>7521</v>
      </c>
      <c r="X25" s="47"/>
      <c r="Y25" s="55">
        <f>Z25*2.43</f>
        <v>2945.1600000000003</v>
      </c>
      <c r="Z25" s="31">
        <v>1212</v>
      </c>
      <c r="AA25" s="38">
        <v>1</v>
      </c>
      <c r="AB25" s="47"/>
      <c r="AC25" s="38">
        <f>174+11135</f>
        <v>11309</v>
      </c>
      <c r="AD25" s="47">
        <v>52</v>
      </c>
      <c r="AE25" s="47"/>
      <c r="AF25" s="47">
        <f>2185+2384</f>
        <v>4569</v>
      </c>
      <c r="AG25" s="38"/>
      <c r="AH25" s="56">
        <v>10</v>
      </c>
    </row>
    <row r="26" spans="1:36" s="4" customFormat="1" ht="100.5" customHeight="1" thickBot="1" x14ac:dyDescent="0.25">
      <c r="A26" s="57">
        <v>45508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39647</v>
      </c>
      <c r="G26" s="59">
        <f t="shared" si="3"/>
        <v>4765.2644230769238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67526</v>
      </c>
      <c r="U26" s="59">
        <f t="shared" si="3"/>
        <v>7851.8604651162796</v>
      </c>
      <c r="V26" s="60" t="e">
        <f t="shared" si="3"/>
        <v>#REF!</v>
      </c>
      <c r="W26" s="59">
        <f t="shared" si="3"/>
        <v>32212</v>
      </c>
      <c r="X26" s="60" t="e">
        <f t="shared" si="3"/>
        <v>#REF!</v>
      </c>
      <c r="Y26" s="61">
        <f>Y24-Y25</f>
        <v>40284.36</v>
      </c>
      <c r="Z26" s="58">
        <f>Z24-Z25</f>
        <v>8452</v>
      </c>
      <c r="AA26" s="58">
        <f t="shared" si="3"/>
        <v>315</v>
      </c>
      <c r="AB26" s="60">
        <f>AB24-AB25</f>
        <v>1143</v>
      </c>
      <c r="AC26" s="58">
        <f>AC24-AC25</f>
        <v>54981</v>
      </c>
      <c r="AD26" s="60">
        <f>AD24-AD25</f>
        <v>21595</v>
      </c>
      <c r="AE26" s="60">
        <f>AE24-AE25</f>
        <v>0</v>
      </c>
      <c r="AF26" s="60">
        <f>AF24-AF25</f>
        <v>27359</v>
      </c>
      <c r="AG26" s="58">
        <f t="shared" ref="AG26" si="7">AG24-AG25</f>
        <v>1645</v>
      </c>
      <c r="AH26" s="62">
        <f>AH24-AH25</f>
        <v>302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155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8" zoomScaleNormal="78" workbookViewId="0">
      <selection activeCell="F25" sqref="F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159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45509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20800</v>
      </c>
      <c r="G20" s="32">
        <f>F20/208*25</f>
        <v>2500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44505</v>
      </c>
      <c r="U20" s="34">
        <f>T20/215*25</f>
        <v>5175</v>
      </c>
      <c r="V20" s="33" t="e">
        <f>#REF!</f>
        <v>#REF!</v>
      </c>
      <c r="W20" s="33">
        <v>17175</v>
      </c>
      <c r="X20" s="33" t="e">
        <f>#REF!</f>
        <v>#REF!</v>
      </c>
      <c r="Y20" s="35">
        <v>34037</v>
      </c>
      <c r="Z20" s="31">
        <v>5100</v>
      </c>
      <c r="AA20" s="31">
        <v>150</v>
      </c>
      <c r="AB20" s="33">
        <v>0</v>
      </c>
      <c r="AC20" s="31">
        <v>16580</v>
      </c>
      <c r="AD20" s="33">
        <v>10800</v>
      </c>
      <c r="AE20" s="33">
        <v>0</v>
      </c>
      <c r="AF20" s="33">
        <v>10210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18847</v>
      </c>
      <c r="G21" s="32">
        <f>F21/208*25</f>
        <v>2265.2644230769229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23021</v>
      </c>
      <c r="U21" s="32">
        <f>T21/215*25</f>
        <v>2676.8604651162791</v>
      </c>
      <c r="V21" s="34"/>
      <c r="W21" s="32">
        <v>15037</v>
      </c>
      <c r="X21" s="34">
        <v>0</v>
      </c>
      <c r="Y21" s="32">
        <v>6247.3600000000006</v>
      </c>
      <c r="Z21" s="38">
        <v>3352</v>
      </c>
      <c r="AA21" s="38">
        <v>165</v>
      </c>
      <c r="AB21" s="34">
        <v>1143</v>
      </c>
      <c r="AC21" s="38">
        <v>38401</v>
      </c>
      <c r="AD21" s="34">
        <v>10795</v>
      </c>
      <c r="AE21" s="34">
        <v>0</v>
      </c>
      <c r="AF21" s="34">
        <v>17149</v>
      </c>
      <c r="AG21" s="38">
        <v>880</v>
      </c>
      <c r="AH21" s="39">
        <v>152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39647</v>
      </c>
      <c r="G22" s="43">
        <f t="shared" si="1"/>
        <v>4765.2644230769229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67526</v>
      </c>
      <c r="U22" s="43">
        <f t="shared" si="1"/>
        <v>7851.8604651162786</v>
      </c>
      <c r="V22" s="44" t="e">
        <f t="shared" si="1"/>
        <v>#REF!</v>
      </c>
      <c r="W22" s="45">
        <f t="shared" si="1"/>
        <v>32212</v>
      </c>
      <c r="X22" s="44" t="e">
        <f t="shared" si="1"/>
        <v>#REF!</v>
      </c>
      <c r="Y22" s="43">
        <f>SUM(Y20:Y21)</f>
        <v>40284.36</v>
      </c>
      <c r="Z22" s="42">
        <f t="shared" si="1"/>
        <v>8452</v>
      </c>
      <c r="AA22" s="42">
        <f t="shared" si="1"/>
        <v>315</v>
      </c>
      <c r="AB22" s="44">
        <f t="shared" si="1"/>
        <v>1143</v>
      </c>
      <c r="AC22" s="42">
        <f t="shared" si="1"/>
        <v>54981</v>
      </c>
      <c r="AD22" s="44">
        <f>SUM(AD20:AD21)</f>
        <v>21595</v>
      </c>
      <c r="AE22" s="44">
        <f t="shared" si="1"/>
        <v>0</v>
      </c>
      <c r="AF22" s="44">
        <f>SUM(AF20:AF21)</f>
        <v>27359</v>
      </c>
      <c r="AG22" s="42">
        <f t="shared" si="1"/>
        <v>1645</v>
      </c>
      <c r="AH22" s="46">
        <f t="shared" si="1"/>
        <v>302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f>75*208</f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75*215</f>
        <v>16125</v>
      </c>
      <c r="U23" s="32">
        <f>T23/215*25</f>
        <v>1875</v>
      </c>
      <c r="V23" s="31"/>
      <c r="W23" s="31"/>
      <c r="X23" s="31"/>
      <c r="Y23" s="31">
        <v>9000</v>
      </c>
      <c r="Z23" s="31">
        <v>1000</v>
      </c>
      <c r="AA23" s="31"/>
      <c r="AB23" s="31"/>
      <c r="AC23" s="31">
        <v>36227</v>
      </c>
      <c r="AD23" s="31"/>
      <c r="AE23" s="31"/>
      <c r="AF23" s="48">
        <v>9500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55247</v>
      </c>
      <c r="G24" s="52">
        <f t="shared" si="2"/>
        <v>6640.2644230769229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83651</v>
      </c>
      <c r="U24" s="52">
        <f t="shared" si="2"/>
        <v>9726.8604651162786</v>
      </c>
      <c r="V24" s="51" t="e">
        <f t="shared" si="2"/>
        <v>#REF!</v>
      </c>
      <c r="W24" s="52">
        <f t="shared" si="2"/>
        <v>32212</v>
      </c>
      <c r="X24" s="51" t="e">
        <f t="shared" si="2"/>
        <v>#REF!</v>
      </c>
      <c r="Y24" s="52">
        <f t="shared" si="2"/>
        <v>49284.36</v>
      </c>
      <c r="Z24" s="51">
        <f t="shared" si="2"/>
        <v>9452</v>
      </c>
      <c r="AA24" s="51">
        <f t="shared" si="2"/>
        <v>315</v>
      </c>
      <c r="AB24" s="51">
        <f t="shared" si="2"/>
        <v>1143</v>
      </c>
      <c r="AC24" s="51">
        <f t="shared" si="2"/>
        <v>91208</v>
      </c>
      <c r="AD24" s="51">
        <f t="shared" si="2"/>
        <v>21595</v>
      </c>
      <c r="AE24" s="51">
        <f t="shared" si="2"/>
        <v>0</v>
      </c>
      <c r="AF24" s="51">
        <f t="shared" si="2"/>
        <v>36859</v>
      </c>
      <c r="AG24" s="51">
        <f t="shared" si="2"/>
        <v>1645</v>
      </c>
      <c r="AH24" s="53">
        <f t="shared" si="2"/>
        <v>302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9965</v>
      </c>
      <c r="G25" s="32">
        <f>F25/208*25</f>
        <v>1197.7163461538462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9582</v>
      </c>
      <c r="U25" s="32">
        <f>T25/215*25</f>
        <v>1114.1860465116279</v>
      </c>
      <c r="V25" s="47"/>
      <c r="W25" s="35">
        <v>7083</v>
      </c>
      <c r="X25" s="47"/>
      <c r="Y25" s="55">
        <f>Z25*2.43</f>
        <v>2665.71</v>
      </c>
      <c r="Z25" s="31">
        <v>1097</v>
      </c>
      <c r="AA25" s="38">
        <v>1</v>
      </c>
      <c r="AB25" s="47">
        <v>0</v>
      </c>
      <c r="AC25" s="38">
        <f>434+10327</f>
        <v>10761</v>
      </c>
      <c r="AD25" s="47">
        <v>17</v>
      </c>
      <c r="AE25" s="47">
        <v>0</v>
      </c>
      <c r="AF25" s="47">
        <f>2027+2322</f>
        <v>4349</v>
      </c>
      <c r="AG25" s="38">
        <v>0</v>
      </c>
      <c r="AH25" s="56">
        <v>12</v>
      </c>
    </row>
    <row r="26" spans="1:36" s="4" customFormat="1" ht="100.5" customHeight="1" thickBot="1" x14ac:dyDescent="0.25">
      <c r="A26" s="57">
        <v>45515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45282</v>
      </c>
      <c r="G26" s="59">
        <f t="shared" si="3"/>
        <v>5442.5480769230762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74069</v>
      </c>
      <c r="U26" s="59">
        <f t="shared" si="3"/>
        <v>8612.6744186046508</v>
      </c>
      <c r="V26" s="60" t="e">
        <f t="shared" si="3"/>
        <v>#REF!</v>
      </c>
      <c r="W26" s="59">
        <f t="shared" si="3"/>
        <v>25129</v>
      </c>
      <c r="X26" s="60" t="e">
        <f t="shared" si="3"/>
        <v>#REF!</v>
      </c>
      <c r="Y26" s="61">
        <f>Y24-Y25</f>
        <v>46618.65</v>
      </c>
      <c r="Z26" s="58">
        <f>Z24-Z25</f>
        <v>8355</v>
      </c>
      <c r="AA26" s="58">
        <f t="shared" si="3"/>
        <v>314</v>
      </c>
      <c r="AB26" s="60">
        <f>AB24-AB25</f>
        <v>1143</v>
      </c>
      <c r="AC26" s="58">
        <f>AC24-AC25</f>
        <v>80447</v>
      </c>
      <c r="AD26" s="60">
        <f>AD24-AD25</f>
        <v>21578</v>
      </c>
      <c r="AE26" s="60">
        <f>AE24-AE25</f>
        <v>0</v>
      </c>
      <c r="AF26" s="60">
        <f>AF24-AF25</f>
        <v>32510</v>
      </c>
      <c r="AG26" s="58">
        <f t="shared" ref="AG26" si="7">AG24-AG25</f>
        <v>1645</v>
      </c>
      <c r="AH26" s="62">
        <f>AH24-AH25</f>
        <v>290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8" zoomScale="70" zoomScaleNormal="70" workbookViewId="0">
      <selection activeCell="F20" sqref="F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45516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21840</v>
      </c>
      <c r="G20" s="32">
        <f>F20/208*25</f>
        <v>2625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57405</v>
      </c>
      <c r="U20" s="34">
        <f>T20/215*25</f>
        <v>6675</v>
      </c>
      <c r="V20" s="33" t="e">
        <f>#REF!</f>
        <v>#REF!</v>
      </c>
      <c r="W20" s="33">
        <v>11425</v>
      </c>
      <c r="X20" s="33" t="e">
        <f>#REF!</f>
        <v>#REF!</v>
      </c>
      <c r="Y20" s="35">
        <v>40121</v>
      </c>
      <c r="Z20" s="31">
        <v>4900</v>
      </c>
      <c r="AA20" s="31">
        <v>150</v>
      </c>
      <c r="AB20" s="33">
        <v>0</v>
      </c>
      <c r="AC20" s="31">
        <v>41807</v>
      </c>
      <c r="AD20" s="33">
        <v>10800</v>
      </c>
      <c r="AE20" s="33">
        <v>0</v>
      </c>
      <c r="AF20" s="33">
        <v>14710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23442</v>
      </c>
      <c r="G21" s="32">
        <f>F21/208*25</f>
        <v>2817.5480769230771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16664</v>
      </c>
      <c r="U21" s="32">
        <f>T21/215*25</f>
        <v>1937.6744186046512</v>
      </c>
      <c r="V21" s="34"/>
      <c r="W21" s="32">
        <v>13704</v>
      </c>
      <c r="X21" s="34">
        <v>0</v>
      </c>
      <c r="Y21" s="32">
        <v>6497.6500000000005</v>
      </c>
      <c r="Z21" s="38">
        <v>3455</v>
      </c>
      <c r="AA21" s="38">
        <v>164</v>
      </c>
      <c r="AB21" s="34">
        <v>1143</v>
      </c>
      <c r="AC21" s="38">
        <v>38640</v>
      </c>
      <c r="AD21" s="34">
        <v>10778</v>
      </c>
      <c r="AE21" s="34">
        <v>0</v>
      </c>
      <c r="AF21" s="34">
        <v>17800</v>
      </c>
      <c r="AG21" s="38">
        <v>880</v>
      </c>
      <c r="AH21" s="39">
        <v>140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45282</v>
      </c>
      <c r="G22" s="43">
        <f t="shared" si="1"/>
        <v>5442.5480769230771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74069</v>
      </c>
      <c r="U22" s="43">
        <f t="shared" si="1"/>
        <v>8612.6744186046508</v>
      </c>
      <c r="V22" s="44" t="e">
        <f t="shared" si="1"/>
        <v>#REF!</v>
      </c>
      <c r="W22" s="45">
        <f t="shared" si="1"/>
        <v>25129</v>
      </c>
      <c r="X22" s="44" t="e">
        <f t="shared" si="1"/>
        <v>#REF!</v>
      </c>
      <c r="Y22" s="43">
        <f>SUM(Y20:Y21)</f>
        <v>46618.65</v>
      </c>
      <c r="Z22" s="42">
        <f t="shared" si="1"/>
        <v>8355</v>
      </c>
      <c r="AA22" s="42">
        <f t="shared" si="1"/>
        <v>314</v>
      </c>
      <c r="AB22" s="44">
        <f t="shared" si="1"/>
        <v>1143</v>
      </c>
      <c r="AC22" s="42">
        <f t="shared" si="1"/>
        <v>80447</v>
      </c>
      <c r="AD22" s="44">
        <f>SUM(AD20:AD21)</f>
        <v>21578</v>
      </c>
      <c r="AE22" s="44">
        <f t="shared" si="1"/>
        <v>0</v>
      </c>
      <c r="AF22" s="44">
        <f>SUM(AF20:AF21)</f>
        <v>32510</v>
      </c>
      <c r="AG22" s="42">
        <f t="shared" si="1"/>
        <v>1645</v>
      </c>
      <c r="AH22" s="46">
        <f t="shared" si="1"/>
        <v>290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45282</v>
      </c>
      <c r="G24" s="52">
        <f t="shared" si="2"/>
        <v>5442.5480769230771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74069</v>
      </c>
      <c r="U24" s="52">
        <f t="shared" si="2"/>
        <v>8612.6744186046508</v>
      </c>
      <c r="V24" s="51" t="e">
        <f t="shared" si="2"/>
        <v>#REF!</v>
      </c>
      <c r="W24" s="52">
        <f t="shared" si="2"/>
        <v>25129</v>
      </c>
      <c r="X24" s="51" t="e">
        <f t="shared" si="2"/>
        <v>#REF!</v>
      </c>
      <c r="Y24" s="52">
        <f t="shared" si="2"/>
        <v>46618.65</v>
      </c>
      <c r="Z24" s="51">
        <f t="shared" si="2"/>
        <v>8355</v>
      </c>
      <c r="AA24" s="51">
        <f t="shared" si="2"/>
        <v>314</v>
      </c>
      <c r="AB24" s="51">
        <f t="shared" si="2"/>
        <v>1143</v>
      </c>
      <c r="AC24" s="51">
        <f t="shared" si="2"/>
        <v>80447</v>
      </c>
      <c r="AD24" s="51">
        <f t="shared" si="2"/>
        <v>21578</v>
      </c>
      <c r="AE24" s="51">
        <f t="shared" si="2"/>
        <v>0</v>
      </c>
      <c r="AF24" s="51">
        <f t="shared" si="2"/>
        <v>32510</v>
      </c>
      <c r="AG24" s="51">
        <f t="shared" si="2"/>
        <v>1645</v>
      </c>
      <c r="AH24" s="53">
        <f t="shared" si="2"/>
        <v>290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10268</v>
      </c>
      <c r="G25" s="32">
        <f>F25/208*25</f>
        <v>1234.1346153846152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9642</v>
      </c>
      <c r="U25" s="32">
        <f>T25/215*25</f>
        <v>1121.1627906976744</v>
      </c>
      <c r="V25" s="47"/>
      <c r="W25" s="35">
        <v>7566</v>
      </c>
      <c r="X25" s="47"/>
      <c r="Y25" s="55">
        <v>2731.3199999999997</v>
      </c>
      <c r="Z25" s="31">
        <v>1124</v>
      </c>
      <c r="AA25" s="38"/>
      <c r="AB25" s="47"/>
      <c r="AC25" s="38">
        <v>11259</v>
      </c>
      <c r="AD25" s="47">
        <v>30</v>
      </c>
      <c r="AE25" s="47">
        <v>0</v>
      </c>
      <c r="AF25" s="47">
        <v>4559</v>
      </c>
      <c r="AG25" s="38">
        <v>0</v>
      </c>
      <c r="AH25" s="56">
        <v>24</v>
      </c>
    </row>
    <row r="26" spans="1:36" s="4" customFormat="1" ht="100.5" customHeight="1" thickBot="1" x14ac:dyDescent="0.25">
      <c r="A26" s="57">
        <v>45522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35014</v>
      </c>
      <c r="G26" s="59">
        <f t="shared" si="3"/>
        <v>4208.4134615384619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64427</v>
      </c>
      <c r="U26" s="59">
        <f t="shared" si="3"/>
        <v>7491.5116279069762</v>
      </c>
      <c r="V26" s="60" t="e">
        <f t="shared" si="3"/>
        <v>#REF!</v>
      </c>
      <c r="W26" s="59">
        <f t="shared" si="3"/>
        <v>17563</v>
      </c>
      <c r="X26" s="60" t="e">
        <f t="shared" si="3"/>
        <v>#REF!</v>
      </c>
      <c r="Y26" s="61">
        <f>Y24-Y25</f>
        <v>43887.33</v>
      </c>
      <c r="Z26" s="58">
        <f>Z24-Z25</f>
        <v>7231</v>
      </c>
      <c r="AA26" s="58">
        <f t="shared" si="3"/>
        <v>314</v>
      </c>
      <c r="AB26" s="60">
        <f>AB24-AB25</f>
        <v>1143</v>
      </c>
      <c r="AC26" s="58">
        <f>AC24-AC25</f>
        <v>69188</v>
      </c>
      <c r="AD26" s="60">
        <f>AD24-AD25</f>
        <v>21548</v>
      </c>
      <c r="AE26" s="60">
        <f>AE24-AE25</f>
        <v>0</v>
      </c>
      <c r="AF26" s="60">
        <f>AF24-AF25</f>
        <v>27951</v>
      </c>
      <c r="AG26" s="58">
        <f t="shared" ref="AG26" si="7">AG24-AG25</f>
        <v>1645</v>
      </c>
      <c r="AH26" s="62">
        <f>AH24-AH25</f>
        <v>266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9" zoomScale="70" zoomScaleNormal="70" workbookViewId="0">
      <selection activeCell="F26" sqref="F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710937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45523</v>
      </c>
      <c r="B20" s="168" t="s">
        <v>37</v>
      </c>
      <c r="C20" s="30" t="s">
        <v>38</v>
      </c>
      <c r="D20" s="86"/>
      <c r="E20" s="38">
        <f t="shared" ref="E20" si="0">D20/200*25</f>
        <v>0</v>
      </c>
      <c r="F20" s="31">
        <v>15600</v>
      </c>
      <c r="G20" s="32">
        <f>F20/208*25</f>
        <v>1875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45580</v>
      </c>
      <c r="U20" s="34">
        <f>T20/215*25</f>
        <v>5300</v>
      </c>
      <c r="V20" s="33" t="e">
        <f>#REF!</f>
        <v>#REF!</v>
      </c>
      <c r="W20" s="33">
        <v>4925</v>
      </c>
      <c r="X20" s="33" t="e">
        <f>#REF!</f>
        <v>#REF!</v>
      </c>
      <c r="Y20" s="35">
        <v>37569</v>
      </c>
      <c r="Z20" s="31">
        <v>3850</v>
      </c>
      <c r="AA20" s="31">
        <v>150</v>
      </c>
      <c r="AB20" s="33">
        <v>0</v>
      </c>
      <c r="AC20" s="31">
        <v>25057</v>
      </c>
      <c r="AD20" s="33">
        <v>10800</v>
      </c>
      <c r="AE20" s="33">
        <v>0</v>
      </c>
      <c r="AF20" s="33">
        <v>11010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19414</v>
      </c>
      <c r="G21" s="32">
        <f>F21/208*25</f>
        <v>2333.4134615384619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18847</v>
      </c>
      <c r="U21" s="32">
        <f>T21/215*25</f>
        <v>2191.5116279069766</v>
      </c>
      <c r="V21" s="34"/>
      <c r="W21" s="32">
        <v>12638</v>
      </c>
      <c r="X21" s="34">
        <v>0</v>
      </c>
      <c r="Y21" s="32">
        <v>6318.33</v>
      </c>
      <c r="Z21" s="38">
        <v>3381</v>
      </c>
      <c r="AA21" s="38">
        <v>164</v>
      </c>
      <c r="AB21" s="34">
        <v>1143</v>
      </c>
      <c r="AC21" s="38">
        <v>44131</v>
      </c>
      <c r="AD21" s="34">
        <v>10748</v>
      </c>
      <c r="AE21" s="34">
        <v>0</v>
      </c>
      <c r="AF21" s="34">
        <v>16941</v>
      </c>
      <c r="AG21" s="38">
        <v>880</v>
      </c>
      <c r="AH21" s="39">
        <v>116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35014</v>
      </c>
      <c r="G22" s="43">
        <f t="shared" si="1"/>
        <v>4208.4134615384619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64427</v>
      </c>
      <c r="U22" s="43">
        <f t="shared" si="1"/>
        <v>7491.5116279069771</v>
      </c>
      <c r="V22" s="44" t="e">
        <f t="shared" si="1"/>
        <v>#REF!</v>
      </c>
      <c r="W22" s="45">
        <f t="shared" si="1"/>
        <v>17563</v>
      </c>
      <c r="X22" s="44" t="e">
        <f t="shared" si="1"/>
        <v>#REF!</v>
      </c>
      <c r="Y22" s="43">
        <f>SUM(Y20:Y21)</f>
        <v>43887.33</v>
      </c>
      <c r="Z22" s="42">
        <f t="shared" si="1"/>
        <v>7231</v>
      </c>
      <c r="AA22" s="42">
        <f t="shared" si="1"/>
        <v>314</v>
      </c>
      <c r="AB22" s="44">
        <f t="shared" si="1"/>
        <v>1143</v>
      </c>
      <c r="AC22" s="42">
        <f t="shared" si="1"/>
        <v>69188</v>
      </c>
      <c r="AD22" s="44">
        <f>SUM(AD20:AD21)</f>
        <v>21548</v>
      </c>
      <c r="AE22" s="44">
        <f t="shared" si="1"/>
        <v>0</v>
      </c>
      <c r="AF22" s="44">
        <f>SUM(AF20:AF21)</f>
        <v>27951</v>
      </c>
      <c r="AG22" s="42">
        <f t="shared" si="1"/>
        <v>1645</v>
      </c>
      <c r="AH22" s="46">
        <f t="shared" si="1"/>
        <v>266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10750</v>
      </c>
      <c r="U23" s="32">
        <f>T23/215*25</f>
        <v>1250</v>
      </c>
      <c r="V23" s="31"/>
      <c r="W23" s="31">
        <v>10000</v>
      </c>
      <c r="X23" s="31"/>
      <c r="Y23" s="31"/>
      <c r="Z23" s="31">
        <v>1000</v>
      </c>
      <c r="AA23" s="31"/>
      <c r="AB23" s="31"/>
      <c r="AC23" s="31">
        <v>42750</v>
      </c>
      <c r="AD23" s="31"/>
      <c r="AE23" s="31"/>
      <c r="AF23" s="48">
        <f>1800+2000</f>
        <v>3800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45414</v>
      </c>
      <c r="G24" s="52">
        <f t="shared" si="2"/>
        <v>5458.4134615384619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75177</v>
      </c>
      <c r="U24" s="52">
        <f t="shared" si="2"/>
        <v>8741.5116279069771</v>
      </c>
      <c r="V24" s="51" t="e">
        <f t="shared" si="2"/>
        <v>#REF!</v>
      </c>
      <c r="W24" s="52">
        <f t="shared" si="2"/>
        <v>27563</v>
      </c>
      <c r="X24" s="51" t="e">
        <f t="shared" si="2"/>
        <v>#REF!</v>
      </c>
      <c r="Y24" s="52">
        <f t="shared" si="2"/>
        <v>43887.33</v>
      </c>
      <c r="Z24" s="51">
        <f t="shared" si="2"/>
        <v>8231</v>
      </c>
      <c r="AA24" s="51">
        <f t="shared" si="2"/>
        <v>314</v>
      </c>
      <c r="AB24" s="51">
        <f t="shared" si="2"/>
        <v>1143</v>
      </c>
      <c r="AC24" s="51">
        <f t="shared" si="2"/>
        <v>111938</v>
      </c>
      <c r="AD24" s="51">
        <f t="shared" si="2"/>
        <v>21548</v>
      </c>
      <c r="AE24" s="51">
        <f t="shared" si="2"/>
        <v>0</v>
      </c>
      <c r="AF24" s="51">
        <f t="shared" si="2"/>
        <v>31751</v>
      </c>
      <c r="AG24" s="51">
        <f t="shared" si="2"/>
        <v>1645</v>
      </c>
      <c r="AH24" s="53">
        <f t="shared" si="2"/>
        <v>266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10357</v>
      </c>
      <c r="G25" s="32">
        <f>F25/208*25</f>
        <v>1244.8317307692309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7138</v>
      </c>
      <c r="U25" s="32">
        <f>T25/215*25</f>
        <v>830.00000000000011</v>
      </c>
      <c r="V25" s="47"/>
      <c r="W25" s="35">
        <v>6808.2</v>
      </c>
      <c r="X25" s="47"/>
      <c r="Y25" s="55">
        <v>2464.02</v>
      </c>
      <c r="Z25" s="31">
        <v>1014</v>
      </c>
      <c r="AA25" s="38">
        <v>1</v>
      </c>
      <c r="AB25" s="47"/>
      <c r="AC25" s="38">
        <v>10103</v>
      </c>
      <c r="AD25" s="47">
        <v>10</v>
      </c>
      <c r="AE25" s="47">
        <v>0</v>
      </c>
      <c r="AF25" s="47">
        <v>4119</v>
      </c>
      <c r="AG25" s="38">
        <v>0</v>
      </c>
      <c r="AH25" s="56">
        <v>12</v>
      </c>
    </row>
    <row r="26" spans="1:36" s="4" customFormat="1" ht="100.5" customHeight="1" thickBot="1" x14ac:dyDescent="0.25">
      <c r="A26" s="57">
        <v>45529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35057</v>
      </c>
      <c r="G26" s="59">
        <f t="shared" si="3"/>
        <v>4213.5817307692305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68039</v>
      </c>
      <c r="U26" s="59">
        <f t="shared" si="3"/>
        <v>7911.5116279069771</v>
      </c>
      <c r="V26" s="60" t="e">
        <f t="shared" si="3"/>
        <v>#REF!</v>
      </c>
      <c r="W26" s="59">
        <f t="shared" si="3"/>
        <v>20754.8</v>
      </c>
      <c r="X26" s="60" t="e">
        <f t="shared" si="3"/>
        <v>#REF!</v>
      </c>
      <c r="Y26" s="61">
        <f>Y24-Y25</f>
        <v>41423.310000000005</v>
      </c>
      <c r="Z26" s="58">
        <f>Z24-Z25</f>
        <v>7217</v>
      </c>
      <c r="AA26" s="58">
        <f t="shared" si="3"/>
        <v>313</v>
      </c>
      <c r="AB26" s="60">
        <f>AB24-AB25</f>
        <v>1143</v>
      </c>
      <c r="AC26" s="58">
        <f>AC24-AC25</f>
        <v>101835</v>
      </c>
      <c r="AD26" s="60">
        <f>AD24-AD25</f>
        <v>21538</v>
      </c>
      <c r="AE26" s="60">
        <f>AE24-AE25</f>
        <v>0</v>
      </c>
      <c r="AF26" s="60">
        <f>AF24-AF25</f>
        <v>27632</v>
      </c>
      <c r="AG26" s="58">
        <f t="shared" ref="AG26" si="7">AG24-AG25</f>
        <v>1645</v>
      </c>
      <c r="AH26" s="62">
        <f>AH24-AH25</f>
        <v>254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0" zoomScaleNormal="70" workbookViewId="0">
      <selection activeCell="Q26" sqref="Q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45530</v>
      </c>
      <c r="B20" s="168" t="s">
        <v>37</v>
      </c>
      <c r="C20" s="30" t="s">
        <v>38</v>
      </c>
      <c r="D20" s="86"/>
      <c r="E20" s="38">
        <f t="shared" ref="E20" si="0">D20/200*25</f>
        <v>0</v>
      </c>
      <c r="F20" s="31">
        <v>11440</v>
      </c>
      <c r="G20" s="32">
        <f>F20/208*25</f>
        <v>1375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54180</v>
      </c>
      <c r="U20" s="34">
        <f>T20/215*25</f>
        <v>6300</v>
      </c>
      <c r="V20" s="33" t="e">
        <f>#REF!</f>
        <v>#REF!</v>
      </c>
      <c r="W20" s="33">
        <v>6425</v>
      </c>
      <c r="X20" s="33" t="e">
        <f>#REF!</f>
        <v>#REF!</v>
      </c>
      <c r="Y20" s="35">
        <v>35625</v>
      </c>
      <c r="Z20" s="31">
        <v>4050</v>
      </c>
      <c r="AA20" s="31">
        <v>150</v>
      </c>
      <c r="AB20" s="33">
        <v>0</v>
      </c>
      <c r="AC20" s="31">
        <v>53307</v>
      </c>
      <c r="AD20" s="33">
        <v>10800</v>
      </c>
      <c r="AE20" s="33">
        <v>0</v>
      </c>
      <c r="AF20" s="33">
        <v>10810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23617</v>
      </c>
      <c r="G21" s="32">
        <f>F21/208*25</f>
        <v>2838.5817307692305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13859</v>
      </c>
      <c r="U21" s="32">
        <f>T21/215*25</f>
        <v>1611.5116279069766</v>
      </c>
      <c r="V21" s="34"/>
      <c r="W21" s="32">
        <v>14329.8</v>
      </c>
      <c r="X21" s="34">
        <v>0</v>
      </c>
      <c r="Y21" s="32">
        <v>5798.3099999999995</v>
      </c>
      <c r="Z21" s="38">
        <v>3167</v>
      </c>
      <c r="AA21" s="38">
        <v>163</v>
      </c>
      <c r="AB21" s="34">
        <v>1143</v>
      </c>
      <c r="AC21" s="38">
        <v>48528</v>
      </c>
      <c r="AD21" s="34">
        <v>10738</v>
      </c>
      <c r="AE21" s="34">
        <v>0</v>
      </c>
      <c r="AF21" s="34">
        <v>16822</v>
      </c>
      <c r="AG21" s="38">
        <v>880</v>
      </c>
      <c r="AH21" s="39">
        <v>104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35057</v>
      </c>
      <c r="G22" s="43">
        <f t="shared" si="1"/>
        <v>4213.5817307692305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68039</v>
      </c>
      <c r="U22" s="43">
        <f t="shared" si="1"/>
        <v>7911.5116279069771</v>
      </c>
      <c r="V22" s="44" t="e">
        <f t="shared" si="1"/>
        <v>#REF!</v>
      </c>
      <c r="W22" s="45">
        <f t="shared" si="1"/>
        <v>20754.8</v>
      </c>
      <c r="X22" s="44" t="e">
        <f t="shared" si="1"/>
        <v>#REF!</v>
      </c>
      <c r="Y22" s="43">
        <f>SUM(Y20:Y21)</f>
        <v>41423.31</v>
      </c>
      <c r="Z22" s="42">
        <f t="shared" si="1"/>
        <v>7217</v>
      </c>
      <c r="AA22" s="42">
        <f t="shared" si="1"/>
        <v>313</v>
      </c>
      <c r="AB22" s="44">
        <f t="shared" si="1"/>
        <v>1143</v>
      </c>
      <c r="AC22" s="42">
        <f t="shared" si="1"/>
        <v>101835</v>
      </c>
      <c r="AD22" s="44">
        <f>SUM(AD20:AD21)</f>
        <v>21538</v>
      </c>
      <c r="AE22" s="44">
        <f t="shared" si="1"/>
        <v>0</v>
      </c>
      <c r="AF22" s="44">
        <f>SUM(AF20:AF21)</f>
        <v>27632</v>
      </c>
      <c r="AG22" s="42">
        <f t="shared" si="1"/>
        <v>1645</v>
      </c>
      <c r="AH22" s="46">
        <f t="shared" si="1"/>
        <v>254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35057</v>
      </c>
      <c r="G24" s="52">
        <f t="shared" si="2"/>
        <v>4213.5817307692305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68039</v>
      </c>
      <c r="U24" s="52">
        <f t="shared" si="2"/>
        <v>7911.5116279069771</v>
      </c>
      <c r="V24" s="51" t="e">
        <f t="shared" si="2"/>
        <v>#REF!</v>
      </c>
      <c r="W24" s="52">
        <f t="shared" si="2"/>
        <v>20754.8</v>
      </c>
      <c r="X24" s="51" t="e">
        <f t="shared" si="2"/>
        <v>#REF!</v>
      </c>
      <c r="Y24" s="52">
        <f t="shared" si="2"/>
        <v>41423.31</v>
      </c>
      <c r="Z24" s="51">
        <f t="shared" si="2"/>
        <v>7217</v>
      </c>
      <c r="AA24" s="51">
        <f t="shared" si="2"/>
        <v>313</v>
      </c>
      <c r="AB24" s="51">
        <f t="shared" si="2"/>
        <v>1143</v>
      </c>
      <c r="AC24" s="51">
        <f t="shared" si="2"/>
        <v>101835</v>
      </c>
      <c r="AD24" s="51">
        <f t="shared" si="2"/>
        <v>21538</v>
      </c>
      <c r="AE24" s="51">
        <f t="shared" si="2"/>
        <v>0</v>
      </c>
      <c r="AF24" s="51">
        <f t="shared" si="2"/>
        <v>27632</v>
      </c>
      <c r="AG24" s="51">
        <f t="shared" si="2"/>
        <v>1645</v>
      </c>
      <c r="AH24" s="53">
        <f t="shared" si="2"/>
        <v>254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10635</v>
      </c>
      <c r="G25" s="32">
        <f>F25/208*25</f>
        <v>1278.2451923076924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8806</v>
      </c>
      <c r="U25" s="32">
        <f>T25/215*25</f>
        <v>1023.953488372093</v>
      </c>
      <c r="V25" s="47"/>
      <c r="W25" s="35">
        <v>7205.8</v>
      </c>
      <c r="X25" s="47"/>
      <c r="Y25" s="55">
        <v>2660.85</v>
      </c>
      <c r="Z25" s="31">
        <v>1095</v>
      </c>
      <c r="AA25" s="38">
        <v>5</v>
      </c>
      <c r="AB25" s="47"/>
      <c r="AC25" s="38">
        <v>10955</v>
      </c>
      <c r="AD25" s="47"/>
      <c r="AE25" s="47">
        <v>0</v>
      </c>
      <c r="AF25" s="47">
        <f>1736+2287+329</f>
        <v>4352</v>
      </c>
      <c r="AG25" s="38">
        <v>0</v>
      </c>
      <c r="AH25" s="56">
        <v>18</v>
      </c>
    </row>
    <row r="26" spans="1:36" s="4" customFormat="1" ht="100.5" customHeight="1" thickBot="1" x14ac:dyDescent="0.25">
      <c r="A26" s="57">
        <v>45536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24422</v>
      </c>
      <c r="G26" s="59">
        <f t="shared" si="3"/>
        <v>2935.3365384615381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59233</v>
      </c>
      <c r="U26" s="59">
        <f t="shared" si="3"/>
        <v>6887.5581395348836</v>
      </c>
      <c r="V26" s="60" t="e">
        <f t="shared" si="3"/>
        <v>#REF!</v>
      </c>
      <c r="W26" s="59">
        <f t="shared" si="3"/>
        <v>13549</v>
      </c>
      <c r="X26" s="60" t="e">
        <f t="shared" si="3"/>
        <v>#REF!</v>
      </c>
      <c r="Y26" s="61">
        <f>Y24-Y25</f>
        <v>38762.46</v>
      </c>
      <c r="Z26" s="58">
        <f>Z24-Z25</f>
        <v>6122</v>
      </c>
      <c r="AA26" s="58">
        <f t="shared" si="3"/>
        <v>308</v>
      </c>
      <c r="AB26" s="60">
        <f>AB24-AB25</f>
        <v>1143</v>
      </c>
      <c r="AC26" s="58">
        <f>AC24-AC25</f>
        <v>90880</v>
      </c>
      <c r="AD26" s="60">
        <f>AD24-AD25</f>
        <v>21538</v>
      </c>
      <c r="AE26" s="60">
        <f>AE24-AE25</f>
        <v>0</v>
      </c>
      <c r="AF26" s="60">
        <f>AF24-AF25</f>
        <v>23280</v>
      </c>
      <c r="AG26" s="58">
        <f t="shared" ref="AG26" si="7">AG24-AG25</f>
        <v>1645</v>
      </c>
      <c r="AH26" s="62">
        <f>AH24-AH25</f>
        <v>236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Q29" sqref="Q29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45537</v>
      </c>
      <c r="B20" s="168" t="s">
        <v>37</v>
      </c>
      <c r="C20" s="30" t="s">
        <v>38</v>
      </c>
      <c r="D20" s="86"/>
      <c r="E20" s="38">
        <f t="shared" ref="E20" si="0">D20/200*25</f>
        <v>0</v>
      </c>
      <c r="F20" s="31">
        <v>3120</v>
      </c>
      <c r="G20" s="32">
        <f>F20/208*25</f>
        <v>375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42355</v>
      </c>
      <c r="U20" s="34">
        <f>T20/215*25</f>
        <v>4925</v>
      </c>
      <c r="V20" s="33" t="e">
        <f>#REF!</f>
        <v>#REF!</v>
      </c>
      <c r="W20" s="33">
        <v>2125</v>
      </c>
      <c r="X20" s="33" t="e">
        <f>#REF!</f>
        <v>#REF!</v>
      </c>
      <c r="Y20" s="35">
        <v>33195</v>
      </c>
      <c r="Z20" s="31">
        <v>3050</v>
      </c>
      <c r="AA20" s="31">
        <v>150</v>
      </c>
      <c r="AB20" s="33">
        <v>0</v>
      </c>
      <c r="AC20" s="31">
        <v>39807</v>
      </c>
      <c r="AD20" s="33">
        <v>10800</v>
      </c>
      <c r="AE20" s="33">
        <v>0</v>
      </c>
      <c r="AF20" s="33">
        <v>7110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21302</v>
      </c>
      <c r="G21" s="32">
        <f>F21/208*25</f>
        <v>2560.3365384615381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16878</v>
      </c>
      <c r="U21" s="32">
        <f>T21/215*25</f>
        <v>1962.5581395348838</v>
      </c>
      <c r="V21" s="34"/>
      <c r="W21" s="32">
        <v>11423.999999999998</v>
      </c>
      <c r="X21" s="34">
        <v>0</v>
      </c>
      <c r="Y21" s="32">
        <v>5567.4599999999991</v>
      </c>
      <c r="Z21" s="38">
        <v>3072</v>
      </c>
      <c r="AA21" s="38">
        <v>158</v>
      </c>
      <c r="AB21" s="34">
        <v>1143</v>
      </c>
      <c r="AC21" s="38">
        <v>51073</v>
      </c>
      <c r="AD21" s="34">
        <v>10738</v>
      </c>
      <c r="AE21" s="34">
        <v>0</v>
      </c>
      <c r="AF21" s="34">
        <v>16170</v>
      </c>
      <c r="AG21" s="38">
        <v>880</v>
      </c>
      <c r="AH21" s="39">
        <v>86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24422</v>
      </c>
      <c r="G22" s="43">
        <f t="shared" si="1"/>
        <v>2935.3365384615381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59233</v>
      </c>
      <c r="U22" s="43">
        <f t="shared" si="1"/>
        <v>6887.5581395348836</v>
      </c>
      <c r="V22" s="44" t="e">
        <f t="shared" si="1"/>
        <v>#REF!</v>
      </c>
      <c r="W22" s="45">
        <f t="shared" si="1"/>
        <v>13548.999999999998</v>
      </c>
      <c r="X22" s="44" t="e">
        <f t="shared" si="1"/>
        <v>#REF!</v>
      </c>
      <c r="Y22" s="43">
        <f>SUM(Y20:Y21)</f>
        <v>38762.46</v>
      </c>
      <c r="Z22" s="42">
        <f t="shared" si="1"/>
        <v>6122</v>
      </c>
      <c r="AA22" s="42">
        <f t="shared" si="1"/>
        <v>308</v>
      </c>
      <c r="AB22" s="44">
        <f t="shared" si="1"/>
        <v>1143</v>
      </c>
      <c r="AC22" s="42">
        <f t="shared" si="1"/>
        <v>90880</v>
      </c>
      <c r="AD22" s="44">
        <f>SUM(AD20:AD21)</f>
        <v>21538</v>
      </c>
      <c r="AE22" s="44">
        <f t="shared" si="1"/>
        <v>0</v>
      </c>
      <c r="AF22" s="44">
        <f>SUM(AF20:AF21)</f>
        <v>23280</v>
      </c>
      <c r="AG22" s="42">
        <f t="shared" si="1"/>
        <v>1645</v>
      </c>
      <c r="AH22" s="46">
        <f t="shared" si="1"/>
        <v>236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16125</v>
      </c>
      <c r="U23" s="32">
        <f>T23/215*25</f>
        <v>1875</v>
      </c>
      <c r="V23" s="31"/>
      <c r="W23" s="31">
        <v>15000</v>
      </c>
      <c r="X23" s="31"/>
      <c r="Y23" s="31">
        <v>3000</v>
      </c>
      <c r="Z23" s="31">
        <v>1000</v>
      </c>
      <c r="AA23" s="31"/>
      <c r="AB23" s="31"/>
      <c r="AC23" s="31"/>
      <c r="AD23" s="31"/>
      <c r="AE23" s="31"/>
      <c r="AF23" s="48">
        <f>3600+4000</f>
        <v>7600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40022</v>
      </c>
      <c r="G24" s="52">
        <f t="shared" si="2"/>
        <v>4810.3365384615381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75358</v>
      </c>
      <c r="U24" s="52">
        <f t="shared" si="2"/>
        <v>8762.5581395348836</v>
      </c>
      <c r="V24" s="51" t="e">
        <f t="shared" si="2"/>
        <v>#REF!</v>
      </c>
      <c r="W24" s="52">
        <f t="shared" si="2"/>
        <v>28549</v>
      </c>
      <c r="X24" s="51" t="e">
        <f t="shared" si="2"/>
        <v>#REF!</v>
      </c>
      <c r="Y24" s="52">
        <f t="shared" si="2"/>
        <v>41762.46</v>
      </c>
      <c r="Z24" s="51">
        <f t="shared" si="2"/>
        <v>7122</v>
      </c>
      <c r="AA24" s="51">
        <f t="shared" si="2"/>
        <v>308</v>
      </c>
      <c r="AB24" s="51">
        <f t="shared" si="2"/>
        <v>1143</v>
      </c>
      <c r="AC24" s="51">
        <f t="shared" si="2"/>
        <v>90880</v>
      </c>
      <c r="AD24" s="51">
        <f t="shared" si="2"/>
        <v>21538</v>
      </c>
      <c r="AE24" s="51">
        <f t="shared" si="2"/>
        <v>0</v>
      </c>
      <c r="AF24" s="51">
        <f t="shared" si="2"/>
        <v>30880</v>
      </c>
      <c r="AG24" s="51">
        <f t="shared" si="2"/>
        <v>1645</v>
      </c>
      <c r="AH24" s="53">
        <f t="shared" si="2"/>
        <v>236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11432</v>
      </c>
      <c r="G25" s="32">
        <f>F25/208*25</f>
        <v>1374.0384615384614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8032</v>
      </c>
      <c r="U25" s="32">
        <f>T25/215*25</f>
        <v>933.95348837209303</v>
      </c>
      <c r="V25" s="47"/>
      <c r="W25" s="35">
        <v>6626.2</v>
      </c>
      <c r="X25" s="47"/>
      <c r="Y25" s="55">
        <v>2638.98</v>
      </c>
      <c r="Z25" s="31">
        <v>1086</v>
      </c>
      <c r="AA25" s="38"/>
      <c r="AB25" s="47"/>
      <c r="AC25" s="38">
        <v>10212</v>
      </c>
      <c r="AD25" s="47"/>
      <c r="AE25" s="47">
        <v>0</v>
      </c>
      <c r="AF25" s="47">
        <f>1540+2339+295</f>
        <v>4174</v>
      </c>
      <c r="AG25" s="38">
        <v>0</v>
      </c>
      <c r="AH25" s="56">
        <v>16</v>
      </c>
    </row>
    <row r="26" spans="1:36" s="4" customFormat="1" ht="100.5" customHeight="1" thickBot="1" x14ac:dyDescent="0.25">
      <c r="A26" s="57">
        <v>45543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28590</v>
      </c>
      <c r="G26" s="59">
        <f t="shared" si="3"/>
        <v>3436.2980769230767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67326</v>
      </c>
      <c r="U26" s="59">
        <f t="shared" si="3"/>
        <v>7828.6046511627901</v>
      </c>
      <c r="V26" s="60" t="e">
        <f t="shared" si="3"/>
        <v>#REF!</v>
      </c>
      <c r="W26" s="59">
        <f t="shared" si="3"/>
        <v>21922.799999999999</v>
      </c>
      <c r="X26" s="60" t="e">
        <f t="shared" si="3"/>
        <v>#REF!</v>
      </c>
      <c r="Y26" s="61">
        <f>Y24-Y25</f>
        <v>39123.479999999996</v>
      </c>
      <c r="Z26" s="58">
        <f>Z24-Z25</f>
        <v>6036</v>
      </c>
      <c r="AA26" s="58">
        <f t="shared" si="3"/>
        <v>308</v>
      </c>
      <c r="AB26" s="60">
        <f>AB24-AB25</f>
        <v>1143</v>
      </c>
      <c r="AC26" s="58">
        <f>AC24-AC25</f>
        <v>80668</v>
      </c>
      <c r="AD26" s="60">
        <f>AD24-AD25</f>
        <v>21538</v>
      </c>
      <c r="AE26" s="60">
        <f>AE24-AE25</f>
        <v>0</v>
      </c>
      <c r="AF26" s="60">
        <f>AF24-AF25</f>
        <v>26706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66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67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Y25" sqref="Y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45544</v>
      </c>
      <c r="B20" s="168" t="s">
        <v>37</v>
      </c>
      <c r="C20" s="30" t="s">
        <v>38</v>
      </c>
      <c r="D20" s="86"/>
      <c r="E20" s="38">
        <f t="shared" ref="E20" si="0">D20/200*25</f>
        <v>0</v>
      </c>
      <c r="F20" s="31">
        <v>4160</v>
      </c>
      <c r="G20" s="32">
        <f>F20/208*25</f>
        <v>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56330</v>
      </c>
      <c r="U20" s="34">
        <f>T20/215*25</f>
        <v>6550</v>
      </c>
      <c r="V20" s="33" t="e">
        <f>#REF!</f>
        <v>#REF!</v>
      </c>
      <c r="W20" s="33">
        <v>7250</v>
      </c>
      <c r="X20" s="33" t="e">
        <f>#REF!</f>
        <v>#REF!</v>
      </c>
      <c r="Y20" s="35">
        <v>34251</v>
      </c>
      <c r="Z20" s="31">
        <v>3250</v>
      </c>
      <c r="AA20" s="31">
        <v>150</v>
      </c>
      <c r="AB20" s="33">
        <v>0</v>
      </c>
      <c r="AC20" s="31">
        <v>32557</v>
      </c>
      <c r="AD20" s="33">
        <v>10800</v>
      </c>
      <c r="AE20" s="33">
        <v>0</v>
      </c>
      <c r="AF20" s="33">
        <v>10710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24430</v>
      </c>
      <c r="G21" s="32">
        <f>F21/208*25</f>
        <v>2936.2980769230771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10996</v>
      </c>
      <c r="U21" s="32">
        <f>T21/215*25</f>
        <v>1278.6046511627908</v>
      </c>
      <c r="V21" s="34"/>
      <c r="W21" s="32">
        <v>14672.8</v>
      </c>
      <c r="X21" s="34">
        <v>0</v>
      </c>
      <c r="Y21" s="32">
        <v>4872.4799999999996</v>
      </c>
      <c r="Z21" s="38">
        <v>2786</v>
      </c>
      <c r="AA21" s="38">
        <v>158</v>
      </c>
      <c r="AB21" s="34">
        <v>1143</v>
      </c>
      <c r="AC21" s="38">
        <v>48111</v>
      </c>
      <c r="AD21" s="34">
        <v>10738</v>
      </c>
      <c r="AE21" s="34">
        <v>0</v>
      </c>
      <c r="AF21" s="34">
        <v>15996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28590</v>
      </c>
      <c r="G22" s="43">
        <f t="shared" si="1"/>
        <v>3436.2980769230771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67326</v>
      </c>
      <c r="U22" s="43">
        <f t="shared" si="1"/>
        <v>7828.604651162791</v>
      </c>
      <c r="V22" s="44" t="e">
        <f t="shared" si="1"/>
        <v>#REF!</v>
      </c>
      <c r="W22" s="45">
        <f t="shared" si="1"/>
        <v>21922.799999999999</v>
      </c>
      <c r="X22" s="44" t="e">
        <f t="shared" si="1"/>
        <v>#REF!</v>
      </c>
      <c r="Y22" s="43">
        <f>SUM(Y20:Y21)</f>
        <v>39123.479999999996</v>
      </c>
      <c r="Z22" s="42">
        <f t="shared" si="1"/>
        <v>6036</v>
      </c>
      <c r="AA22" s="42">
        <f t="shared" si="1"/>
        <v>308</v>
      </c>
      <c r="AB22" s="44">
        <f t="shared" si="1"/>
        <v>1143</v>
      </c>
      <c r="AC22" s="42">
        <f t="shared" si="1"/>
        <v>80668</v>
      </c>
      <c r="AD22" s="44">
        <f>SUM(AD20:AD21)</f>
        <v>21538</v>
      </c>
      <c r="AE22" s="44">
        <f t="shared" si="1"/>
        <v>0</v>
      </c>
      <c r="AF22" s="44">
        <f>SUM(AF20:AF21)</f>
        <v>26706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10750</v>
      </c>
      <c r="U23" s="32">
        <f>T23/215*25</f>
        <v>1250</v>
      </c>
      <c r="V23" s="31"/>
      <c r="W23" s="31">
        <v>15000</v>
      </c>
      <c r="X23" s="31"/>
      <c r="Y23" s="31">
        <v>3000</v>
      </c>
      <c r="Z23" s="31">
        <v>1000</v>
      </c>
      <c r="AA23" s="31"/>
      <c r="AB23" s="31"/>
      <c r="AC23" s="31">
        <v>13000</v>
      </c>
      <c r="AD23" s="31"/>
      <c r="AE23" s="31"/>
      <c r="AF23" s="48">
        <f>3600+4000</f>
        <v>7600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38990</v>
      </c>
      <c r="G24" s="52">
        <f t="shared" si="2"/>
        <v>4686.2980769230771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78076</v>
      </c>
      <c r="U24" s="52">
        <f t="shared" si="2"/>
        <v>9078.6046511627901</v>
      </c>
      <c r="V24" s="51" t="e">
        <f t="shared" si="2"/>
        <v>#REF!</v>
      </c>
      <c r="W24" s="52">
        <f t="shared" si="2"/>
        <v>36922.800000000003</v>
      </c>
      <c r="X24" s="51" t="e">
        <f t="shared" si="2"/>
        <v>#REF!</v>
      </c>
      <c r="Y24" s="52">
        <f t="shared" si="2"/>
        <v>42123.479999999996</v>
      </c>
      <c r="Z24" s="51">
        <f t="shared" si="2"/>
        <v>7036</v>
      </c>
      <c r="AA24" s="51">
        <f t="shared" si="2"/>
        <v>308</v>
      </c>
      <c r="AB24" s="51">
        <f t="shared" si="2"/>
        <v>1143</v>
      </c>
      <c r="AC24" s="51">
        <f t="shared" si="2"/>
        <v>93668</v>
      </c>
      <c r="AD24" s="51">
        <f t="shared" si="2"/>
        <v>21538</v>
      </c>
      <c r="AE24" s="51">
        <f t="shared" si="2"/>
        <v>0</v>
      </c>
      <c r="AF24" s="51">
        <f t="shared" si="2"/>
        <v>34306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11108</v>
      </c>
      <c r="G25" s="32">
        <f>F25/208*25</f>
        <v>1335.0961538461538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7632</v>
      </c>
      <c r="U25" s="32">
        <f>T25/215*25</f>
        <v>887.44186046511629</v>
      </c>
      <c r="V25" s="47"/>
      <c r="W25" s="35">
        <v>6390.6</v>
      </c>
      <c r="X25" s="47"/>
      <c r="Y25" s="55">
        <v>2481.0300000000002</v>
      </c>
      <c r="Z25" s="31">
        <v>1021</v>
      </c>
      <c r="AA25" s="38"/>
      <c r="AB25" s="47"/>
      <c r="AC25" s="38">
        <v>9769</v>
      </c>
      <c r="AD25" s="47"/>
      <c r="AE25" s="47">
        <v>0</v>
      </c>
      <c r="AF25" s="47">
        <v>4089</v>
      </c>
      <c r="AG25" s="38">
        <v>0</v>
      </c>
      <c r="AH25" s="56"/>
    </row>
    <row r="26" spans="1:36" s="4" customFormat="1" ht="100.5" customHeight="1" thickBot="1" x14ac:dyDescent="0.25">
      <c r="A26" s="57">
        <v>45550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27882</v>
      </c>
      <c r="G26" s="59">
        <f t="shared" si="3"/>
        <v>3351.2019230769233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70444</v>
      </c>
      <c r="U26" s="59">
        <f t="shared" si="3"/>
        <v>8191.1627906976737</v>
      </c>
      <c r="V26" s="60" t="e">
        <f t="shared" si="3"/>
        <v>#REF!</v>
      </c>
      <c r="W26" s="59">
        <f t="shared" si="3"/>
        <v>30532.200000000004</v>
      </c>
      <c r="X26" s="60" t="e">
        <f t="shared" si="3"/>
        <v>#REF!</v>
      </c>
      <c r="Y26" s="61">
        <f>Y24-Y25</f>
        <v>39642.449999999997</v>
      </c>
      <c r="Z26" s="58">
        <f>Z24-Z25</f>
        <v>6015</v>
      </c>
      <c r="AA26" s="58">
        <f t="shared" si="3"/>
        <v>308</v>
      </c>
      <c r="AB26" s="60">
        <f>AB24-AB25</f>
        <v>1143</v>
      </c>
      <c r="AC26" s="58">
        <f>AC24-AC25</f>
        <v>83899</v>
      </c>
      <c r="AD26" s="60">
        <f>AD24-AD25</f>
        <v>21538</v>
      </c>
      <c r="AE26" s="60">
        <f>AE24-AE25</f>
        <v>0</v>
      </c>
      <c r="AF26" s="60">
        <f>AF24-AF25</f>
        <v>30217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0" zoomScaleNormal="70" workbookViewId="0">
      <selection activeCell="U20" sqref="U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45551</v>
      </c>
      <c r="B20" s="168" t="s">
        <v>37</v>
      </c>
      <c r="C20" s="30" t="s">
        <v>38</v>
      </c>
      <c r="D20" s="86"/>
      <c r="E20" s="38">
        <f t="shared" ref="E20" si="0">D20/200*25</f>
        <v>0</v>
      </c>
      <c r="F20" s="31">
        <v>14560</v>
      </c>
      <c r="G20" s="32">
        <f>F20/208*25</f>
        <v>1750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49880</v>
      </c>
      <c r="U20" s="34">
        <f>T20/215*25</f>
        <v>5800</v>
      </c>
      <c r="V20" s="33" t="e">
        <f>#REF!</f>
        <v>#REF!</v>
      </c>
      <c r="W20" s="33">
        <v>16000</v>
      </c>
      <c r="X20" s="33" t="e">
        <f>#REF!</f>
        <v>#REF!</v>
      </c>
      <c r="Y20" s="35">
        <v>35307</v>
      </c>
      <c r="Z20" s="31">
        <v>3450</v>
      </c>
      <c r="AA20" s="31">
        <v>150</v>
      </c>
      <c r="AB20" s="33">
        <v>0</v>
      </c>
      <c r="AC20" s="31">
        <v>39057</v>
      </c>
      <c r="AD20" s="33">
        <v>10800</v>
      </c>
      <c r="AE20" s="33">
        <v>0</v>
      </c>
      <c r="AF20" s="33">
        <v>13610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13322</v>
      </c>
      <c r="G21" s="32">
        <f>F21/208*25</f>
        <v>1601.2019230769231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20564</v>
      </c>
      <c r="U21" s="32">
        <f>T21/215*25</f>
        <v>2391.1627906976742</v>
      </c>
      <c r="V21" s="34"/>
      <c r="W21" s="32">
        <v>14532.199999999999</v>
      </c>
      <c r="X21" s="34">
        <v>0</v>
      </c>
      <c r="Y21" s="32">
        <v>4335.4499999999989</v>
      </c>
      <c r="Z21" s="38">
        <v>2565</v>
      </c>
      <c r="AA21" s="38">
        <v>158</v>
      </c>
      <c r="AB21" s="34">
        <v>1143</v>
      </c>
      <c r="AC21" s="38">
        <v>44842</v>
      </c>
      <c r="AD21" s="34">
        <v>10738</v>
      </c>
      <c r="AE21" s="34">
        <v>0</v>
      </c>
      <c r="AF21" s="34">
        <v>16607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27882</v>
      </c>
      <c r="G22" s="43">
        <f t="shared" si="1"/>
        <v>3351.2019230769229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70444</v>
      </c>
      <c r="U22" s="43">
        <f t="shared" si="1"/>
        <v>8191.1627906976737</v>
      </c>
      <c r="V22" s="44" t="e">
        <f t="shared" si="1"/>
        <v>#REF!</v>
      </c>
      <c r="W22" s="45">
        <f t="shared" si="1"/>
        <v>30532.199999999997</v>
      </c>
      <c r="X22" s="44" t="e">
        <f t="shared" si="1"/>
        <v>#REF!</v>
      </c>
      <c r="Y22" s="43">
        <f>SUM(Y20:Y21)</f>
        <v>39642.449999999997</v>
      </c>
      <c r="Z22" s="42">
        <f t="shared" si="1"/>
        <v>6015</v>
      </c>
      <c r="AA22" s="42">
        <f t="shared" si="1"/>
        <v>308</v>
      </c>
      <c r="AB22" s="44">
        <f t="shared" si="1"/>
        <v>1143</v>
      </c>
      <c r="AC22" s="42">
        <f t="shared" si="1"/>
        <v>83899</v>
      </c>
      <c r="AD22" s="44">
        <f>SUM(AD20:AD21)</f>
        <v>21538</v>
      </c>
      <c r="AE22" s="44">
        <f t="shared" si="1"/>
        <v>0</v>
      </c>
      <c r="AF22" s="44">
        <f>SUM(AF20:AF21)</f>
        <v>30217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27882</v>
      </c>
      <c r="G24" s="52">
        <f t="shared" si="2"/>
        <v>3351.2019230769229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70444</v>
      </c>
      <c r="U24" s="52">
        <f t="shared" si="2"/>
        <v>8191.1627906976737</v>
      </c>
      <c r="V24" s="51" t="e">
        <f t="shared" si="2"/>
        <v>#REF!</v>
      </c>
      <c r="W24" s="52">
        <f t="shared" si="2"/>
        <v>30532.199999999997</v>
      </c>
      <c r="X24" s="51" t="e">
        <f t="shared" si="2"/>
        <v>#REF!</v>
      </c>
      <c r="Y24" s="52">
        <f t="shared" si="2"/>
        <v>39642.449999999997</v>
      </c>
      <c r="Z24" s="51">
        <f t="shared" si="2"/>
        <v>6015</v>
      </c>
      <c r="AA24" s="51">
        <f t="shared" si="2"/>
        <v>308</v>
      </c>
      <c r="AB24" s="51">
        <f t="shared" si="2"/>
        <v>1143</v>
      </c>
      <c r="AC24" s="51">
        <f t="shared" si="2"/>
        <v>83899</v>
      </c>
      <c r="AD24" s="51">
        <f t="shared" si="2"/>
        <v>21538</v>
      </c>
      <c r="AE24" s="51">
        <f t="shared" si="2"/>
        <v>0</v>
      </c>
      <c r="AF24" s="51">
        <f t="shared" si="2"/>
        <v>30217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11578</v>
      </c>
      <c r="G25" s="32">
        <f>F25/208*25</f>
        <v>1391.5865384615386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8409</v>
      </c>
      <c r="U25" s="32">
        <f>T25/215*25</f>
        <v>977.79069767441854</v>
      </c>
      <c r="V25" s="47"/>
      <c r="W25" s="35">
        <v>6934</v>
      </c>
      <c r="X25" s="47"/>
      <c r="Y25" s="55">
        <v>2707.02</v>
      </c>
      <c r="Z25" s="31">
        <v>1114</v>
      </c>
      <c r="AA25" s="38">
        <v>4</v>
      </c>
      <c r="AB25" s="47"/>
      <c r="AC25" s="38">
        <v>10438</v>
      </c>
      <c r="AD25" s="47"/>
      <c r="AE25" s="47"/>
      <c r="AF25" s="47">
        <v>4219</v>
      </c>
      <c r="AG25" s="38">
        <v>0</v>
      </c>
      <c r="AH25" s="56"/>
    </row>
    <row r="26" spans="1:36" s="4" customFormat="1" ht="100.5" customHeight="1" thickBot="1" x14ac:dyDescent="0.25">
      <c r="A26" s="57">
        <v>45557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16304</v>
      </c>
      <c r="G26" s="59">
        <f t="shared" si="3"/>
        <v>1959.6153846153843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62035</v>
      </c>
      <c r="U26" s="59">
        <f t="shared" si="3"/>
        <v>7213.3720930232548</v>
      </c>
      <c r="V26" s="60" t="e">
        <f t="shared" si="3"/>
        <v>#REF!</v>
      </c>
      <c r="W26" s="59">
        <f t="shared" si="3"/>
        <v>23598.199999999997</v>
      </c>
      <c r="X26" s="60" t="e">
        <f t="shared" si="3"/>
        <v>#REF!</v>
      </c>
      <c r="Y26" s="61">
        <f>Y24-Y25</f>
        <v>36935.43</v>
      </c>
      <c r="Z26" s="58">
        <f>Z24-Z25</f>
        <v>4901</v>
      </c>
      <c r="AA26" s="58">
        <f t="shared" si="3"/>
        <v>304</v>
      </c>
      <c r="AB26" s="60">
        <f>AB24-AB25</f>
        <v>1143</v>
      </c>
      <c r="AC26" s="58">
        <f>AC24-AC25</f>
        <v>73461</v>
      </c>
      <c r="AD26" s="60">
        <f>AD24-AD25</f>
        <v>21538</v>
      </c>
      <c r="AE26" s="60">
        <f>AE24-AE25</f>
        <v>0</v>
      </c>
      <c r="AF26" s="60">
        <f>AF24-AF25</f>
        <v>25998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AG25" sqref="AG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customWidth="1"/>
    <col min="17" max="17" width="11.5703125" style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5.710937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3.140625" style="1" bestFit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88" t="s">
        <v>18</v>
      </c>
      <c r="AE16" s="92" t="s">
        <v>19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45558</v>
      </c>
      <c r="B20" s="168" t="s">
        <v>37</v>
      </c>
      <c r="C20" s="30" t="s">
        <v>38</v>
      </c>
      <c r="D20" s="86"/>
      <c r="E20" s="38">
        <f t="shared" ref="E20" si="0">D20/200*25</f>
        <v>0</v>
      </c>
      <c r="F20" s="31">
        <v>3120</v>
      </c>
      <c r="G20" s="32">
        <f>F20/208*25</f>
        <v>375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41280</v>
      </c>
      <c r="U20" s="34">
        <f>T20/215*25</f>
        <v>4800</v>
      </c>
      <c r="V20" s="33" t="e">
        <f>#REF!</f>
        <v>#REF!</v>
      </c>
      <c r="W20" s="33">
        <v>9000</v>
      </c>
      <c r="X20" s="33" t="e">
        <f>#REF!</f>
        <v>#REF!</v>
      </c>
      <c r="Y20" s="35">
        <v>32755</v>
      </c>
      <c r="Z20" s="31">
        <v>2400</v>
      </c>
      <c r="AA20" s="31">
        <v>150</v>
      </c>
      <c r="AB20" s="33">
        <v>0</v>
      </c>
      <c r="AC20" s="31">
        <v>29557</v>
      </c>
      <c r="AD20" s="33">
        <v>10800</v>
      </c>
      <c r="AE20" s="33">
        <v>0</v>
      </c>
      <c r="AF20" s="33">
        <v>9610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13184</v>
      </c>
      <c r="G21" s="32">
        <f>F21/208*25</f>
        <v>1584.6153846153848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20755</v>
      </c>
      <c r="U21" s="32">
        <f>T21/215*25</f>
        <v>2413.3720930232562</v>
      </c>
      <c r="V21" s="34"/>
      <c r="W21" s="32">
        <v>14598.199999999999</v>
      </c>
      <c r="X21" s="34">
        <v>0</v>
      </c>
      <c r="Y21" s="32">
        <v>4180.4299999999985</v>
      </c>
      <c r="Z21" s="38">
        <v>2501</v>
      </c>
      <c r="AA21" s="38">
        <v>154</v>
      </c>
      <c r="AB21" s="34">
        <v>1143</v>
      </c>
      <c r="AC21" s="38">
        <v>43904</v>
      </c>
      <c r="AD21" s="34">
        <v>10738</v>
      </c>
      <c r="AE21" s="34">
        <v>0</v>
      </c>
      <c r="AF21" s="34">
        <v>16388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16304</v>
      </c>
      <c r="G22" s="43">
        <f t="shared" si="1"/>
        <v>1959.6153846153848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62035</v>
      </c>
      <c r="U22" s="43">
        <f t="shared" si="1"/>
        <v>7213.3720930232557</v>
      </c>
      <c r="V22" s="44" t="e">
        <f t="shared" si="1"/>
        <v>#REF!</v>
      </c>
      <c r="W22" s="45">
        <f t="shared" si="1"/>
        <v>23598.199999999997</v>
      </c>
      <c r="X22" s="44" t="e">
        <f t="shared" si="1"/>
        <v>#REF!</v>
      </c>
      <c r="Y22" s="43">
        <f>SUM(Y20:Y21)</f>
        <v>36935.43</v>
      </c>
      <c r="Z22" s="42">
        <f t="shared" si="1"/>
        <v>4901</v>
      </c>
      <c r="AA22" s="42">
        <f t="shared" si="1"/>
        <v>304</v>
      </c>
      <c r="AB22" s="44">
        <f t="shared" si="1"/>
        <v>1143</v>
      </c>
      <c r="AC22" s="42">
        <f t="shared" si="1"/>
        <v>73461</v>
      </c>
      <c r="AD22" s="44">
        <f>SUM(AD20:AD21)</f>
        <v>21538</v>
      </c>
      <c r="AE22" s="44">
        <f t="shared" si="1"/>
        <v>0</v>
      </c>
      <c r="AF22" s="44">
        <f>SUM(AF20:AF21)</f>
        <v>25998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16125</v>
      </c>
      <c r="U23" s="32">
        <f>T23/215*25</f>
        <v>1875</v>
      </c>
      <c r="V23" s="31"/>
      <c r="W23" s="31">
        <v>15000</v>
      </c>
      <c r="X23" s="31"/>
      <c r="Y23" s="31">
        <v>4000</v>
      </c>
      <c r="Z23" s="31">
        <v>1000</v>
      </c>
      <c r="AA23" s="31"/>
      <c r="AB23" s="31"/>
      <c r="AC23" s="31">
        <v>14500</v>
      </c>
      <c r="AD23" s="31"/>
      <c r="AE23" s="31"/>
      <c r="AF23" s="48">
        <v>5700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31904</v>
      </c>
      <c r="G24" s="52">
        <f t="shared" si="2"/>
        <v>3834.6153846153848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78160</v>
      </c>
      <c r="U24" s="52">
        <f t="shared" si="2"/>
        <v>9088.3720930232557</v>
      </c>
      <c r="V24" s="51" t="e">
        <f t="shared" si="2"/>
        <v>#REF!</v>
      </c>
      <c r="W24" s="52">
        <f t="shared" si="2"/>
        <v>38598.199999999997</v>
      </c>
      <c r="X24" s="51" t="e">
        <f t="shared" si="2"/>
        <v>#REF!</v>
      </c>
      <c r="Y24" s="52">
        <f t="shared" si="2"/>
        <v>40935.43</v>
      </c>
      <c r="Z24" s="51">
        <f t="shared" si="2"/>
        <v>5901</v>
      </c>
      <c r="AA24" s="51">
        <f t="shared" si="2"/>
        <v>304</v>
      </c>
      <c r="AB24" s="51">
        <f t="shared" si="2"/>
        <v>1143</v>
      </c>
      <c r="AC24" s="51">
        <f t="shared" si="2"/>
        <v>87961</v>
      </c>
      <c r="AD24" s="51">
        <f t="shared" si="2"/>
        <v>21538</v>
      </c>
      <c r="AE24" s="51">
        <f t="shared" si="2"/>
        <v>0</v>
      </c>
      <c r="AF24" s="51">
        <f t="shared" si="2"/>
        <v>31698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/>
      <c r="E25" s="85"/>
      <c r="F25" s="31">
        <v>10290</v>
      </c>
      <c r="G25" s="32">
        <f>F25/208*25</f>
        <v>1236.7788461538462</v>
      </c>
      <c r="H25" s="47"/>
      <c r="I25" s="47"/>
      <c r="J25" s="47"/>
      <c r="K25" s="38"/>
      <c r="L25" s="47"/>
      <c r="M25" s="32"/>
      <c r="N25" s="47"/>
      <c r="O25" s="47"/>
      <c r="P25" s="47"/>
      <c r="Q25" s="32"/>
      <c r="R25" s="38"/>
      <c r="S25" s="32"/>
      <c r="T25" s="31">
        <v>9349</v>
      </c>
      <c r="U25" s="32">
        <f>T25/215*25</f>
        <v>1087.0930232558139</v>
      </c>
      <c r="V25" s="47"/>
      <c r="W25" s="35">
        <v>7345.8</v>
      </c>
      <c r="X25" s="47"/>
      <c r="Y25" s="55">
        <v>2675.4300000000003</v>
      </c>
      <c r="Z25" s="31">
        <v>1101</v>
      </c>
      <c r="AA25" s="38"/>
      <c r="AB25" s="47"/>
      <c r="AC25" s="38">
        <v>10955</v>
      </c>
      <c r="AD25" s="47"/>
      <c r="AE25" s="47"/>
      <c r="AF25" s="47">
        <v>4529</v>
      </c>
      <c r="AG25" s="38"/>
      <c r="AH25" s="56"/>
    </row>
    <row r="26" spans="1:36" s="4" customFormat="1" ht="100.5" customHeight="1" thickBot="1" x14ac:dyDescent="0.25">
      <c r="A26" s="57">
        <v>45564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21614</v>
      </c>
      <c r="G26" s="59">
        <f t="shared" si="3"/>
        <v>2597.8365384615386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68811</v>
      </c>
      <c r="U26" s="59">
        <f t="shared" si="3"/>
        <v>8001.2790697674418</v>
      </c>
      <c r="V26" s="60" t="e">
        <f t="shared" si="3"/>
        <v>#REF!</v>
      </c>
      <c r="W26" s="59">
        <f t="shared" si="3"/>
        <v>31252.399999999998</v>
      </c>
      <c r="X26" s="60" t="e">
        <f t="shared" si="3"/>
        <v>#REF!</v>
      </c>
      <c r="Y26" s="61">
        <f>Y24-Y25</f>
        <v>38260</v>
      </c>
      <c r="Z26" s="58">
        <f>Z24-Z25</f>
        <v>4800</v>
      </c>
      <c r="AA26" s="58">
        <f t="shared" si="3"/>
        <v>304</v>
      </c>
      <c r="AB26" s="60">
        <f>AB24-AB25</f>
        <v>1143</v>
      </c>
      <c r="AC26" s="58">
        <f>AC24-AC25</f>
        <v>77006</v>
      </c>
      <c r="AD26" s="60">
        <f>AD24-AD25</f>
        <v>21538</v>
      </c>
      <c r="AE26" s="60">
        <f>AE24-AE25</f>
        <v>0</v>
      </c>
      <c r="AF26" s="60">
        <f>AF24-AF25</f>
        <v>27169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E29" s="64" t="s">
        <v>47</v>
      </c>
      <c r="O29" s="65"/>
      <c r="R29" s="64" t="s">
        <v>48</v>
      </c>
      <c r="U29" s="64" t="s">
        <v>48</v>
      </c>
      <c r="AA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E30" s="69"/>
      <c r="F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U30" s="69"/>
      <c r="AA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E31" s="70" t="s">
        <v>51</v>
      </c>
      <c r="H31" s="71"/>
      <c r="I31" s="71"/>
      <c r="J31" s="71"/>
      <c r="N31" s="65"/>
      <c r="O31" s="65"/>
      <c r="R31" s="70" t="s">
        <v>52</v>
      </c>
      <c r="U31" s="70" t="s">
        <v>52</v>
      </c>
      <c r="AA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E32" s="68" t="s">
        <v>55</v>
      </c>
      <c r="F32" s="65"/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U32" s="65" t="s">
        <v>56</v>
      </c>
      <c r="AA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E33" s="68" t="s">
        <v>60</v>
      </c>
      <c r="F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 t="s">
        <v>61</v>
      </c>
      <c r="Y33" s="65"/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19685039370078741" right="0.11811023622047245" top="0.39370078740157483" bottom="0.31496062992125984" header="0.31496062992125984" footer="0.31496062992125984"/>
  <pageSetup paperSize="9" scale="44" orientation="landscape" r:id="rId1"/>
  <colBreaks count="1" manualBreakCount="1">
    <brk id="34" max="1048575" man="1"/>
  </colBreaks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0" zoomScaleNormal="70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45565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18720</v>
      </c>
      <c r="G20" s="32">
        <f>F20/208*25</f>
        <v>2250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44505</v>
      </c>
      <c r="U20" s="34">
        <f>T20/215*25</f>
        <v>5175</v>
      </c>
      <c r="V20" s="33" t="e">
        <f>#REF!</f>
        <v>#REF!</v>
      </c>
      <c r="W20" s="33">
        <v>17375</v>
      </c>
      <c r="X20" s="33" t="e">
        <f>#REF!</f>
        <v>#REF!</v>
      </c>
      <c r="Y20" s="35">
        <v>34082</v>
      </c>
      <c r="Z20" s="31">
        <v>2300</v>
      </c>
      <c r="AA20" s="31">
        <v>150</v>
      </c>
      <c r="AB20" s="33">
        <v>0</v>
      </c>
      <c r="AC20" s="31">
        <v>35307</v>
      </c>
      <c r="AD20" s="33">
        <v>10800</v>
      </c>
      <c r="AE20" s="33">
        <v>0</v>
      </c>
      <c r="AF20" s="33">
        <v>12610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2894</v>
      </c>
      <c r="G21" s="32">
        <f>F21/208*25</f>
        <v>347.83653846153845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24306</v>
      </c>
      <c r="U21" s="32">
        <f>T21/215*25</f>
        <v>2826.2790697674418</v>
      </c>
      <c r="V21" s="34"/>
      <c r="W21" s="32">
        <v>13877.399999999998</v>
      </c>
      <c r="X21" s="34">
        <v>0</v>
      </c>
      <c r="Y21" s="32">
        <v>4177.9999999999991</v>
      </c>
      <c r="Z21" s="38">
        <v>2500</v>
      </c>
      <c r="AA21" s="38">
        <v>154</v>
      </c>
      <c r="AB21" s="34">
        <v>1143</v>
      </c>
      <c r="AC21" s="38">
        <v>41699</v>
      </c>
      <c r="AD21" s="34">
        <v>10738</v>
      </c>
      <c r="AE21" s="34">
        <v>0</v>
      </c>
      <c r="AF21" s="34">
        <v>14559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21614</v>
      </c>
      <c r="G22" s="43">
        <f t="shared" si="1"/>
        <v>2597.8365384615386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68811</v>
      </c>
      <c r="U22" s="43">
        <f t="shared" si="1"/>
        <v>8001.2790697674418</v>
      </c>
      <c r="V22" s="44" t="e">
        <f t="shared" si="1"/>
        <v>#REF!</v>
      </c>
      <c r="W22" s="45">
        <f t="shared" si="1"/>
        <v>31252.399999999998</v>
      </c>
      <c r="X22" s="44" t="e">
        <f t="shared" si="1"/>
        <v>#REF!</v>
      </c>
      <c r="Y22" s="43">
        <f>SUM(Y20:Y21)</f>
        <v>38260</v>
      </c>
      <c r="Z22" s="42">
        <f t="shared" si="1"/>
        <v>4800</v>
      </c>
      <c r="AA22" s="42">
        <f t="shared" si="1"/>
        <v>304</v>
      </c>
      <c r="AB22" s="44">
        <f t="shared" si="1"/>
        <v>1143</v>
      </c>
      <c r="AC22" s="42">
        <f t="shared" si="1"/>
        <v>77006</v>
      </c>
      <c r="AD22" s="44">
        <f>SUM(AD20:AD21)</f>
        <v>21538</v>
      </c>
      <c r="AE22" s="44">
        <f t="shared" si="1"/>
        <v>0</v>
      </c>
      <c r="AF22" s="44">
        <f>SUM(AF20:AF21)</f>
        <v>27169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15600</v>
      </c>
      <c r="G23" s="32">
        <f>F23/208*25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16125</v>
      </c>
      <c r="U23" s="32">
        <f>T23/215*25</f>
        <v>1875</v>
      </c>
      <c r="V23" s="31"/>
      <c r="W23" s="31">
        <v>15000</v>
      </c>
      <c r="X23" s="31"/>
      <c r="Y23" s="31">
        <v>6000</v>
      </c>
      <c r="Z23" s="31">
        <v>2000</v>
      </c>
      <c r="AA23" s="31"/>
      <c r="AB23" s="31"/>
      <c r="AC23" s="31">
        <v>12500</v>
      </c>
      <c r="AD23" s="31"/>
      <c r="AE23" s="31"/>
      <c r="AF23" s="48">
        <f>2700+3000</f>
        <v>5700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37214</v>
      </c>
      <c r="G24" s="52">
        <f t="shared" si="2"/>
        <v>4472.836538461539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84936</v>
      </c>
      <c r="U24" s="52">
        <f t="shared" si="2"/>
        <v>9876.2790697674427</v>
      </c>
      <c r="V24" s="51" t="e">
        <f t="shared" si="2"/>
        <v>#REF!</v>
      </c>
      <c r="W24" s="52">
        <f t="shared" si="2"/>
        <v>46252.399999999994</v>
      </c>
      <c r="X24" s="51" t="e">
        <f t="shared" si="2"/>
        <v>#REF!</v>
      </c>
      <c r="Y24" s="52">
        <f t="shared" si="2"/>
        <v>44260</v>
      </c>
      <c r="Z24" s="51">
        <f t="shared" si="2"/>
        <v>6800</v>
      </c>
      <c r="AA24" s="51">
        <f t="shared" si="2"/>
        <v>304</v>
      </c>
      <c r="AB24" s="51">
        <f t="shared" si="2"/>
        <v>1143</v>
      </c>
      <c r="AC24" s="51">
        <f t="shared" si="2"/>
        <v>89506</v>
      </c>
      <c r="AD24" s="51">
        <f t="shared" si="2"/>
        <v>21538</v>
      </c>
      <c r="AE24" s="51">
        <f t="shared" si="2"/>
        <v>0</v>
      </c>
      <c r="AF24" s="51">
        <f t="shared" si="2"/>
        <v>32869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4521</v>
      </c>
      <c r="G25" s="32">
        <f>F25/208*25</f>
        <v>543.38942307692309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14062</v>
      </c>
      <c r="U25" s="32">
        <f>T25/215*25</f>
        <v>1635.1162790697674</v>
      </c>
      <c r="V25" s="47"/>
      <c r="W25" s="35">
        <v>6883</v>
      </c>
      <c r="X25" s="47"/>
      <c r="Y25" s="55">
        <f>Z25*2.43</f>
        <v>2775.0600000000004</v>
      </c>
      <c r="Z25" s="31">
        <v>1142</v>
      </c>
      <c r="AA25" s="38">
        <v>0</v>
      </c>
      <c r="AB25" s="47">
        <v>0</v>
      </c>
      <c r="AC25" s="38">
        <v>10155</v>
      </c>
      <c r="AD25" s="47">
        <v>0</v>
      </c>
      <c r="AE25" s="47">
        <v>0</v>
      </c>
      <c r="AF25" s="47">
        <f>1523+2595+73</f>
        <v>4191</v>
      </c>
      <c r="AG25" s="38">
        <v>0</v>
      </c>
      <c r="AH25" s="56">
        <v>0</v>
      </c>
    </row>
    <row r="26" spans="1:36" s="4" customFormat="1" ht="100.5" customHeight="1" thickBot="1" x14ac:dyDescent="0.25">
      <c r="A26" s="57">
        <v>45571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32693</v>
      </c>
      <c r="G26" s="59">
        <f t="shared" si="3"/>
        <v>3929.4471153846162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70874</v>
      </c>
      <c r="U26" s="59">
        <f t="shared" si="3"/>
        <v>8241.1627906976755</v>
      </c>
      <c r="V26" s="60" t="e">
        <f t="shared" si="3"/>
        <v>#REF!</v>
      </c>
      <c r="W26" s="59">
        <f t="shared" si="3"/>
        <v>39369.399999999994</v>
      </c>
      <c r="X26" s="60" t="e">
        <f t="shared" si="3"/>
        <v>#REF!</v>
      </c>
      <c r="Y26" s="61">
        <f>Y24-Y25</f>
        <v>41484.94</v>
      </c>
      <c r="Z26" s="58">
        <f>Z24-Z25</f>
        <v>5658</v>
      </c>
      <c r="AA26" s="58">
        <f t="shared" si="3"/>
        <v>304</v>
      </c>
      <c r="AB26" s="60">
        <f>AB24-AB25</f>
        <v>1143</v>
      </c>
      <c r="AC26" s="58">
        <f>AC24-AC25</f>
        <v>79351</v>
      </c>
      <c r="AD26" s="60">
        <f>AD24-AD25</f>
        <v>21538</v>
      </c>
      <c r="AE26" s="60">
        <f>AE24-AE25</f>
        <v>0</v>
      </c>
      <c r="AF26" s="60">
        <f>AF24-AF25</f>
        <v>28678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6" zoomScale="70" zoomScaleNormal="70" workbookViewId="0">
      <selection activeCell="W24" sqref="W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169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45572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31200</v>
      </c>
      <c r="G20" s="32">
        <f>F20/208*25</f>
        <v>3750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36980</v>
      </c>
      <c r="U20" s="34">
        <f>T20/215*25</f>
        <v>4300</v>
      </c>
      <c r="V20" s="33" t="e">
        <f>#REF!</f>
        <v>#REF!</v>
      </c>
      <c r="W20" s="33">
        <v>23875</v>
      </c>
      <c r="X20" s="33" t="e">
        <f>#REF!</f>
        <v>#REF!</v>
      </c>
      <c r="Y20" s="35">
        <v>37652</v>
      </c>
      <c r="Z20" s="31">
        <v>3300</v>
      </c>
      <c r="AA20" s="31">
        <v>150</v>
      </c>
      <c r="AB20" s="33">
        <v>0</v>
      </c>
      <c r="AC20" s="31">
        <v>34057</v>
      </c>
      <c r="AD20" s="33">
        <v>10800</v>
      </c>
      <c r="AE20" s="33">
        <v>0</v>
      </c>
      <c r="AF20" s="33">
        <v>13610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1493</v>
      </c>
      <c r="G21" s="32">
        <f>F21/208*25</f>
        <v>179.44711538461539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33894</v>
      </c>
      <c r="U21" s="32">
        <f>T21/215*25</f>
        <v>3941.1627906976746</v>
      </c>
      <c r="V21" s="34"/>
      <c r="W21" s="32">
        <v>15494.399999999998</v>
      </c>
      <c r="X21" s="34">
        <v>0</v>
      </c>
      <c r="Y21" s="32">
        <v>3832.9399999999987</v>
      </c>
      <c r="Z21" s="38">
        <v>2358</v>
      </c>
      <c r="AA21" s="38">
        <v>154</v>
      </c>
      <c r="AB21" s="34">
        <v>1143</v>
      </c>
      <c r="AC21" s="38">
        <v>45294</v>
      </c>
      <c r="AD21" s="34">
        <v>10738</v>
      </c>
      <c r="AE21" s="34">
        <v>0</v>
      </c>
      <c r="AF21" s="34">
        <v>15068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32693</v>
      </c>
      <c r="G22" s="43">
        <f t="shared" si="1"/>
        <v>3929.4471153846152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70874</v>
      </c>
      <c r="U22" s="43">
        <f t="shared" si="1"/>
        <v>8241.1627906976755</v>
      </c>
      <c r="V22" s="44" t="e">
        <f t="shared" si="1"/>
        <v>#REF!</v>
      </c>
      <c r="W22" s="45">
        <f t="shared" si="1"/>
        <v>39369.399999999994</v>
      </c>
      <c r="X22" s="44" t="e">
        <f t="shared" si="1"/>
        <v>#REF!</v>
      </c>
      <c r="Y22" s="43">
        <f>SUM(Y20:Y21)</f>
        <v>41484.94</v>
      </c>
      <c r="Z22" s="42">
        <f t="shared" si="1"/>
        <v>5658</v>
      </c>
      <c r="AA22" s="42">
        <f t="shared" si="1"/>
        <v>304</v>
      </c>
      <c r="AB22" s="44">
        <f t="shared" si="1"/>
        <v>1143</v>
      </c>
      <c r="AC22" s="42">
        <f t="shared" si="1"/>
        <v>79351</v>
      </c>
      <c r="AD22" s="44">
        <f>SUM(AD20:AD21)</f>
        <v>21538</v>
      </c>
      <c r="AE22" s="44">
        <f t="shared" si="1"/>
        <v>0</v>
      </c>
      <c r="AF22" s="44">
        <f>SUM(AF20:AF21)</f>
        <v>28678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32693</v>
      </c>
      <c r="G24" s="52">
        <f t="shared" si="2"/>
        <v>3929.4471153846152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70874</v>
      </c>
      <c r="U24" s="52">
        <f t="shared" si="2"/>
        <v>8241.1627906976755</v>
      </c>
      <c r="V24" s="51" t="e">
        <f t="shared" si="2"/>
        <v>#REF!</v>
      </c>
      <c r="W24" s="52">
        <f t="shared" si="2"/>
        <v>39369.399999999994</v>
      </c>
      <c r="X24" s="51" t="e">
        <f t="shared" si="2"/>
        <v>#REF!</v>
      </c>
      <c r="Y24" s="52">
        <f t="shared" si="2"/>
        <v>41484.94</v>
      </c>
      <c r="Z24" s="51">
        <f t="shared" si="2"/>
        <v>5658</v>
      </c>
      <c r="AA24" s="51">
        <f t="shared" si="2"/>
        <v>304</v>
      </c>
      <c r="AB24" s="51">
        <f t="shared" si="2"/>
        <v>1143</v>
      </c>
      <c r="AC24" s="51">
        <f t="shared" si="2"/>
        <v>79351</v>
      </c>
      <c r="AD24" s="51">
        <f t="shared" si="2"/>
        <v>21538</v>
      </c>
      <c r="AE24" s="51">
        <f t="shared" si="2"/>
        <v>0</v>
      </c>
      <c r="AF24" s="51">
        <f t="shared" si="2"/>
        <v>28678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19926</v>
      </c>
      <c r="U25" s="32">
        <f>T25/215*25</f>
        <v>2316.9767441860463</v>
      </c>
      <c r="V25" s="47"/>
      <c r="W25" s="35">
        <v>7654</v>
      </c>
      <c r="X25" s="47"/>
      <c r="Y25" s="55">
        <v>2898.99</v>
      </c>
      <c r="Z25" s="31">
        <v>1193</v>
      </c>
      <c r="AA25" s="38">
        <v>2</v>
      </c>
      <c r="AB25" s="47">
        <v>0</v>
      </c>
      <c r="AC25" s="38">
        <v>11263</v>
      </c>
      <c r="AD25" s="47">
        <v>0</v>
      </c>
      <c r="AE25" s="47">
        <v>0</v>
      </c>
      <c r="AF25" s="47">
        <v>4625</v>
      </c>
      <c r="AG25" s="38">
        <v>0</v>
      </c>
      <c r="AH25" s="56">
        <v>0</v>
      </c>
    </row>
    <row r="26" spans="1:36" s="4" customFormat="1" ht="100.5" customHeight="1" thickBot="1" x14ac:dyDescent="0.25">
      <c r="A26" s="57">
        <v>45578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32693</v>
      </c>
      <c r="G26" s="59">
        <f t="shared" si="3"/>
        <v>3929.4471153846152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50948</v>
      </c>
      <c r="U26" s="59">
        <f t="shared" si="3"/>
        <v>5924.1860465116297</v>
      </c>
      <c r="V26" s="60" t="e">
        <f t="shared" si="3"/>
        <v>#REF!</v>
      </c>
      <c r="W26" s="59">
        <f t="shared" si="3"/>
        <v>31715.399999999994</v>
      </c>
      <c r="X26" s="60" t="e">
        <f t="shared" si="3"/>
        <v>#REF!</v>
      </c>
      <c r="Y26" s="61">
        <f>Y24-Y25</f>
        <v>38585.950000000004</v>
      </c>
      <c r="Z26" s="58">
        <f>Z24-Z25</f>
        <v>4465</v>
      </c>
      <c r="AA26" s="58">
        <f t="shared" si="3"/>
        <v>302</v>
      </c>
      <c r="AB26" s="60">
        <f>AB24-AB25</f>
        <v>1143</v>
      </c>
      <c r="AC26" s="58">
        <f>AC24-AC25</f>
        <v>68088</v>
      </c>
      <c r="AD26" s="60">
        <f>AD24-AD25</f>
        <v>21538</v>
      </c>
      <c r="AE26" s="60">
        <f>AE24-AE25</f>
        <v>0</v>
      </c>
      <c r="AF26" s="60">
        <f>AF24-AF25</f>
        <v>24053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0" zoomScaleNormal="70" workbookViewId="0">
      <selection activeCell="Y25" sqref="Y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45579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31200</v>
      </c>
      <c r="G20" s="32">
        <f>F20/208*25</f>
        <v>3750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18705</v>
      </c>
      <c r="U20" s="34">
        <f>T20/215*25</f>
        <v>2175</v>
      </c>
      <c r="V20" s="33" t="e">
        <f>#REF!</f>
        <v>#REF!</v>
      </c>
      <c r="W20" s="33">
        <v>17125</v>
      </c>
      <c r="X20" s="33" t="e">
        <f>#REF!</f>
        <v>#REF!</v>
      </c>
      <c r="Y20" s="35">
        <v>35100</v>
      </c>
      <c r="Z20" s="31">
        <v>2250</v>
      </c>
      <c r="AA20" s="31">
        <v>150</v>
      </c>
      <c r="AB20" s="33">
        <v>0</v>
      </c>
      <c r="AC20" s="31">
        <v>29057</v>
      </c>
      <c r="AD20" s="33">
        <v>10800</v>
      </c>
      <c r="AE20" s="33">
        <v>0</v>
      </c>
      <c r="AF20" s="33">
        <v>11810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1493</v>
      </c>
      <c r="G21" s="32">
        <f>F21/208*25</f>
        <v>179.44711538461539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32243</v>
      </c>
      <c r="U21" s="32">
        <f>T21/215*25</f>
        <v>3749.1860465116283</v>
      </c>
      <c r="V21" s="34"/>
      <c r="W21" s="32">
        <v>14590.399999999998</v>
      </c>
      <c r="X21" s="34">
        <v>0</v>
      </c>
      <c r="Y21" s="32">
        <v>3485.9499999999989</v>
      </c>
      <c r="Z21" s="38">
        <v>2215</v>
      </c>
      <c r="AA21" s="38">
        <v>152</v>
      </c>
      <c r="AB21" s="34">
        <v>1143</v>
      </c>
      <c r="AC21" s="38">
        <v>39031</v>
      </c>
      <c r="AD21" s="34">
        <v>10738</v>
      </c>
      <c r="AE21" s="34">
        <v>0</v>
      </c>
      <c r="AF21" s="34">
        <v>12243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32693</v>
      </c>
      <c r="G22" s="43">
        <f t="shared" si="1"/>
        <v>3929.4471153846152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50948</v>
      </c>
      <c r="U22" s="43">
        <f t="shared" si="1"/>
        <v>5924.1860465116279</v>
      </c>
      <c r="V22" s="44" t="e">
        <f t="shared" si="1"/>
        <v>#REF!</v>
      </c>
      <c r="W22" s="45">
        <f t="shared" si="1"/>
        <v>31715.399999999998</v>
      </c>
      <c r="X22" s="44" t="e">
        <f t="shared" si="1"/>
        <v>#REF!</v>
      </c>
      <c r="Y22" s="43">
        <f>SUM(Y20:Y21)</f>
        <v>38585.949999999997</v>
      </c>
      <c r="Z22" s="42">
        <f t="shared" si="1"/>
        <v>4465</v>
      </c>
      <c r="AA22" s="42">
        <f t="shared" si="1"/>
        <v>302</v>
      </c>
      <c r="AB22" s="44">
        <f t="shared" si="1"/>
        <v>1143</v>
      </c>
      <c r="AC22" s="42">
        <f t="shared" si="1"/>
        <v>68088</v>
      </c>
      <c r="AD22" s="44">
        <f>SUM(AD20:AD21)</f>
        <v>21538</v>
      </c>
      <c r="AE22" s="44">
        <f t="shared" si="1"/>
        <v>0</v>
      </c>
      <c r="AF22" s="44">
        <f>SUM(AF20:AF21)</f>
        <v>24053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10400</v>
      </c>
      <c r="G23" s="32">
        <f>F23/208*25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10750</v>
      </c>
      <c r="U23" s="32">
        <f>T23/215*25</f>
        <v>1250</v>
      </c>
      <c r="V23" s="31"/>
      <c r="W23" s="31">
        <v>15150</v>
      </c>
      <c r="X23" s="31"/>
      <c r="Y23" s="31">
        <v>6000</v>
      </c>
      <c r="Z23" s="31">
        <v>2000</v>
      </c>
      <c r="AA23" s="31"/>
      <c r="AB23" s="31"/>
      <c r="AC23" s="31">
        <v>13000</v>
      </c>
      <c r="AD23" s="31"/>
      <c r="AE23" s="31"/>
      <c r="AF23" s="48">
        <v>5700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43093</v>
      </c>
      <c r="G24" s="52">
        <f t="shared" si="2"/>
        <v>5179.4471153846152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61698</v>
      </c>
      <c r="U24" s="52">
        <f t="shared" si="2"/>
        <v>7174.1860465116279</v>
      </c>
      <c r="V24" s="51" t="e">
        <f t="shared" si="2"/>
        <v>#REF!</v>
      </c>
      <c r="W24" s="52">
        <f t="shared" si="2"/>
        <v>46865.399999999994</v>
      </c>
      <c r="X24" s="51" t="e">
        <f t="shared" si="2"/>
        <v>#REF!</v>
      </c>
      <c r="Y24" s="52">
        <f t="shared" si="2"/>
        <v>44585.95</v>
      </c>
      <c r="Z24" s="51">
        <f t="shared" si="2"/>
        <v>6465</v>
      </c>
      <c r="AA24" s="51">
        <f t="shared" si="2"/>
        <v>302</v>
      </c>
      <c r="AB24" s="51">
        <f t="shared" si="2"/>
        <v>1143</v>
      </c>
      <c r="AC24" s="51">
        <f t="shared" si="2"/>
        <v>81088</v>
      </c>
      <c r="AD24" s="51">
        <f t="shared" si="2"/>
        <v>21538</v>
      </c>
      <c r="AE24" s="51">
        <f t="shared" si="2"/>
        <v>0</v>
      </c>
      <c r="AF24" s="51">
        <f t="shared" si="2"/>
        <v>29753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138</v>
      </c>
      <c r="G25" s="32">
        <f>F25/208*25</f>
        <v>16.58653846153846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18990</v>
      </c>
      <c r="U25" s="32">
        <f>T25/215*25</f>
        <v>2208.1395348837209</v>
      </c>
      <c r="V25" s="47"/>
      <c r="W25" s="35">
        <v>6645.4</v>
      </c>
      <c r="X25" s="47"/>
      <c r="Y25" s="55">
        <v>2891.7000000000003</v>
      </c>
      <c r="Z25" s="31">
        <v>1190</v>
      </c>
      <c r="AA25" s="38"/>
      <c r="AB25" s="47"/>
      <c r="AC25" s="38">
        <v>10056</v>
      </c>
      <c r="AD25" s="47"/>
      <c r="AE25" s="47"/>
      <c r="AF25" s="47">
        <v>4085</v>
      </c>
      <c r="AG25" s="38">
        <v>0</v>
      </c>
      <c r="AH25" s="56">
        <v>0</v>
      </c>
    </row>
    <row r="26" spans="1:36" s="4" customFormat="1" ht="100.5" customHeight="1" thickBot="1" x14ac:dyDescent="0.25">
      <c r="A26" s="57">
        <v>45585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42955</v>
      </c>
      <c r="G26" s="59">
        <f t="shared" si="3"/>
        <v>5162.8605769230771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42708</v>
      </c>
      <c r="U26" s="59">
        <f t="shared" si="3"/>
        <v>4966.0465116279065</v>
      </c>
      <c r="V26" s="60" t="e">
        <f t="shared" si="3"/>
        <v>#REF!</v>
      </c>
      <c r="W26" s="59">
        <f t="shared" si="3"/>
        <v>40219.999999999993</v>
      </c>
      <c r="X26" s="60" t="e">
        <f t="shared" si="3"/>
        <v>#REF!</v>
      </c>
      <c r="Y26" s="61">
        <f>Y24-Y25</f>
        <v>41694.25</v>
      </c>
      <c r="Z26" s="58">
        <f>Z24-Z25</f>
        <v>5275</v>
      </c>
      <c r="AA26" s="58">
        <f t="shared" si="3"/>
        <v>302</v>
      </c>
      <c r="AB26" s="60">
        <f>AB24-AB25</f>
        <v>1143</v>
      </c>
      <c r="AC26" s="58">
        <f>AC24-AC25</f>
        <v>71032</v>
      </c>
      <c r="AD26" s="60">
        <f>AD24-AD25</f>
        <v>21538</v>
      </c>
      <c r="AE26" s="60">
        <f>AE24-AE25</f>
        <v>0</v>
      </c>
      <c r="AF26" s="60">
        <f>AF24-AF25</f>
        <v>25668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Y27" sqref="Y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45586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26000</v>
      </c>
      <c r="G20" s="32">
        <f>F20/208*25</f>
        <v>3125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26230</v>
      </c>
      <c r="U20" s="34">
        <f>T20/215*25</f>
        <v>3050</v>
      </c>
      <c r="V20" s="33" t="e">
        <f>#REF!</f>
        <v>#REF!</v>
      </c>
      <c r="W20" s="33">
        <v>25025</v>
      </c>
      <c r="X20" s="33" t="e">
        <f>#REF!</f>
        <v>#REF!</v>
      </c>
      <c r="Y20" s="35">
        <v>38670</v>
      </c>
      <c r="Z20" s="31">
        <v>3250</v>
      </c>
      <c r="AA20" s="31">
        <v>150</v>
      </c>
      <c r="AB20" s="33">
        <v>0</v>
      </c>
      <c r="AC20" s="31">
        <v>28057</v>
      </c>
      <c r="AD20" s="33">
        <v>10800</v>
      </c>
      <c r="AE20" s="33">
        <v>0</v>
      </c>
      <c r="AF20" s="33">
        <v>13910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16955</v>
      </c>
      <c r="G21" s="32">
        <f>F21/208*25</f>
        <v>2037.8605769230769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16478</v>
      </c>
      <c r="U21" s="32">
        <f>T21/215*25</f>
        <v>1916.046511627907</v>
      </c>
      <c r="V21" s="34"/>
      <c r="W21" s="32">
        <v>15194.999999999998</v>
      </c>
      <c r="X21" s="34">
        <v>0</v>
      </c>
      <c r="Y21" s="32">
        <v>3024.2499999999986</v>
      </c>
      <c r="Z21" s="38">
        <v>2025</v>
      </c>
      <c r="AA21" s="38">
        <v>152</v>
      </c>
      <c r="AB21" s="34">
        <v>1143</v>
      </c>
      <c r="AC21" s="38">
        <v>42975</v>
      </c>
      <c r="AD21" s="34">
        <v>10738</v>
      </c>
      <c r="AE21" s="34">
        <v>0</v>
      </c>
      <c r="AF21" s="34">
        <v>11758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42955</v>
      </c>
      <c r="G22" s="43">
        <f t="shared" si="1"/>
        <v>5162.8605769230771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42708</v>
      </c>
      <c r="U22" s="43">
        <f t="shared" si="1"/>
        <v>4966.0465116279065</v>
      </c>
      <c r="V22" s="44" t="e">
        <f t="shared" si="1"/>
        <v>#REF!</v>
      </c>
      <c r="W22" s="45">
        <f t="shared" si="1"/>
        <v>40220</v>
      </c>
      <c r="X22" s="44" t="e">
        <f t="shared" si="1"/>
        <v>#REF!</v>
      </c>
      <c r="Y22" s="43">
        <f>SUM(Y20:Y21)</f>
        <v>41694.25</v>
      </c>
      <c r="Z22" s="42">
        <f t="shared" si="1"/>
        <v>5275</v>
      </c>
      <c r="AA22" s="42">
        <f t="shared" si="1"/>
        <v>302</v>
      </c>
      <c r="AB22" s="44">
        <f t="shared" si="1"/>
        <v>1143</v>
      </c>
      <c r="AC22" s="42">
        <f t="shared" si="1"/>
        <v>71032</v>
      </c>
      <c r="AD22" s="44">
        <f>SUM(AD20:AD21)</f>
        <v>21538</v>
      </c>
      <c r="AE22" s="44">
        <f t="shared" si="1"/>
        <v>0</v>
      </c>
      <c r="AF22" s="44">
        <f>SUM(AF20:AF21)</f>
        <v>25668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42955</v>
      </c>
      <c r="G24" s="52">
        <f t="shared" si="2"/>
        <v>5162.8605769230771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42708</v>
      </c>
      <c r="U24" s="52">
        <f t="shared" si="2"/>
        <v>4966.0465116279065</v>
      </c>
      <c r="V24" s="51" t="e">
        <f t="shared" si="2"/>
        <v>#REF!</v>
      </c>
      <c r="W24" s="52">
        <f t="shared" si="2"/>
        <v>40220</v>
      </c>
      <c r="X24" s="51" t="e">
        <f t="shared" si="2"/>
        <v>#REF!</v>
      </c>
      <c r="Y24" s="52">
        <f t="shared" si="2"/>
        <v>41694.25</v>
      </c>
      <c r="Z24" s="51">
        <f t="shared" si="2"/>
        <v>5275</v>
      </c>
      <c r="AA24" s="51">
        <f t="shared" si="2"/>
        <v>302</v>
      </c>
      <c r="AB24" s="51">
        <f t="shared" si="2"/>
        <v>1143</v>
      </c>
      <c r="AC24" s="51">
        <f t="shared" si="2"/>
        <v>71032</v>
      </c>
      <c r="AD24" s="51">
        <f t="shared" si="2"/>
        <v>21538</v>
      </c>
      <c r="AE24" s="51">
        <f t="shared" si="2"/>
        <v>0</v>
      </c>
      <c r="AF24" s="51">
        <f t="shared" si="2"/>
        <v>25668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4658</v>
      </c>
      <c r="G25" s="32">
        <f>F25/208*25</f>
        <v>559.85576923076928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18005</v>
      </c>
      <c r="U25" s="32">
        <f>T25/215*25</f>
        <v>2093.6046511627906</v>
      </c>
      <c r="V25" s="47"/>
      <c r="W25" s="35">
        <v>7769.6</v>
      </c>
      <c r="X25" s="47"/>
      <c r="Y25" s="55">
        <v>3137.1299999999997</v>
      </c>
      <c r="Z25" s="31">
        <v>1291</v>
      </c>
      <c r="AA25" s="38">
        <v>2</v>
      </c>
      <c r="AB25" s="47"/>
      <c r="AC25" s="38">
        <v>11834</v>
      </c>
      <c r="AD25" s="47"/>
      <c r="AE25" s="47"/>
      <c r="AF25" s="47">
        <v>4891</v>
      </c>
      <c r="AG25" s="38"/>
      <c r="AH25" s="56"/>
    </row>
    <row r="26" spans="1:36" s="4" customFormat="1" ht="100.5" customHeight="1" thickBot="1" x14ac:dyDescent="0.25">
      <c r="A26" s="57">
        <v>45592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38297</v>
      </c>
      <c r="G26" s="59">
        <f t="shared" si="3"/>
        <v>4603.0048076923076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24703</v>
      </c>
      <c r="U26" s="59">
        <f t="shared" si="3"/>
        <v>2872.441860465116</v>
      </c>
      <c r="V26" s="60" t="e">
        <f t="shared" si="3"/>
        <v>#REF!</v>
      </c>
      <c r="W26" s="59">
        <f t="shared" si="3"/>
        <v>32450.400000000001</v>
      </c>
      <c r="X26" s="60" t="e">
        <f t="shared" si="3"/>
        <v>#REF!</v>
      </c>
      <c r="Y26" s="61">
        <f>Y24-Y25</f>
        <v>38557.120000000003</v>
      </c>
      <c r="Z26" s="58">
        <f>Z24-Z25</f>
        <v>3984</v>
      </c>
      <c r="AA26" s="58">
        <f t="shared" si="3"/>
        <v>300</v>
      </c>
      <c r="AB26" s="60">
        <f>AB24-AB25</f>
        <v>1143</v>
      </c>
      <c r="AC26" s="58">
        <f>AC24-AC25</f>
        <v>59198</v>
      </c>
      <c r="AD26" s="60">
        <f>AD24-AD25</f>
        <v>21538</v>
      </c>
      <c r="AE26" s="60">
        <f>AE24-AE25</f>
        <v>0</v>
      </c>
      <c r="AF26" s="60">
        <f>AF24-AF25</f>
        <v>20777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0" zoomScaleNormal="70" workbookViewId="0">
      <selection activeCell="W27" sqref="W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45593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20800</v>
      </c>
      <c r="G20" s="32">
        <f>F20/208*25</f>
        <v>2500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19135</v>
      </c>
      <c r="U20" s="34">
        <f>T20/215*25</f>
        <v>2225</v>
      </c>
      <c r="V20" s="33" t="e">
        <f>#REF!</f>
        <v>#REF!</v>
      </c>
      <c r="W20" s="33">
        <v>19650</v>
      </c>
      <c r="X20" s="33" t="e">
        <f>#REF!</f>
        <v>#REF!</v>
      </c>
      <c r="Y20" s="35">
        <v>35025</v>
      </c>
      <c r="Z20" s="31">
        <v>1750</v>
      </c>
      <c r="AA20" s="31">
        <v>150</v>
      </c>
      <c r="AB20" s="33">
        <v>0</v>
      </c>
      <c r="AC20" s="31">
        <v>24307</v>
      </c>
      <c r="AD20" s="33">
        <v>10800</v>
      </c>
      <c r="AE20" s="33">
        <v>0</v>
      </c>
      <c r="AF20" s="33">
        <v>9110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17497</v>
      </c>
      <c r="G21" s="32">
        <f>F21/208*25</f>
        <v>2103.0048076923076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5568</v>
      </c>
      <c r="U21" s="32">
        <f>T21/215*25</f>
        <v>647.44186046511629</v>
      </c>
      <c r="V21" s="34"/>
      <c r="W21" s="32">
        <v>12800.399999999998</v>
      </c>
      <c r="X21" s="34">
        <v>0</v>
      </c>
      <c r="Y21" s="32">
        <v>3532.1199999999985</v>
      </c>
      <c r="Z21" s="38">
        <v>2234</v>
      </c>
      <c r="AA21" s="38">
        <v>150</v>
      </c>
      <c r="AB21" s="34">
        <v>1143</v>
      </c>
      <c r="AC21" s="38">
        <v>34891</v>
      </c>
      <c r="AD21" s="34">
        <v>10738</v>
      </c>
      <c r="AE21" s="34">
        <v>0</v>
      </c>
      <c r="AF21" s="34">
        <v>11667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38297</v>
      </c>
      <c r="G22" s="43">
        <f t="shared" si="1"/>
        <v>4603.0048076923076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24703</v>
      </c>
      <c r="U22" s="43">
        <f t="shared" si="1"/>
        <v>2872.4418604651164</v>
      </c>
      <c r="V22" s="44" t="e">
        <f t="shared" si="1"/>
        <v>#REF!</v>
      </c>
      <c r="W22" s="45">
        <f t="shared" si="1"/>
        <v>32450.399999999998</v>
      </c>
      <c r="X22" s="44" t="e">
        <f t="shared" si="1"/>
        <v>#REF!</v>
      </c>
      <c r="Y22" s="43">
        <f>SUM(Y20:Y21)</f>
        <v>38557.119999999995</v>
      </c>
      <c r="Z22" s="42">
        <f t="shared" si="1"/>
        <v>3984</v>
      </c>
      <c r="AA22" s="42">
        <f t="shared" si="1"/>
        <v>300</v>
      </c>
      <c r="AB22" s="44">
        <f t="shared" si="1"/>
        <v>1143</v>
      </c>
      <c r="AC22" s="42">
        <f t="shared" si="1"/>
        <v>59198</v>
      </c>
      <c r="AD22" s="44">
        <f>SUM(AD20:AD21)</f>
        <v>21538</v>
      </c>
      <c r="AE22" s="44">
        <f t="shared" si="1"/>
        <v>0</v>
      </c>
      <c r="AF22" s="44">
        <f>SUM(AF20:AF21)</f>
        <v>20777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38297</v>
      </c>
      <c r="G24" s="52">
        <f t="shared" si="2"/>
        <v>4603.0048076923076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24703</v>
      </c>
      <c r="U24" s="52">
        <f t="shared" si="2"/>
        <v>2872.4418604651164</v>
      </c>
      <c r="V24" s="51" t="e">
        <f t="shared" si="2"/>
        <v>#REF!</v>
      </c>
      <c r="W24" s="52">
        <f t="shared" si="2"/>
        <v>32450.399999999998</v>
      </c>
      <c r="X24" s="51" t="e">
        <f t="shared" si="2"/>
        <v>#REF!</v>
      </c>
      <c r="Y24" s="52">
        <f t="shared" si="2"/>
        <v>38557.119999999995</v>
      </c>
      <c r="Z24" s="51">
        <f t="shared" si="2"/>
        <v>3984</v>
      </c>
      <c r="AA24" s="51">
        <f t="shared" si="2"/>
        <v>300</v>
      </c>
      <c r="AB24" s="51">
        <f t="shared" si="2"/>
        <v>1143</v>
      </c>
      <c r="AC24" s="51">
        <f t="shared" si="2"/>
        <v>59198</v>
      </c>
      <c r="AD24" s="51">
        <f t="shared" si="2"/>
        <v>21538</v>
      </c>
      <c r="AE24" s="51">
        <f t="shared" si="2"/>
        <v>0</v>
      </c>
      <c r="AF24" s="51">
        <f t="shared" si="2"/>
        <v>20777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6490</v>
      </c>
      <c r="G25" s="32">
        <f>F25/208*25</f>
        <v>780.04807692307691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7438</v>
      </c>
      <c r="U25" s="32">
        <f>T25/215*25</f>
        <v>864.88372093023247</v>
      </c>
      <c r="V25" s="47"/>
      <c r="W25" s="35">
        <v>4998</v>
      </c>
      <c r="X25" s="47"/>
      <c r="Y25" s="55">
        <v>1968.3000000000002</v>
      </c>
      <c r="Z25" s="31">
        <v>810</v>
      </c>
      <c r="AA25" s="38">
        <v>2</v>
      </c>
      <c r="AB25" s="47"/>
      <c r="AC25" s="38">
        <v>7535</v>
      </c>
      <c r="AD25" s="47"/>
      <c r="AE25" s="47"/>
      <c r="AF25" s="47">
        <v>3074</v>
      </c>
      <c r="AG25" s="38"/>
      <c r="AH25" s="56"/>
    </row>
    <row r="26" spans="1:36" s="4" customFormat="1" ht="100.5" customHeight="1" thickBot="1" x14ac:dyDescent="0.25">
      <c r="A26" s="57">
        <v>45599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31807</v>
      </c>
      <c r="G26" s="59">
        <f t="shared" si="3"/>
        <v>3822.9567307692305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17265</v>
      </c>
      <c r="U26" s="59">
        <f t="shared" si="3"/>
        <v>2007.558139534884</v>
      </c>
      <c r="V26" s="60" t="e">
        <f t="shared" si="3"/>
        <v>#REF!</v>
      </c>
      <c r="W26" s="59">
        <f t="shared" si="3"/>
        <v>27452.399999999998</v>
      </c>
      <c r="X26" s="60" t="e">
        <f t="shared" si="3"/>
        <v>#REF!</v>
      </c>
      <c r="Y26" s="61">
        <f>Y24-Y25</f>
        <v>36588.819999999992</v>
      </c>
      <c r="Z26" s="58">
        <f>Z24-Z25</f>
        <v>3174</v>
      </c>
      <c r="AA26" s="58">
        <f t="shared" si="3"/>
        <v>298</v>
      </c>
      <c r="AB26" s="60">
        <f>AB24-AB25</f>
        <v>1143</v>
      </c>
      <c r="AC26" s="58">
        <f>AC24-AC25</f>
        <v>51663</v>
      </c>
      <c r="AD26" s="60">
        <f>AD24-AD25</f>
        <v>21538</v>
      </c>
      <c r="AE26" s="60">
        <f>AE24-AE25</f>
        <v>0</v>
      </c>
      <c r="AF26" s="60">
        <f>AF24-AF25</f>
        <v>17703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0" zoomScaleNormal="70" workbookViewId="0">
      <selection activeCell="Y31" sqref="Y3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45600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20800</v>
      </c>
      <c r="G20" s="32">
        <f>F20/208*25</f>
        <v>2500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7135</v>
      </c>
      <c r="U20" s="34">
        <f>T20/215*25</f>
        <v>829.65116279069764</v>
      </c>
      <c r="V20" s="33" t="e">
        <f>#REF!</f>
        <v>#REF!</v>
      </c>
      <c r="W20" s="33">
        <v>19650</v>
      </c>
      <c r="X20" s="33" t="e">
        <f>#REF!</f>
        <v>#REF!</v>
      </c>
      <c r="Y20" s="35">
        <v>35025</v>
      </c>
      <c r="Z20" s="31">
        <v>1750</v>
      </c>
      <c r="AA20" s="31">
        <v>150</v>
      </c>
      <c r="AB20" s="33">
        <v>0</v>
      </c>
      <c r="AC20" s="31">
        <v>24307</v>
      </c>
      <c r="AD20" s="33">
        <v>10800</v>
      </c>
      <c r="AE20" s="33">
        <v>0</v>
      </c>
      <c r="AF20" s="33">
        <v>9110</v>
      </c>
      <c r="AG20" s="31">
        <v>765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11007</v>
      </c>
      <c r="G21" s="32">
        <f>F21/208*25</f>
        <v>1322.9567307692309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10130</v>
      </c>
      <c r="U21" s="32">
        <f>T21/215*25</f>
        <v>1177.9069767441861</v>
      </c>
      <c r="V21" s="34"/>
      <c r="W21" s="32">
        <v>7802.3999999999978</v>
      </c>
      <c r="X21" s="34">
        <v>0</v>
      </c>
      <c r="Y21" s="32">
        <v>1563.8199999999988</v>
      </c>
      <c r="Z21" s="38">
        <v>1424</v>
      </c>
      <c r="AA21" s="38">
        <v>148</v>
      </c>
      <c r="AB21" s="34">
        <v>1143</v>
      </c>
      <c r="AC21" s="38">
        <v>27356</v>
      </c>
      <c r="AD21" s="34">
        <v>10738</v>
      </c>
      <c r="AE21" s="34">
        <v>0</v>
      </c>
      <c r="AF21" s="34">
        <v>8593</v>
      </c>
      <c r="AG21" s="38">
        <v>880</v>
      </c>
      <c r="AH21" s="39">
        <v>70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31807</v>
      </c>
      <c r="G22" s="43">
        <f t="shared" si="1"/>
        <v>3822.9567307692309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17265</v>
      </c>
      <c r="U22" s="43">
        <f t="shared" si="1"/>
        <v>2007.5581395348836</v>
      </c>
      <c r="V22" s="44" t="e">
        <f t="shared" si="1"/>
        <v>#REF!</v>
      </c>
      <c r="W22" s="45">
        <f t="shared" si="1"/>
        <v>27452.399999999998</v>
      </c>
      <c r="X22" s="44" t="e">
        <f t="shared" si="1"/>
        <v>#REF!</v>
      </c>
      <c r="Y22" s="43">
        <f>SUM(Y20:Y21)</f>
        <v>36588.82</v>
      </c>
      <c r="Z22" s="42">
        <f t="shared" si="1"/>
        <v>3174</v>
      </c>
      <c r="AA22" s="42">
        <f t="shared" si="1"/>
        <v>298</v>
      </c>
      <c r="AB22" s="44">
        <f t="shared" si="1"/>
        <v>1143</v>
      </c>
      <c r="AC22" s="42">
        <f t="shared" si="1"/>
        <v>51663</v>
      </c>
      <c r="AD22" s="44">
        <f>SUM(AD20:AD21)</f>
        <v>21538</v>
      </c>
      <c r="AE22" s="44">
        <f t="shared" si="1"/>
        <v>0</v>
      </c>
      <c r="AF22" s="44">
        <f>SUM(AF20:AF21)</f>
        <v>17703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4000</v>
      </c>
      <c r="Z23" s="31">
        <v>3000</v>
      </c>
      <c r="AA23" s="31"/>
      <c r="AB23" s="31"/>
      <c r="AC23" s="31">
        <v>29250</v>
      </c>
      <c r="AD23" s="31"/>
      <c r="AE23" s="31"/>
      <c r="AF23" s="48">
        <v>9500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31807</v>
      </c>
      <c r="G24" s="52">
        <f t="shared" si="2"/>
        <v>3822.9567307692309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60265</v>
      </c>
      <c r="U24" s="52">
        <f t="shared" si="2"/>
        <v>7007.5581395348836</v>
      </c>
      <c r="V24" s="51" t="e">
        <f t="shared" si="2"/>
        <v>#REF!</v>
      </c>
      <c r="W24" s="52">
        <f t="shared" si="2"/>
        <v>42452.399999999994</v>
      </c>
      <c r="X24" s="51" t="e">
        <f t="shared" si="2"/>
        <v>#REF!</v>
      </c>
      <c r="Y24" s="52">
        <f t="shared" si="2"/>
        <v>40588.82</v>
      </c>
      <c r="Z24" s="51">
        <f t="shared" si="2"/>
        <v>6174</v>
      </c>
      <c r="AA24" s="51">
        <f t="shared" si="2"/>
        <v>298</v>
      </c>
      <c r="AB24" s="51">
        <f t="shared" si="2"/>
        <v>1143</v>
      </c>
      <c r="AC24" s="51">
        <f t="shared" si="2"/>
        <v>80913</v>
      </c>
      <c r="AD24" s="51">
        <f t="shared" si="2"/>
        <v>21538</v>
      </c>
      <c r="AE24" s="51">
        <f t="shared" si="2"/>
        <v>0</v>
      </c>
      <c r="AF24" s="51">
        <f t="shared" si="2"/>
        <v>27203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9745</v>
      </c>
      <c r="G25" s="32">
        <f>F25/208*25</f>
        <v>1171.2740384615386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9336</v>
      </c>
      <c r="U25" s="32">
        <f>T25/215*25</f>
        <v>1085.5813953488373</v>
      </c>
      <c r="V25" s="47"/>
      <c r="W25" s="35">
        <v>6970</v>
      </c>
      <c r="X25" s="47"/>
      <c r="Y25" s="55">
        <v>2833.38</v>
      </c>
      <c r="Z25" s="31">
        <v>1166</v>
      </c>
      <c r="AA25" s="38">
        <v>1</v>
      </c>
      <c r="AB25" s="47"/>
      <c r="AC25" s="38">
        <v>10440</v>
      </c>
      <c r="AD25" s="47"/>
      <c r="AE25" s="47"/>
      <c r="AF25" s="47">
        <v>4175</v>
      </c>
      <c r="AG25" s="38"/>
      <c r="AH25" s="56"/>
    </row>
    <row r="26" spans="1:36" s="4" customFormat="1" ht="100.5" customHeight="1" thickBot="1" x14ac:dyDescent="0.25">
      <c r="A26" s="57">
        <v>45606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22062</v>
      </c>
      <c r="G26" s="59">
        <f t="shared" si="3"/>
        <v>2651.6826923076924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50929</v>
      </c>
      <c r="U26" s="59">
        <f t="shared" si="3"/>
        <v>5921.9767441860458</v>
      </c>
      <c r="V26" s="60" t="e">
        <f t="shared" si="3"/>
        <v>#REF!</v>
      </c>
      <c r="W26" s="59">
        <f t="shared" si="3"/>
        <v>35482.399999999994</v>
      </c>
      <c r="X26" s="60" t="e">
        <f t="shared" si="3"/>
        <v>#REF!</v>
      </c>
      <c r="Y26" s="61">
        <f>Y24-Y25</f>
        <v>37755.440000000002</v>
      </c>
      <c r="Z26" s="58">
        <f>Z24-Z25</f>
        <v>5008</v>
      </c>
      <c r="AA26" s="58">
        <f t="shared" si="3"/>
        <v>297</v>
      </c>
      <c r="AB26" s="60">
        <f>AB24-AB25</f>
        <v>1143</v>
      </c>
      <c r="AC26" s="58">
        <f>AC24-AC25</f>
        <v>70473</v>
      </c>
      <c r="AD26" s="60">
        <f>AD24-AD25</f>
        <v>21538</v>
      </c>
      <c r="AE26" s="60">
        <f>AE24-AE25</f>
        <v>0</v>
      </c>
      <c r="AF26" s="60">
        <f>AF24-AF25</f>
        <v>23028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zoomScale="70" zoomScaleNormal="70" workbookViewId="0">
      <selection activeCell="Z22" sqref="Z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45607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1040</v>
      </c>
      <c r="G20" s="32">
        <f>F20/208*25</f>
        <v>125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29710</v>
      </c>
      <c r="U20" s="34">
        <f>T20/215*25</f>
        <v>3454.6511627906975</v>
      </c>
      <c r="V20" s="33" t="e">
        <f>#REF!</f>
        <v>#REF!</v>
      </c>
      <c r="W20" s="33">
        <v>20650</v>
      </c>
      <c r="X20" s="33" t="e">
        <f>#REF!</f>
        <v>#REF!</v>
      </c>
      <c r="Y20" s="35">
        <v>33800</v>
      </c>
      <c r="Z20" s="31">
        <v>2600</v>
      </c>
      <c r="AA20" s="31">
        <v>150</v>
      </c>
      <c r="AB20" s="33">
        <v>0</v>
      </c>
      <c r="AC20" s="31">
        <v>27807</v>
      </c>
      <c r="AD20" s="33">
        <v>10800</v>
      </c>
      <c r="AE20" s="33">
        <v>0</v>
      </c>
      <c r="AF20" s="33">
        <v>9010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21022</v>
      </c>
      <c r="G21" s="32">
        <f>F21/208*25</f>
        <v>2526.6826923076924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21219</v>
      </c>
      <c r="U21" s="32">
        <f>T21/215*25</f>
        <v>2467.3255813953488</v>
      </c>
      <c r="V21" s="34"/>
      <c r="W21" s="32">
        <v>14832.399999999998</v>
      </c>
      <c r="X21" s="34">
        <v>0</v>
      </c>
      <c r="Y21" s="32">
        <v>3955.4399999999987</v>
      </c>
      <c r="Z21" s="38">
        <v>2408</v>
      </c>
      <c r="AA21" s="38">
        <v>147</v>
      </c>
      <c r="AB21" s="34">
        <v>1143</v>
      </c>
      <c r="AC21" s="38">
        <v>42666</v>
      </c>
      <c r="AD21" s="34">
        <v>10738</v>
      </c>
      <c r="AE21" s="34">
        <v>0</v>
      </c>
      <c r="AF21" s="34">
        <v>14018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22062</v>
      </c>
      <c r="G22" s="43">
        <f t="shared" si="1"/>
        <v>2651.6826923076924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50929</v>
      </c>
      <c r="U22" s="43">
        <f t="shared" si="1"/>
        <v>5921.9767441860458</v>
      </c>
      <c r="V22" s="44" t="e">
        <f t="shared" si="1"/>
        <v>#REF!</v>
      </c>
      <c r="W22" s="45">
        <f t="shared" si="1"/>
        <v>35482.399999999994</v>
      </c>
      <c r="X22" s="44" t="e">
        <f t="shared" si="1"/>
        <v>#REF!</v>
      </c>
      <c r="Y22" s="43">
        <f>SUM(Y20:Y21)</f>
        <v>37755.440000000002</v>
      </c>
      <c r="Z22" s="42">
        <f t="shared" si="1"/>
        <v>5008</v>
      </c>
      <c r="AA22" s="42">
        <f t="shared" si="1"/>
        <v>297</v>
      </c>
      <c r="AB22" s="44">
        <f t="shared" si="1"/>
        <v>1143</v>
      </c>
      <c r="AC22" s="42">
        <f t="shared" si="1"/>
        <v>70473</v>
      </c>
      <c r="AD22" s="44">
        <f>SUM(AD20:AD21)</f>
        <v>21538</v>
      </c>
      <c r="AE22" s="44">
        <f t="shared" si="1"/>
        <v>0</v>
      </c>
      <c r="AF22" s="44">
        <f>SUM(AF20:AF21)</f>
        <v>23028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75250</v>
      </c>
      <c r="U23" s="32">
        <f>T23/215*25</f>
        <v>8750</v>
      </c>
      <c r="V23" s="31"/>
      <c r="W23" s="31">
        <v>6250</v>
      </c>
      <c r="X23" s="31"/>
      <c r="Y23" s="31">
        <v>4000</v>
      </c>
      <c r="Z23" s="31">
        <v>5000</v>
      </c>
      <c r="AA23" s="31"/>
      <c r="AB23" s="31"/>
      <c r="AC23" s="31">
        <v>23750</v>
      </c>
      <c r="AD23" s="31"/>
      <c r="AE23" s="31"/>
      <c r="AF23" s="48">
        <v>9500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22062</v>
      </c>
      <c r="G24" s="52">
        <f t="shared" si="2"/>
        <v>2651.6826923076924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126179</v>
      </c>
      <c r="U24" s="52">
        <f t="shared" si="2"/>
        <v>14671.976744186046</v>
      </c>
      <c r="V24" s="51" t="e">
        <f t="shared" si="2"/>
        <v>#REF!</v>
      </c>
      <c r="W24" s="52">
        <f t="shared" si="2"/>
        <v>41732.399999999994</v>
      </c>
      <c r="X24" s="51" t="e">
        <f t="shared" si="2"/>
        <v>#REF!</v>
      </c>
      <c r="Y24" s="52">
        <f t="shared" si="2"/>
        <v>41755.440000000002</v>
      </c>
      <c r="Z24" s="51">
        <f t="shared" si="2"/>
        <v>10008</v>
      </c>
      <c r="AA24" s="51">
        <f t="shared" si="2"/>
        <v>297</v>
      </c>
      <c r="AB24" s="51">
        <f t="shared" si="2"/>
        <v>1143</v>
      </c>
      <c r="AC24" s="51">
        <f t="shared" si="2"/>
        <v>94223</v>
      </c>
      <c r="AD24" s="51">
        <f t="shared" si="2"/>
        <v>21538</v>
      </c>
      <c r="AE24" s="51">
        <f t="shared" si="2"/>
        <v>0</v>
      </c>
      <c r="AF24" s="51">
        <f t="shared" si="2"/>
        <v>32528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8905</v>
      </c>
      <c r="G25" s="32">
        <f>F25/208*25</f>
        <v>1070.3125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10162</v>
      </c>
      <c r="U25" s="32">
        <f>T25/215*25</f>
        <v>1181.627906976744</v>
      </c>
      <c r="V25" s="47"/>
      <c r="W25" s="35">
        <v>7034.8</v>
      </c>
      <c r="X25" s="47"/>
      <c r="Y25" s="55">
        <v>2959.7400000000002</v>
      </c>
      <c r="Z25" s="31">
        <v>1218</v>
      </c>
      <c r="AA25" s="38"/>
      <c r="AB25" s="47"/>
      <c r="AC25" s="38">
        <v>10343</v>
      </c>
      <c r="AD25" s="47"/>
      <c r="AE25" s="47"/>
      <c r="AF25" s="47">
        <v>4164</v>
      </c>
      <c r="AG25" s="38"/>
      <c r="AH25" s="56"/>
    </row>
    <row r="26" spans="1:36" s="4" customFormat="1" ht="100.5" customHeight="1" thickBot="1" x14ac:dyDescent="0.25">
      <c r="A26" s="57">
        <v>45613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13157</v>
      </c>
      <c r="G26" s="59">
        <f t="shared" si="3"/>
        <v>1581.3701923076924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116017</v>
      </c>
      <c r="U26" s="59">
        <f t="shared" si="3"/>
        <v>13490.348837209302</v>
      </c>
      <c r="V26" s="60" t="e">
        <f t="shared" si="3"/>
        <v>#REF!</v>
      </c>
      <c r="W26" s="59">
        <f t="shared" si="3"/>
        <v>34697.599999999991</v>
      </c>
      <c r="X26" s="60" t="e">
        <f t="shared" si="3"/>
        <v>#REF!</v>
      </c>
      <c r="Y26" s="61">
        <f>Y24-Y25</f>
        <v>38795.700000000004</v>
      </c>
      <c r="Z26" s="58">
        <f>Z24-Z25</f>
        <v>8790</v>
      </c>
      <c r="AA26" s="58">
        <f t="shared" si="3"/>
        <v>297</v>
      </c>
      <c r="AB26" s="60">
        <f>AB24-AB25</f>
        <v>1143</v>
      </c>
      <c r="AC26" s="58">
        <f>AC24-AC25</f>
        <v>83880</v>
      </c>
      <c r="AD26" s="60">
        <f>AD24-AD25</f>
        <v>21538</v>
      </c>
      <c r="AE26" s="60">
        <f>AE24-AE25</f>
        <v>0</v>
      </c>
      <c r="AF26" s="60">
        <f>AF24-AF25</f>
        <v>28364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zoomScale="70" zoomScaleNormal="70" workbookViewId="0">
      <selection activeCell="W23" sqref="W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45614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88835</v>
      </c>
      <c r="U20" s="34">
        <f>T20/215*25</f>
        <v>10329.651162790698</v>
      </c>
      <c r="V20" s="33" t="e">
        <f>#REF!</f>
        <v>#REF!</v>
      </c>
      <c r="W20" s="33">
        <v>21400</v>
      </c>
      <c r="X20" s="33" t="e">
        <f>#REF!</f>
        <v>#REF!</v>
      </c>
      <c r="Y20" s="35">
        <v>35856</v>
      </c>
      <c r="Z20" s="31">
        <v>6800</v>
      </c>
      <c r="AA20" s="31">
        <v>150</v>
      </c>
      <c r="AB20" s="33">
        <v>0</v>
      </c>
      <c r="AC20" s="31">
        <v>45557</v>
      </c>
      <c r="AD20" s="33">
        <v>10800</v>
      </c>
      <c r="AE20" s="33">
        <v>0</v>
      </c>
      <c r="AF20" s="33">
        <v>16510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13157</v>
      </c>
      <c r="G21" s="32">
        <f>F21/208*25</f>
        <v>1581.3701923076924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27182</v>
      </c>
      <c r="U21" s="32">
        <f>T21/215*25</f>
        <v>3160.6976744186045</v>
      </c>
      <c r="V21" s="34"/>
      <c r="W21" s="32">
        <v>13297.599999999997</v>
      </c>
      <c r="X21" s="34">
        <v>0</v>
      </c>
      <c r="Y21" s="32">
        <v>2939.699999999998</v>
      </c>
      <c r="Z21" s="38">
        <v>1990</v>
      </c>
      <c r="AA21" s="38">
        <v>147</v>
      </c>
      <c r="AB21" s="34">
        <v>1143</v>
      </c>
      <c r="AC21" s="38">
        <v>38323</v>
      </c>
      <c r="AD21" s="34">
        <v>10738</v>
      </c>
      <c r="AE21" s="34">
        <v>0</v>
      </c>
      <c r="AF21" s="34">
        <v>11854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13157</v>
      </c>
      <c r="G22" s="43">
        <f t="shared" si="1"/>
        <v>1581.3701923076924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116017</v>
      </c>
      <c r="U22" s="43">
        <f t="shared" si="1"/>
        <v>13490.348837209303</v>
      </c>
      <c r="V22" s="44" t="e">
        <f t="shared" si="1"/>
        <v>#REF!</v>
      </c>
      <c r="W22" s="45">
        <f t="shared" si="1"/>
        <v>34697.599999999999</v>
      </c>
      <c r="X22" s="44" t="e">
        <f t="shared" si="1"/>
        <v>#REF!</v>
      </c>
      <c r="Y22" s="43">
        <f>SUM(Y20:Y21)</f>
        <v>38795.699999999997</v>
      </c>
      <c r="Z22" s="42">
        <f t="shared" si="1"/>
        <v>8790</v>
      </c>
      <c r="AA22" s="42">
        <f t="shared" si="1"/>
        <v>297</v>
      </c>
      <c r="AB22" s="44">
        <f t="shared" si="1"/>
        <v>1143</v>
      </c>
      <c r="AC22" s="42">
        <f t="shared" si="1"/>
        <v>83880</v>
      </c>
      <c r="AD22" s="44">
        <f>SUM(AD20:AD21)</f>
        <v>21538</v>
      </c>
      <c r="AE22" s="44">
        <f t="shared" si="1"/>
        <v>0</v>
      </c>
      <c r="AF22" s="44">
        <f>SUM(AF20:AF21)</f>
        <v>28364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13157</v>
      </c>
      <c r="G24" s="52">
        <f t="shared" si="2"/>
        <v>1581.3701923076924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116017</v>
      </c>
      <c r="U24" s="52">
        <f t="shared" si="2"/>
        <v>13490.348837209303</v>
      </c>
      <c r="V24" s="51" t="e">
        <f t="shared" si="2"/>
        <v>#REF!</v>
      </c>
      <c r="W24" s="52">
        <f t="shared" si="2"/>
        <v>34697.599999999999</v>
      </c>
      <c r="X24" s="51" t="e">
        <f t="shared" si="2"/>
        <v>#REF!</v>
      </c>
      <c r="Y24" s="52">
        <f t="shared" si="2"/>
        <v>38795.699999999997</v>
      </c>
      <c r="Z24" s="51">
        <f t="shared" si="2"/>
        <v>8790</v>
      </c>
      <c r="AA24" s="51">
        <f t="shared" si="2"/>
        <v>297</v>
      </c>
      <c r="AB24" s="51">
        <f t="shared" si="2"/>
        <v>1143</v>
      </c>
      <c r="AC24" s="51">
        <f t="shared" si="2"/>
        <v>83880</v>
      </c>
      <c r="AD24" s="51">
        <f t="shared" si="2"/>
        <v>21538</v>
      </c>
      <c r="AE24" s="51">
        <f t="shared" si="2"/>
        <v>0</v>
      </c>
      <c r="AF24" s="51">
        <f t="shared" si="2"/>
        <v>28364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9668</v>
      </c>
      <c r="G25" s="32">
        <f>F25/208*25</f>
        <v>1162.0192307692309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9522</v>
      </c>
      <c r="U25" s="32">
        <f>T25/215*25</f>
        <v>1107.2093023255813</v>
      </c>
      <c r="V25" s="47"/>
      <c r="W25" s="35">
        <v>7135</v>
      </c>
      <c r="X25" s="47"/>
      <c r="Y25" s="55">
        <v>2838.2400000000002</v>
      </c>
      <c r="Z25" s="31">
        <v>1168</v>
      </c>
      <c r="AA25" s="38"/>
      <c r="AB25" s="47"/>
      <c r="AC25" s="38">
        <v>10256</v>
      </c>
      <c r="AD25" s="47"/>
      <c r="AE25" s="47"/>
      <c r="AF25" s="47">
        <v>4347</v>
      </c>
      <c r="AG25" s="38"/>
      <c r="AH25" s="56"/>
    </row>
    <row r="26" spans="1:36" s="4" customFormat="1" ht="100.5" customHeight="1" thickBot="1" x14ac:dyDescent="0.25">
      <c r="A26" s="57">
        <v>45620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3489</v>
      </c>
      <c r="G26" s="59">
        <f t="shared" si="3"/>
        <v>419.35096153846143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106495</v>
      </c>
      <c r="U26" s="59">
        <f t="shared" si="3"/>
        <v>12383.139534883721</v>
      </c>
      <c r="V26" s="60" t="e">
        <f t="shared" si="3"/>
        <v>#REF!</v>
      </c>
      <c r="W26" s="59">
        <f t="shared" si="3"/>
        <v>27562.6</v>
      </c>
      <c r="X26" s="60" t="e">
        <f t="shared" si="3"/>
        <v>#REF!</v>
      </c>
      <c r="Y26" s="61">
        <f>Y24-Y25</f>
        <v>35957.46</v>
      </c>
      <c r="Z26" s="58">
        <f>Z24-Z25</f>
        <v>7622</v>
      </c>
      <c r="AA26" s="58">
        <f t="shared" si="3"/>
        <v>297</v>
      </c>
      <c r="AB26" s="60">
        <f>AB24-AB25</f>
        <v>1143</v>
      </c>
      <c r="AC26" s="58">
        <f>AC24-AC25</f>
        <v>73624</v>
      </c>
      <c r="AD26" s="60">
        <f>AD24-AD25</f>
        <v>21538</v>
      </c>
      <c r="AE26" s="60">
        <f>AE24-AE25</f>
        <v>0</v>
      </c>
      <c r="AF26" s="60">
        <f>AF24-AF25</f>
        <v>24017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0" zoomScaleNormal="70" workbookViewId="0">
      <selection activeCell="W27" sqref="W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45621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69485</v>
      </c>
      <c r="U20" s="34">
        <f>T20/215*25</f>
        <v>8079.6511627906984</v>
      </c>
      <c r="V20" s="33" t="e">
        <f>#REF!</f>
        <v>#REF!</v>
      </c>
      <c r="W20" s="33">
        <v>12525</v>
      </c>
      <c r="X20" s="33" t="e">
        <f>#REF!</f>
        <v>#REF!</v>
      </c>
      <c r="Y20" s="35">
        <v>32575</v>
      </c>
      <c r="Z20" s="31">
        <v>5450</v>
      </c>
      <c r="AA20" s="31">
        <v>150</v>
      </c>
      <c r="AB20" s="33">
        <v>0</v>
      </c>
      <c r="AC20" s="31">
        <v>34557</v>
      </c>
      <c r="AD20" s="33">
        <v>10800</v>
      </c>
      <c r="AE20" s="33">
        <v>0</v>
      </c>
      <c r="AF20" s="33">
        <v>11910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3489</v>
      </c>
      <c r="G21" s="32">
        <f>F21/208*25</f>
        <v>419.35096153846149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37010</v>
      </c>
      <c r="U21" s="32">
        <f>T21/215*25</f>
        <v>4303.4883720930229</v>
      </c>
      <c r="V21" s="34"/>
      <c r="W21" s="32">
        <v>15037.599999999997</v>
      </c>
      <c r="X21" s="34">
        <v>0</v>
      </c>
      <c r="Y21" s="32">
        <v>3382.4599999999978</v>
      </c>
      <c r="Z21" s="38">
        <v>2172</v>
      </c>
      <c r="AA21" s="38">
        <v>147</v>
      </c>
      <c r="AB21" s="34">
        <v>1143</v>
      </c>
      <c r="AC21" s="38">
        <v>39067</v>
      </c>
      <c r="AD21" s="34">
        <v>10738</v>
      </c>
      <c r="AE21" s="34">
        <v>0</v>
      </c>
      <c r="AF21" s="34">
        <v>12107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3489</v>
      </c>
      <c r="G22" s="43">
        <f t="shared" si="1"/>
        <v>419.35096153846149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106495</v>
      </c>
      <c r="U22" s="43">
        <f t="shared" si="1"/>
        <v>12383.139534883721</v>
      </c>
      <c r="V22" s="44" t="e">
        <f t="shared" si="1"/>
        <v>#REF!</v>
      </c>
      <c r="W22" s="45">
        <f t="shared" si="1"/>
        <v>27562.6</v>
      </c>
      <c r="X22" s="44" t="e">
        <f t="shared" si="1"/>
        <v>#REF!</v>
      </c>
      <c r="Y22" s="43">
        <f>SUM(Y20:Y21)</f>
        <v>35957.46</v>
      </c>
      <c r="Z22" s="42">
        <f t="shared" si="1"/>
        <v>7622</v>
      </c>
      <c r="AA22" s="42">
        <f t="shared" si="1"/>
        <v>297</v>
      </c>
      <c r="AB22" s="44">
        <f t="shared" si="1"/>
        <v>1143</v>
      </c>
      <c r="AC22" s="42">
        <f t="shared" si="1"/>
        <v>73624</v>
      </c>
      <c r="AD22" s="44">
        <f>SUM(AD20:AD21)</f>
        <v>21538</v>
      </c>
      <c r="AE22" s="44">
        <f t="shared" si="1"/>
        <v>0</v>
      </c>
      <c r="AF22" s="44">
        <f>SUM(AF20:AF21)</f>
        <v>24017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3489</v>
      </c>
      <c r="G24" s="52">
        <f t="shared" si="2"/>
        <v>419.35096153846149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106495</v>
      </c>
      <c r="U24" s="52">
        <f t="shared" si="2"/>
        <v>12383.139534883721</v>
      </c>
      <c r="V24" s="51" t="e">
        <f t="shared" si="2"/>
        <v>#REF!</v>
      </c>
      <c r="W24" s="52">
        <f t="shared" si="2"/>
        <v>27562.6</v>
      </c>
      <c r="X24" s="51" t="e">
        <f t="shared" si="2"/>
        <v>#REF!</v>
      </c>
      <c r="Y24" s="52">
        <f t="shared" si="2"/>
        <v>35957.46</v>
      </c>
      <c r="Z24" s="51">
        <f t="shared" si="2"/>
        <v>7622</v>
      </c>
      <c r="AA24" s="51">
        <f t="shared" si="2"/>
        <v>297</v>
      </c>
      <c r="AB24" s="51">
        <f t="shared" si="2"/>
        <v>1143</v>
      </c>
      <c r="AC24" s="51">
        <f t="shared" si="2"/>
        <v>73624</v>
      </c>
      <c r="AD24" s="51">
        <f t="shared" si="2"/>
        <v>21538</v>
      </c>
      <c r="AE24" s="51">
        <f t="shared" si="2"/>
        <v>0</v>
      </c>
      <c r="AF24" s="51">
        <f t="shared" si="2"/>
        <v>24017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3184</v>
      </c>
      <c r="G25" s="32">
        <f>F25/208*25</f>
        <v>382.69230769230774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16337</v>
      </c>
      <c r="U25" s="32">
        <f>T25/215*25</f>
        <v>1899.6511627906975</v>
      </c>
      <c r="V25" s="47"/>
      <c r="W25" s="35">
        <v>7041.6</v>
      </c>
      <c r="X25" s="47"/>
      <c r="Y25" s="55">
        <v>2898.9900000000002</v>
      </c>
      <c r="Z25" s="31">
        <v>1193</v>
      </c>
      <c r="AA25" s="38">
        <v>5</v>
      </c>
      <c r="AB25" s="47"/>
      <c r="AC25" s="38">
        <v>10435</v>
      </c>
      <c r="AD25" s="47"/>
      <c r="AE25" s="47"/>
      <c r="AF25" s="47">
        <v>4346</v>
      </c>
      <c r="AG25" s="38"/>
      <c r="AH25" s="56"/>
    </row>
    <row r="26" spans="1:36" s="4" customFormat="1" ht="100.5" customHeight="1" thickBot="1" x14ac:dyDescent="0.25">
      <c r="A26" s="57">
        <v>45627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305</v>
      </c>
      <c r="G26" s="59">
        <f t="shared" si="3"/>
        <v>36.658653846153754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90158</v>
      </c>
      <c r="U26" s="59">
        <f t="shared" si="3"/>
        <v>10483.488372093023</v>
      </c>
      <c r="V26" s="60" t="e">
        <f t="shared" si="3"/>
        <v>#REF!</v>
      </c>
      <c r="W26" s="59">
        <f t="shared" si="3"/>
        <v>20521</v>
      </c>
      <c r="X26" s="60" t="e">
        <f t="shared" si="3"/>
        <v>#REF!</v>
      </c>
      <c r="Y26" s="61">
        <f>Y24-Y25</f>
        <v>33058.47</v>
      </c>
      <c r="Z26" s="58">
        <f>Z24-Z25</f>
        <v>6429</v>
      </c>
      <c r="AA26" s="58">
        <f t="shared" si="3"/>
        <v>292</v>
      </c>
      <c r="AB26" s="60">
        <f>AB24-AB25</f>
        <v>1143</v>
      </c>
      <c r="AC26" s="58">
        <f>AC24-AC25</f>
        <v>63189</v>
      </c>
      <c r="AD26" s="60">
        <f>AD24-AD25</f>
        <v>21538</v>
      </c>
      <c r="AE26" s="60">
        <f>AE24-AE25</f>
        <v>0</v>
      </c>
      <c r="AF26" s="60">
        <f>AF24-AF25</f>
        <v>19671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4" zoomScale="70" zoomScaleNormal="70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45628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59380</v>
      </c>
      <c r="U20" s="34">
        <f>T20/215*25</f>
        <v>6904.6511627906984</v>
      </c>
      <c r="V20" s="33" t="e">
        <f>#REF!</f>
        <v>#REF!</v>
      </c>
      <c r="W20" s="33">
        <v>4650</v>
      </c>
      <c r="X20" s="33" t="e">
        <f>#REF!</f>
        <v>#REF!</v>
      </c>
      <c r="Y20" s="35">
        <v>28201</v>
      </c>
      <c r="Z20" s="31">
        <v>3650</v>
      </c>
      <c r="AA20" s="31">
        <v>150</v>
      </c>
      <c r="AB20" s="33">
        <v>0</v>
      </c>
      <c r="AC20" s="31">
        <v>27057</v>
      </c>
      <c r="AD20" s="33">
        <v>10800</v>
      </c>
      <c r="AE20" s="33">
        <v>0</v>
      </c>
      <c r="AF20" s="33">
        <v>7910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305</v>
      </c>
      <c r="G21" s="32">
        <f>F21/208*25</f>
        <v>36.658653846153847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30778</v>
      </c>
      <c r="U21" s="32">
        <f>T21/215*25</f>
        <v>3578.8372093023254</v>
      </c>
      <c r="V21" s="34"/>
      <c r="W21" s="32">
        <v>15870.999999999996</v>
      </c>
      <c r="X21" s="34">
        <v>0</v>
      </c>
      <c r="Y21" s="32">
        <v>4857.4699999999975</v>
      </c>
      <c r="Z21" s="38">
        <v>2779</v>
      </c>
      <c r="AA21" s="38">
        <v>142</v>
      </c>
      <c r="AB21" s="34">
        <v>1143</v>
      </c>
      <c r="AC21" s="38">
        <v>36132</v>
      </c>
      <c r="AD21" s="34">
        <v>10738</v>
      </c>
      <c r="AE21" s="34">
        <v>0</v>
      </c>
      <c r="AF21" s="34">
        <v>11761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305</v>
      </c>
      <c r="G22" s="43">
        <f t="shared" si="1"/>
        <v>36.658653846153847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90158</v>
      </c>
      <c r="U22" s="43">
        <f t="shared" si="1"/>
        <v>10483.488372093023</v>
      </c>
      <c r="V22" s="44" t="e">
        <f t="shared" si="1"/>
        <v>#REF!</v>
      </c>
      <c r="W22" s="45">
        <f t="shared" si="1"/>
        <v>20520.999999999996</v>
      </c>
      <c r="X22" s="44" t="e">
        <f t="shared" si="1"/>
        <v>#REF!</v>
      </c>
      <c r="Y22" s="43">
        <f>SUM(Y20:Y21)</f>
        <v>33058.47</v>
      </c>
      <c r="Z22" s="42">
        <f t="shared" si="1"/>
        <v>6429</v>
      </c>
      <c r="AA22" s="42">
        <f t="shared" si="1"/>
        <v>292</v>
      </c>
      <c r="AB22" s="44">
        <f t="shared" si="1"/>
        <v>1143</v>
      </c>
      <c r="AC22" s="42">
        <f t="shared" si="1"/>
        <v>63189</v>
      </c>
      <c r="AD22" s="44">
        <f>SUM(AD20:AD21)</f>
        <v>21538</v>
      </c>
      <c r="AE22" s="44">
        <f t="shared" si="1"/>
        <v>0</v>
      </c>
      <c r="AF22" s="44">
        <f>SUM(AF20:AF21)</f>
        <v>19671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53750</v>
      </c>
      <c r="U23" s="32">
        <f>T23/215*25</f>
        <v>6250</v>
      </c>
      <c r="V23" s="31"/>
      <c r="W23" s="31">
        <v>15000</v>
      </c>
      <c r="X23" s="31"/>
      <c r="Y23" s="31">
        <v>6000</v>
      </c>
      <c r="Z23" s="31">
        <v>2000</v>
      </c>
      <c r="AA23" s="31"/>
      <c r="AB23" s="31"/>
      <c r="AC23" s="31">
        <v>14960</v>
      </c>
      <c r="AD23" s="31"/>
      <c r="AE23" s="31"/>
      <c r="AF23" s="48">
        <v>9500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305</v>
      </c>
      <c r="G24" s="52">
        <f t="shared" si="2"/>
        <v>36.658653846153847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143908</v>
      </c>
      <c r="U24" s="52">
        <f t="shared" si="2"/>
        <v>16733.488372093023</v>
      </c>
      <c r="V24" s="51" t="e">
        <f t="shared" si="2"/>
        <v>#REF!</v>
      </c>
      <c r="W24" s="52">
        <f t="shared" si="2"/>
        <v>35521</v>
      </c>
      <c r="X24" s="51" t="e">
        <f t="shared" si="2"/>
        <v>#REF!</v>
      </c>
      <c r="Y24" s="52">
        <f t="shared" si="2"/>
        <v>39058.47</v>
      </c>
      <c r="Z24" s="51">
        <f t="shared" si="2"/>
        <v>8429</v>
      </c>
      <c r="AA24" s="51">
        <f t="shared" si="2"/>
        <v>292</v>
      </c>
      <c r="AB24" s="51">
        <f t="shared" si="2"/>
        <v>1143</v>
      </c>
      <c r="AC24" s="51">
        <f t="shared" si="2"/>
        <v>78149</v>
      </c>
      <c r="AD24" s="51">
        <f t="shared" si="2"/>
        <v>21538</v>
      </c>
      <c r="AE24" s="51">
        <f t="shared" si="2"/>
        <v>0</v>
      </c>
      <c r="AF24" s="51">
        <f t="shared" si="2"/>
        <v>29171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305</v>
      </c>
      <c r="G25" s="32">
        <f>F25/208*25</f>
        <v>36.658653846153847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19428</v>
      </c>
      <c r="U25" s="32">
        <f>T25/215*25</f>
        <v>2259.0697674418602</v>
      </c>
      <c r="V25" s="47"/>
      <c r="W25" s="35">
        <v>7232.6</v>
      </c>
      <c r="X25" s="47"/>
      <c r="Y25" s="55">
        <v>2925.72</v>
      </c>
      <c r="Z25" s="31">
        <v>1204</v>
      </c>
      <c r="AA25" s="38"/>
      <c r="AB25" s="47"/>
      <c r="AC25" s="38">
        <v>10864</v>
      </c>
      <c r="AD25" s="47"/>
      <c r="AE25" s="47"/>
      <c r="AF25" s="47">
        <v>4225</v>
      </c>
      <c r="AG25" s="38"/>
      <c r="AH25" s="56"/>
    </row>
    <row r="26" spans="1:36" s="4" customFormat="1" ht="100.5" customHeight="1" thickBot="1" x14ac:dyDescent="0.25">
      <c r="A26" s="57">
        <v>45634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0</v>
      </c>
      <c r="G26" s="59">
        <f>G24-G25</f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124480</v>
      </c>
      <c r="U26" s="59">
        <f t="shared" si="3"/>
        <v>14474.418604651162</v>
      </c>
      <c r="V26" s="60" t="e">
        <f t="shared" si="3"/>
        <v>#REF!</v>
      </c>
      <c r="W26" s="59">
        <f t="shared" si="3"/>
        <v>28288.400000000001</v>
      </c>
      <c r="X26" s="60" t="e">
        <f t="shared" si="3"/>
        <v>#REF!</v>
      </c>
      <c r="Y26" s="61">
        <f>Y24-Y25</f>
        <v>36132.75</v>
      </c>
      <c r="Z26" s="58">
        <f>Z24-Z25</f>
        <v>7225</v>
      </c>
      <c r="AA26" s="58">
        <f t="shared" si="3"/>
        <v>292</v>
      </c>
      <c r="AB26" s="60">
        <f>AB24-AB25</f>
        <v>1143</v>
      </c>
      <c r="AC26" s="58">
        <f>AC24-AC25</f>
        <v>67285</v>
      </c>
      <c r="AD26" s="60">
        <f>AD24-AD25</f>
        <v>21538</v>
      </c>
      <c r="AE26" s="60">
        <f>AE24-AE25</f>
        <v>0</v>
      </c>
      <c r="AF26" s="60">
        <f>AF24-AF25</f>
        <v>24946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colBreaks count="1" manualBreakCount="1">
    <brk id="34" max="1048575" man="1"/>
  </colBreaks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T24" sqref="T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45635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87330</v>
      </c>
      <c r="U20" s="34">
        <f>T20/215*25</f>
        <v>10154.651162790698</v>
      </c>
      <c r="V20" s="33" t="e">
        <f>#REF!</f>
        <v>#REF!</v>
      </c>
      <c r="W20" s="33">
        <v>14650</v>
      </c>
      <c r="X20" s="33" t="e">
        <f>#REF!</f>
        <v>#REF!</v>
      </c>
      <c r="Y20" s="35">
        <v>31528</v>
      </c>
      <c r="Z20" s="31">
        <v>4550</v>
      </c>
      <c r="AA20" s="31">
        <v>150</v>
      </c>
      <c r="AB20" s="33">
        <v>0</v>
      </c>
      <c r="AC20" s="31">
        <v>33517</v>
      </c>
      <c r="AD20" s="33">
        <v>10800</v>
      </c>
      <c r="AE20" s="33">
        <v>0</v>
      </c>
      <c r="AF20" s="33">
        <v>11710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37150</v>
      </c>
      <c r="U21" s="32">
        <f>T21/215*25</f>
        <v>4319.7674418604647</v>
      </c>
      <c r="V21" s="34"/>
      <c r="W21" s="32">
        <v>13638.399999999996</v>
      </c>
      <c r="X21" s="34">
        <v>0</v>
      </c>
      <c r="Y21" s="32">
        <v>4604.7499999999982</v>
      </c>
      <c r="Z21" s="38">
        <v>2675</v>
      </c>
      <c r="AA21" s="38">
        <v>142</v>
      </c>
      <c r="AB21" s="34">
        <v>1143</v>
      </c>
      <c r="AC21" s="38">
        <v>33768</v>
      </c>
      <c r="AD21" s="34">
        <v>10738</v>
      </c>
      <c r="AE21" s="34">
        <v>0</v>
      </c>
      <c r="AF21" s="34">
        <v>13236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124480</v>
      </c>
      <c r="U22" s="43">
        <f t="shared" si="1"/>
        <v>14474.418604651164</v>
      </c>
      <c r="V22" s="44" t="e">
        <f t="shared" si="1"/>
        <v>#REF!</v>
      </c>
      <c r="W22" s="45">
        <f t="shared" si="1"/>
        <v>28288.399999999994</v>
      </c>
      <c r="X22" s="44" t="e">
        <f t="shared" si="1"/>
        <v>#REF!</v>
      </c>
      <c r="Y22" s="43">
        <f>SUM(Y20:Y21)</f>
        <v>36132.75</v>
      </c>
      <c r="Z22" s="42">
        <f t="shared" si="1"/>
        <v>7225</v>
      </c>
      <c r="AA22" s="42">
        <f t="shared" si="1"/>
        <v>292</v>
      </c>
      <c r="AB22" s="44">
        <f t="shared" si="1"/>
        <v>1143</v>
      </c>
      <c r="AC22" s="42">
        <f t="shared" si="1"/>
        <v>67285</v>
      </c>
      <c r="AD22" s="44">
        <f>SUM(AD20:AD21)</f>
        <v>21538</v>
      </c>
      <c r="AE22" s="44">
        <f t="shared" si="1"/>
        <v>0</v>
      </c>
      <c r="AF22" s="44">
        <f>SUM(AF20:AF21)</f>
        <v>24946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25585</v>
      </c>
      <c r="U23" s="32">
        <f>T23/215*25</f>
        <v>2975</v>
      </c>
      <c r="V23" s="31"/>
      <c r="W23" s="31">
        <v>15000</v>
      </c>
      <c r="X23" s="31"/>
      <c r="Y23" s="31">
        <v>6000</v>
      </c>
      <c r="Z23" s="31">
        <v>2000</v>
      </c>
      <c r="AA23" s="31"/>
      <c r="AB23" s="31"/>
      <c r="AC23" s="31">
        <v>10000</v>
      </c>
      <c r="AD23" s="31"/>
      <c r="AE23" s="31"/>
      <c r="AF23" s="48">
        <f>4500+5000</f>
        <v>9500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150065</v>
      </c>
      <c r="U24" s="52">
        <f t="shared" si="2"/>
        <v>17449.418604651164</v>
      </c>
      <c r="V24" s="51" t="e">
        <f t="shared" si="2"/>
        <v>#REF!</v>
      </c>
      <c r="W24" s="52">
        <f t="shared" si="2"/>
        <v>43288.399999999994</v>
      </c>
      <c r="X24" s="51" t="e">
        <f t="shared" si="2"/>
        <v>#REF!</v>
      </c>
      <c r="Y24" s="52">
        <f t="shared" si="2"/>
        <v>42132.75</v>
      </c>
      <c r="Z24" s="51">
        <f t="shared" si="2"/>
        <v>9225</v>
      </c>
      <c r="AA24" s="51">
        <f t="shared" si="2"/>
        <v>292</v>
      </c>
      <c r="AB24" s="51">
        <f t="shared" si="2"/>
        <v>1143</v>
      </c>
      <c r="AC24" s="51">
        <f t="shared" si="2"/>
        <v>77285</v>
      </c>
      <c r="AD24" s="51">
        <f t="shared" si="2"/>
        <v>21538</v>
      </c>
      <c r="AE24" s="51">
        <f t="shared" si="2"/>
        <v>0</v>
      </c>
      <c r="AF24" s="51">
        <f t="shared" si="2"/>
        <v>34446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20328</v>
      </c>
      <c r="U25" s="32">
        <f>T25/215*25</f>
        <v>2363.7209302325582</v>
      </c>
      <c r="V25" s="47"/>
      <c r="W25" s="35">
        <v>7305</v>
      </c>
      <c r="X25" s="47"/>
      <c r="Y25" s="55">
        <v>2874.69</v>
      </c>
      <c r="Z25" s="31">
        <v>1183</v>
      </c>
      <c r="AA25" s="38"/>
      <c r="AB25" s="47"/>
      <c r="AC25" s="38">
        <v>11060</v>
      </c>
      <c r="AD25" s="47"/>
      <c r="AE25" s="47"/>
      <c r="AF25" s="47">
        <v>4287</v>
      </c>
      <c r="AG25" s="38"/>
      <c r="AH25" s="56"/>
    </row>
    <row r="26" spans="1:36" s="4" customFormat="1" ht="100.5" customHeight="1" thickBot="1" x14ac:dyDescent="0.25">
      <c r="A26" s="57">
        <v>45641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0</v>
      </c>
      <c r="G26" s="59">
        <f>G24-G25</f>
        <v>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129737</v>
      </c>
      <c r="U26" s="59">
        <f t="shared" si="3"/>
        <v>15085.697674418607</v>
      </c>
      <c r="V26" s="60" t="e">
        <f t="shared" si="3"/>
        <v>#REF!</v>
      </c>
      <c r="W26" s="59">
        <f t="shared" si="3"/>
        <v>35983.399999999994</v>
      </c>
      <c r="X26" s="60" t="e">
        <f t="shared" si="3"/>
        <v>#REF!</v>
      </c>
      <c r="Y26" s="61">
        <f>Y24-Y25</f>
        <v>39258.06</v>
      </c>
      <c r="Z26" s="58">
        <f>Z24-Z25</f>
        <v>8042</v>
      </c>
      <c r="AA26" s="58">
        <f t="shared" si="3"/>
        <v>292</v>
      </c>
      <c r="AB26" s="60">
        <f>AB24-AB25</f>
        <v>1143</v>
      </c>
      <c r="AC26" s="58">
        <f>AC24-AC25</f>
        <v>66225</v>
      </c>
      <c r="AD26" s="60">
        <f>AD24-AD25</f>
        <v>21538</v>
      </c>
      <c r="AE26" s="60">
        <f>AE24-AE25</f>
        <v>0</v>
      </c>
      <c r="AF26" s="60">
        <f>AF24-AF25</f>
        <v>30159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Y22" sqref="Y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179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45642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98940</v>
      </c>
      <c r="U20" s="34">
        <f>T20/215*25</f>
        <v>11504.651162790698</v>
      </c>
      <c r="V20" s="33" t="e">
        <f>#REF!</f>
        <v>#REF!</v>
      </c>
      <c r="W20" s="33">
        <v>25025</v>
      </c>
      <c r="X20" s="33" t="e">
        <f>#REF!</f>
        <v>#REF!</v>
      </c>
      <c r="Y20" s="35">
        <v>35584</v>
      </c>
      <c r="Z20" s="31">
        <v>5750</v>
      </c>
      <c r="AA20" s="31">
        <v>150</v>
      </c>
      <c r="AB20" s="33">
        <v>0</v>
      </c>
      <c r="AC20" s="31">
        <v>37517</v>
      </c>
      <c r="AD20" s="33">
        <v>10800</v>
      </c>
      <c r="AE20" s="33">
        <v>0</v>
      </c>
      <c r="AF20" s="33">
        <v>18310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30797</v>
      </c>
      <c r="U21" s="32">
        <f>T21/215*25</f>
        <v>3581.046511627907</v>
      </c>
      <c r="V21" s="34"/>
      <c r="W21" s="32">
        <v>10958.399999999996</v>
      </c>
      <c r="X21" s="34">
        <v>0</v>
      </c>
      <c r="Y21" s="32">
        <v>3674.0599999999981</v>
      </c>
      <c r="Z21" s="38">
        <v>2292</v>
      </c>
      <c r="AA21" s="38">
        <v>142</v>
      </c>
      <c r="AB21" s="34">
        <v>1111</v>
      </c>
      <c r="AC21" s="38">
        <v>28708</v>
      </c>
      <c r="AD21" s="34">
        <v>10738</v>
      </c>
      <c r="AE21" s="34">
        <v>0</v>
      </c>
      <c r="AF21" s="34">
        <v>11849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129737</v>
      </c>
      <c r="U22" s="43">
        <f t="shared" si="1"/>
        <v>15085.697674418605</v>
      </c>
      <c r="V22" s="44" t="e">
        <f t="shared" si="1"/>
        <v>#REF!</v>
      </c>
      <c r="W22" s="45">
        <f t="shared" si="1"/>
        <v>35983.399999999994</v>
      </c>
      <c r="X22" s="44" t="e">
        <f t="shared" si="1"/>
        <v>#REF!</v>
      </c>
      <c r="Y22" s="43">
        <f>SUM(Y20:Y21)</f>
        <v>39258.06</v>
      </c>
      <c r="Z22" s="42">
        <f t="shared" si="1"/>
        <v>8042</v>
      </c>
      <c r="AA22" s="42">
        <f t="shared" si="1"/>
        <v>292</v>
      </c>
      <c r="AB22" s="44">
        <f t="shared" si="1"/>
        <v>1111</v>
      </c>
      <c r="AC22" s="42">
        <f t="shared" si="1"/>
        <v>66225</v>
      </c>
      <c r="AD22" s="44">
        <f>SUM(AD20:AD21)</f>
        <v>21538</v>
      </c>
      <c r="AE22" s="44">
        <f t="shared" si="1"/>
        <v>0</v>
      </c>
      <c r="AF22" s="44">
        <f>SUM(AF20:AF21)</f>
        <v>30159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>
        <v>15000</v>
      </c>
      <c r="X23" s="31"/>
      <c r="Y23" s="31">
        <v>6000</v>
      </c>
      <c r="Z23" s="31">
        <v>1000</v>
      </c>
      <c r="AA23" s="31"/>
      <c r="AB23" s="31"/>
      <c r="AC23" s="31">
        <v>5250</v>
      </c>
      <c r="AD23" s="31">
        <v>5400</v>
      </c>
      <c r="AE23" s="31"/>
      <c r="AF23" s="48">
        <v>5700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20800</v>
      </c>
      <c r="G24" s="52">
        <f t="shared" si="2"/>
        <v>2500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129737</v>
      </c>
      <c r="U24" s="52">
        <f t="shared" si="2"/>
        <v>15085.697674418605</v>
      </c>
      <c r="V24" s="51" t="e">
        <f t="shared" si="2"/>
        <v>#REF!</v>
      </c>
      <c r="W24" s="52">
        <f t="shared" si="2"/>
        <v>50983.399999999994</v>
      </c>
      <c r="X24" s="51" t="e">
        <f t="shared" si="2"/>
        <v>#REF!</v>
      </c>
      <c r="Y24" s="52">
        <f t="shared" si="2"/>
        <v>45258.06</v>
      </c>
      <c r="Z24" s="51">
        <f t="shared" si="2"/>
        <v>9042</v>
      </c>
      <c r="AA24" s="51">
        <f t="shared" si="2"/>
        <v>292</v>
      </c>
      <c r="AB24" s="51">
        <f t="shared" si="2"/>
        <v>1111</v>
      </c>
      <c r="AC24" s="51">
        <f t="shared" si="2"/>
        <v>71475</v>
      </c>
      <c r="AD24" s="51">
        <f t="shared" si="2"/>
        <v>26938</v>
      </c>
      <c r="AE24" s="51">
        <f t="shared" si="2"/>
        <v>0</v>
      </c>
      <c r="AF24" s="51">
        <f t="shared" si="2"/>
        <v>35859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24149</v>
      </c>
      <c r="U25" s="32">
        <f>T25/215*25</f>
        <v>2808.0232558139537</v>
      </c>
      <c r="V25" s="47"/>
      <c r="W25" s="35">
        <v>8933.1999999999989</v>
      </c>
      <c r="X25" s="47"/>
      <c r="Y25" s="55">
        <v>3353.4000000000005</v>
      </c>
      <c r="Z25" s="31">
        <v>1380</v>
      </c>
      <c r="AA25" s="38"/>
      <c r="AB25" s="47"/>
      <c r="AC25" s="38">
        <v>13475</v>
      </c>
      <c r="AD25" s="47"/>
      <c r="AE25" s="47"/>
      <c r="AF25" s="47">
        <v>5299</v>
      </c>
      <c r="AG25" s="38"/>
      <c r="AH25" s="56"/>
    </row>
    <row r="26" spans="1:36" s="4" customFormat="1" ht="100.5" customHeight="1" thickBot="1" x14ac:dyDescent="0.25">
      <c r="A26" s="57">
        <v>45648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20800</v>
      </c>
      <c r="G26" s="59">
        <f>G24-G25</f>
        <v>2500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105588</v>
      </c>
      <c r="U26" s="59">
        <f t="shared" si="3"/>
        <v>12277.674418604651</v>
      </c>
      <c r="V26" s="60" t="e">
        <f t="shared" si="3"/>
        <v>#REF!</v>
      </c>
      <c r="W26" s="59">
        <f t="shared" si="3"/>
        <v>42050.2</v>
      </c>
      <c r="X26" s="60" t="e">
        <f t="shared" si="3"/>
        <v>#REF!</v>
      </c>
      <c r="Y26" s="61">
        <f>Y24-Y25</f>
        <v>41904.659999999996</v>
      </c>
      <c r="Z26" s="58">
        <f>Z24-Z25</f>
        <v>7662</v>
      </c>
      <c r="AA26" s="58">
        <f t="shared" si="3"/>
        <v>292</v>
      </c>
      <c r="AB26" s="60">
        <f>AB24-AB25</f>
        <v>1111</v>
      </c>
      <c r="AC26" s="58">
        <f>AC24-AC25</f>
        <v>58000</v>
      </c>
      <c r="AD26" s="60">
        <f>AD24-AD25</f>
        <v>26938</v>
      </c>
      <c r="AE26" s="60">
        <f>AE24-AE25</f>
        <v>0</v>
      </c>
      <c r="AF26" s="60">
        <f>AF24-AF25</f>
        <v>30560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8" zoomScale="70" zoomScaleNormal="70" workbookViewId="0">
      <selection activeCell="AA22" sqref="AA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180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45649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20800</v>
      </c>
      <c r="G20" s="32">
        <f>F20/208*25</f>
        <v>2500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98940</v>
      </c>
      <c r="U20" s="34">
        <f>T20/215*25</f>
        <v>11504.651162790698</v>
      </c>
      <c r="V20" s="33" t="e">
        <f>#REF!</f>
        <v>#REF!</v>
      </c>
      <c r="W20" s="33">
        <v>40025</v>
      </c>
      <c r="X20" s="33" t="e">
        <f>#REF!</f>
        <v>#REF!</v>
      </c>
      <c r="Y20" s="35">
        <v>40984</v>
      </c>
      <c r="Z20" s="31">
        <v>6750</v>
      </c>
      <c r="AA20" s="31">
        <v>150</v>
      </c>
      <c r="AB20" s="33">
        <v>0</v>
      </c>
      <c r="AC20" s="31">
        <v>42767</v>
      </c>
      <c r="AD20" s="33">
        <v>16200</v>
      </c>
      <c r="AE20" s="33">
        <v>0</v>
      </c>
      <c r="AF20" s="33">
        <v>24010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6648</v>
      </c>
      <c r="U21" s="32">
        <f>T21/215*25</f>
        <v>773.02325581395348</v>
      </c>
      <c r="V21" s="34"/>
      <c r="W21" s="32">
        <v>2025.1999999999966</v>
      </c>
      <c r="X21" s="34">
        <v>0</v>
      </c>
      <c r="Y21" s="32">
        <v>920.65999999998996</v>
      </c>
      <c r="Z21" s="38">
        <v>912</v>
      </c>
      <c r="AA21" s="38">
        <v>142</v>
      </c>
      <c r="AB21" s="34">
        <v>1111</v>
      </c>
      <c r="AC21" s="38">
        <v>15233</v>
      </c>
      <c r="AD21" s="34">
        <v>10738</v>
      </c>
      <c r="AE21" s="34">
        <v>0</v>
      </c>
      <c r="AF21" s="34">
        <v>6550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20800</v>
      </c>
      <c r="G22" s="43">
        <f t="shared" si="1"/>
        <v>2500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105588</v>
      </c>
      <c r="U22" s="43">
        <f t="shared" si="1"/>
        <v>12277.674418604653</v>
      </c>
      <c r="V22" s="44" t="e">
        <f t="shared" si="1"/>
        <v>#REF!</v>
      </c>
      <c r="W22" s="45">
        <f t="shared" si="1"/>
        <v>42050.2</v>
      </c>
      <c r="X22" s="44" t="e">
        <f t="shared" si="1"/>
        <v>#REF!</v>
      </c>
      <c r="Y22" s="43">
        <f>SUM(Y20:Y21)</f>
        <v>41904.659999999989</v>
      </c>
      <c r="Z22" s="42">
        <f t="shared" si="1"/>
        <v>7662</v>
      </c>
      <c r="AA22" s="42">
        <f t="shared" si="1"/>
        <v>292</v>
      </c>
      <c r="AB22" s="44">
        <f t="shared" si="1"/>
        <v>1111</v>
      </c>
      <c r="AC22" s="42">
        <f t="shared" si="1"/>
        <v>58000</v>
      </c>
      <c r="AD22" s="44">
        <f>SUM(AD20:AD21)</f>
        <v>26938</v>
      </c>
      <c r="AE22" s="44">
        <f t="shared" si="1"/>
        <v>0</v>
      </c>
      <c r="AF22" s="44">
        <f>SUM(AF20:AF21)</f>
        <v>30560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20800</v>
      </c>
      <c r="G24" s="52">
        <f t="shared" si="2"/>
        <v>2500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105588</v>
      </c>
      <c r="U24" s="52">
        <f t="shared" si="2"/>
        <v>12277.674418604653</v>
      </c>
      <c r="V24" s="51" t="e">
        <f t="shared" si="2"/>
        <v>#REF!</v>
      </c>
      <c r="W24" s="52">
        <f t="shared" si="2"/>
        <v>42050.2</v>
      </c>
      <c r="X24" s="51" t="e">
        <f t="shared" si="2"/>
        <v>#REF!</v>
      </c>
      <c r="Y24" s="52">
        <f t="shared" si="2"/>
        <v>41904.659999999989</v>
      </c>
      <c r="Z24" s="51">
        <f t="shared" si="2"/>
        <v>7662</v>
      </c>
      <c r="AA24" s="51">
        <f t="shared" si="2"/>
        <v>292</v>
      </c>
      <c r="AB24" s="51">
        <f t="shared" si="2"/>
        <v>1111</v>
      </c>
      <c r="AC24" s="51">
        <f t="shared" si="2"/>
        <v>58000</v>
      </c>
      <c r="AD24" s="51">
        <f t="shared" si="2"/>
        <v>26938</v>
      </c>
      <c r="AE24" s="51">
        <f t="shared" si="2"/>
        <v>0</v>
      </c>
      <c r="AF24" s="51">
        <f t="shared" si="2"/>
        <v>30560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3916</v>
      </c>
      <c r="U25" s="32">
        <f>T25/215*25</f>
        <v>455.3488372093023</v>
      </c>
      <c r="V25" s="47"/>
      <c r="W25" s="35">
        <v>1331</v>
      </c>
      <c r="X25" s="47"/>
      <c r="Y25" s="55">
        <v>595.35</v>
      </c>
      <c r="Z25" s="31">
        <v>245</v>
      </c>
      <c r="AA25" s="38"/>
      <c r="AB25" s="47"/>
      <c r="AC25" s="38">
        <v>2078</v>
      </c>
      <c r="AD25" s="47"/>
      <c r="AE25" s="47"/>
      <c r="AF25" s="47">
        <v>842</v>
      </c>
      <c r="AG25" s="38"/>
      <c r="AH25" s="56"/>
    </row>
    <row r="26" spans="1:36" s="4" customFormat="1" ht="100.5" customHeight="1" thickBot="1" x14ac:dyDescent="0.25">
      <c r="A26" s="57">
        <v>45655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20800</v>
      </c>
      <c r="G26" s="59">
        <f>G24-G25</f>
        <v>2500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101672</v>
      </c>
      <c r="U26" s="59">
        <f t="shared" si="3"/>
        <v>11822.325581395351</v>
      </c>
      <c r="V26" s="60" t="e">
        <f t="shared" si="3"/>
        <v>#REF!</v>
      </c>
      <c r="W26" s="59">
        <f t="shared" si="3"/>
        <v>40719.199999999997</v>
      </c>
      <c r="X26" s="60" t="e">
        <f t="shared" si="3"/>
        <v>#REF!</v>
      </c>
      <c r="Y26" s="61">
        <f>Y24-Y25</f>
        <v>41309.30999999999</v>
      </c>
      <c r="Z26" s="58">
        <f>Z24-Z25</f>
        <v>7417</v>
      </c>
      <c r="AA26" s="58">
        <f t="shared" si="3"/>
        <v>292</v>
      </c>
      <c r="AB26" s="60">
        <f>AB24-AB25</f>
        <v>1111</v>
      </c>
      <c r="AC26" s="58">
        <f>AC24-AC25</f>
        <v>55922</v>
      </c>
      <c r="AD26" s="60">
        <f>AD24-AD25</f>
        <v>26938</v>
      </c>
      <c r="AE26" s="60">
        <f>AE24-AE25</f>
        <v>0</v>
      </c>
      <c r="AF26" s="60">
        <f>AF24-AF25</f>
        <v>29718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0" zoomScaleNormal="70" workbookViewId="0">
      <selection activeCell="Y25" sqref="Y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181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45656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20800</v>
      </c>
      <c r="G20" s="32">
        <f>F20/208*25</f>
        <v>2500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98940</v>
      </c>
      <c r="U20" s="34">
        <f>T20/215*25</f>
        <v>11504.651162790698</v>
      </c>
      <c r="V20" s="33" t="e">
        <f>#REF!</f>
        <v>#REF!</v>
      </c>
      <c r="W20" s="33">
        <v>40025</v>
      </c>
      <c r="X20" s="33" t="e">
        <f>#REF!</f>
        <v>#REF!</v>
      </c>
      <c r="Y20" s="35">
        <v>40984</v>
      </c>
      <c r="Z20" s="31">
        <v>6750</v>
      </c>
      <c r="AA20" s="31">
        <v>150</v>
      </c>
      <c r="AB20" s="33">
        <v>0</v>
      </c>
      <c r="AC20" s="31">
        <v>42767</v>
      </c>
      <c r="AD20" s="33">
        <v>16200</v>
      </c>
      <c r="AE20" s="33">
        <v>0</v>
      </c>
      <c r="AF20" s="33">
        <v>24010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0</v>
      </c>
      <c r="G21" s="32">
        <f>F21/208*25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2732</v>
      </c>
      <c r="U21" s="32">
        <f>T21/215*25</f>
        <v>317.67441860465118</v>
      </c>
      <c r="V21" s="34"/>
      <c r="W21" s="32">
        <v>694.19999999999663</v>
      </c>
      <c r="X21" s="34">
        <v>0</v>
      </c>
      <c r="Y21" s="32">
        <v>325.30999999999</v>
      </c>
      <c r="Z21" s="38">
        <v>667</v>
      </c>
      <c r="AA21" s="38">
        <v>142</v>
      </c>
      <c r="AB21" s="34">
        <v>1111</v>
      </c>
      <c r="AC21" s="38">
        <v>13155</v>
      </c>
      <c r="AD21" s="34">
        <v>10738</v>
      </c>
      <c r="AE21" s="34">
        <v>0</v>
      </c>
      <c r="AF21" s="34">
        <v>5708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 t="shared" si="1"/>
        <v>20800</v>
      </c>
      <c r="G22" s="43">
        <f t="shared" si="1"/>
        <v>2500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101672</v>
      </c>
      <c r="U22" s="43">
        <f t="shared" si="1"/>
        <v>11822.325581395349</v>
      </c>
      <c r="V22" s="44" t="e">
        <f t="shared" si="1"/>
        <v>#REF!</v>
      </c>
      <c r="W22" s="45">
        <f t="shared" si="1"/>
        <v>40719.199999999997</v>
      </c>
      <c r="X22" s="44" t="e">
        <f t="shared" si="1"/>
        <v>#REF!</v>
      </c>
      <c r="Y22" s="43">
        <f>SUM(Y20:Y21)</f>
        <v>41309.30999999999</v>
      </c>
      <c r="Z22" s="42">
        <f t="shared" si="1"/>
        <v>7417</v>
      </c>
      <c r="AA22" s="42">
        <f t="shared" si="1"/>
        <v>292</v>
      </c>
      <c r="AB22" s="44">
        <f t="shared" si="1"/>
        <v>1111</v>
      </c>
      <c r="AC22" s="42">
        <f t="shared" si="1"/>
        <v>55922</v>
      </c>
      <c r="AD22" s="44">
        <f>SUM(AD20:AD21)</f>
        <v>26938</v>
      </c>
      <c r="AE22" s="44">
        <f t="shared" si="1"/>
        <v>0</v>
      </c>
      <c r="AF22" s="44">
        <f>SUM(AF20:AF21)</f>
        <v>29718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20800</v>
      </c>
      <c r="G24" s="52">
        <f t="shared" si="2"/>
        <v>2500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101672</v>
      </c>
      <c r="U24" s="52">
        <f t="shared" si="2"/>
        <v>11822.325581395349</v>
      </c>
      <c r="V24" s="51" t="e">
        <f t="shared" si="2"/>
        <v>#REF!</v>
      </c>
      <c r="W24" s="52">
        <f t="shared" si="2"/>
        <v>40719.199999999997</v>
      </c>
      <c r="X24" s="51" t="e">
        <f t="shared" si="2"/>
        <v>#REF!</v>
      </c>
      <c r="Y24" s="52">
        <f t="shared" si="2"/>
        <v>41309.30999999999</v>
      </c>
      <c r="Z24" s="51">
        <f t="shared" si="2"/>
        <v>7417</v>
      </c>
      <c r="AA24" s="51">
        <f t="shared" si="2"/>
        <v>292</v>
      </c>
      <c r="AB24" s="51">
        <f t="shared" si="2"/>
        <v>1111</v>
      </c>
      <c r="AC24" s="51">
        <f t="shared" si="2"/>
        <v>55922</v>
      </c>
      <c r="AD24" s="51">
        <f t="shared" si="2"/>
        <v>26938</v>
      </c>
      <c r="AE24" s="51">
        <f t="shared" si="2"/>
        <v>0</v>
      </c>
      <c r="AF24" s="51">
        <f t="shared" si="2"/>
        <v>29718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4971</v>
      </c>
      <c r="U25" s="32">
        <f>T25/215*25</f>
        <v>578.02325581395348</v>
      </c>
      <c r="V25" s="47"/>
      <c r="W25" s="35">
        <v>1681.2</v>
      </c>
      <c r="X25" s="47"/>
      <c r="Y25" s="55">
        <v>755.73</v>
      </c>
      <c r="Z25" s="31">
        <v>311</v>
      </c>
      <c r="AA25" s="38"/>
      <c r="AB25" s="47"/>
      <c r="AC25" s="38">
        <v>2601</v>
      </c>
      <c r="AD25" s="47"/>
      <c r="AE25" s="47"/>
      <c r="AF25" s="47">
        <v>995</v>
      </c>
      <c r="AG25" s="38"/>
      <c r="AH25" s="56"/>
    </row>
    <row r="26" spans="1:36" s="4" customFormat="1" ht="100.5" customHeight="1" thickBot="1" x14ac:dyDescent="0.25">
      <c r="A26" s="57">
        <v>45662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20800</v>
      </c>
      <c r="G26" s="59">
        <f>G24-G25</f>
        <v>2500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96701</v>
      </c>
      <c r="U26" s="59">
        <f t="shared" si="3"/>
        <v>11244.302325581395</v>
      </c>
      <c r="V26" s="60" t="e">
        <f t="shared" si="3"/>
        <v>#REF!</v>
      </c>
      <c r="W26" s="59">
        <f t="shared" si="3"/>
        <v>39038</v>
      </c>
      <c r="X26" s="60" t="e">
        <f t="shared" si="3"/>
        <v>#REF!</v>
      </c>
      <c r="Y26" s="61">
        <f>Y24-Y25</f>
        <v>40553.579999999987</v>
      </c>
      <c r="Z26" s="58">
        <f>Z24-Z25</f>
        <v>7106</v>
      </c>
      <c r="AA26" s="58">
        <f t="shared" si="3"/>
        <v>292</v>
      </c>
      <c r="AB26" s="60">
        <f>AB24-AB25</f>
        <v>1111</v>
      </c>
      <c r="AC26" s="58">
        <f>AC24-AC25</f>
        <v>53321</v>
      </c>
      <c r="AD26" s="60">
        <f>AD24-AD25</f>
        <v>26938</v>
      </c>
      <c r="AE26" s="60">
        <f>AE24-AE25</f>
        <v>0</v>
      </c>
      <c r="AF26" s="60">
        <f>AF24-AF25</f>
        <v>28723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Z24" sqref="Z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182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45663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4160</v>
      </c>
      <c r="G20" s="32">
        <f>F20/208*25</f>
        <v>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71205</v>
      </c>
      <c r="U20" s="34">
        <f>T20/215*25</f>
        <v>8279.6511627906984</v>
      </c>
      <c r="V20" s="33" t="e">
        <f>#REF!</f>
        <v>#REF!</v>
      </c>
      <c r="W20" s="33">
        <v>24400</v>
      </c>
      <c r="X20" s="33" t="e">
        <f>#REF!</f>
        <v>#REF!</v>
      </c>
      <c r="Y20" s="35">
        <v>34908</v>
      </c>
      <c r="Z20" s="31">
        <v>4650</v>
      </c>
      <c r="AA20" s="31">
        <v>150</v>
      </c>
      <c r="AB20" s="33">
        <v>0</v>
      </c>
      <c r="AC20" s="31">
        <v>26267</v>
      </c>
      <c r="AD20" s="33">
        <v>11160</v>
      </c>
      <c r="AE20" s="33">
        <v>0</v>
      </c>
      <c r="AF20" s="33">
        <v>15610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16640</v>
      </c>
      <c r="G21" s="32">
        <f>F21/208*25</f>
        <v>2000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25496</v>
      </c>
      <c r="U21" s="32">
        <f>T21/215*25</f>
        <v>2964.651162790698</v>
      </c>
      <c r="V21" s="34"/>
      <c r="W21" s="32">
        <v>14637.999999999996</v>
      </c>
      <c r="X21" s="34">
        <v>0</v>
      </c>
      <c r="Y21" s="32">
        <v>5645.5799999999908</v>
      </c>
      <c r="Z21" s="38">
        <v>2456</v>
      </c>
      <c r="AA21" s="38">
        <v>142</v>
      </c>
      <c r="AB21" s="34">
        <v>1111</v>
      </c>
      <c r="AC21" s="38">
        <v>27054</v>
      </c>
      <c r="AD21" s="34">
        <v>15778</v>
      </c>
      <c r="AE21" s="34">
        <v>0</v>
      </c>
      <c r="AF21" s="34">
        <v>13113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20800</v>
      </c>
      <c r="G22" s="43">
        <f t="shared" si="1"/>
        <v>2500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96701</v>
      </c>
      <c r="U22" s="43">
        <f t="shared" si="1"/>
        <v>11244.302325581397</v>
      </c>
      <c r="V22" s="44" t="e">
        <f t="shared" si="1"/>
        <v>#REF!</v>
      </c>
      <c r="W22" s="45">
        <f t="shared" si="1"/>
        <v>39038</v>
      </c>
      <c r="X22" s="44" t="e">
        <f t="shared" si="1"/>
        <v>#REF!</v>
      </c>
      <c r="Y22" s="43">
        <f>SUM(Y20:Y21)</f>
        <v>40553.579999999987</v>
      </c>
      <c r="Z22" s="42">
        <f t="shared" si="1"/>
        <v>7106</v>
      </c>
      <c r="AA22" s="42">
        <f t="shared" si="1"/>
        <v>292</v>
      </c>
      <c r="AB22" s="44">
        <f t="shared" si="1"/>
        <v>1111</v>
      </c>
      <c r="AC22" s="42">
        <f t="shared" si="1"/>
        <v>53321</v>
      </c>
      <c r="AD22" s="44">
        <f>SUM(AD20:AD21)</f>
        <v>26938</v>
      </c>
      <c r="AE22" s="44">
        <f t="shared" si="1"/>
        <v>0</v>
      </c>
      <c r="AF22" s="44">
        <f>SUM(AF20:AF21)</f>
        <v>28723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20800</v>
      </c>
      <c r="G23" s="32">
        <f>F23/208*25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15000</v>
      </c>
      <c r="X23" s="31"/>
      <c r="Y23" s="31">
        <v>10000</v>
      </c>
      <c r="Z23" s="31">
        <v>2000</v>
      </c>
      <c r="AA23" s="31"/>
      <c r="AB23" s="31"/>
      <c r="AC23" s="31">
        <v>5820</v>
      </c>
      <c r="AD23" s="31">
        <v>5760</v>
      </c>
      <c r="AE23" s="31"/>
      <c r="AF23" s="48">
        <v>5700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41600</v>
      </c>
      <c r="G24" s="52">
        <f t="shared" si="2"/>
        <v>5000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118201</v>
      </c>
      <c r="U24" s="52">
        <f t="shared" si="2"/>
        <v>13744.302325581397</v>
      </c>
      <c r="V24" s="51" t="e">
        <f t="shared" si="2"/>
        <v>#REF!</v>
      </c>
      <c r="W24" s="52">
        <f t="shared" si="2"/>
        <v>54038</v>
      </c>
      <c r="X24" s="51" t="e">
        <f t="shared" si="2"/>
        <v>#REF!</v>
      </c>
      <c r="Y24" s="52">
        <f t="shared" si="2"/>
        <v>50553.579999999987</v>
      </c>
      <c r="Z24" s="51">
        <f t="shared" si="2"/>
        <v>9106</v>
      </c>
      <c r="AA24" s="51">
        <f t="shared" si="2"/>
        <v>292</v>
      </c>
      <c r="AB24" s="51">
        <f t="shared" si="2"/>
        <v>1111</v>
      </c>
      <c r="AC24" s="51">
        <f t="shared" si="2"/>
        <v>59141</v>
      </c>
      <c r="AD24" s="51">
        <f t="shared" si="2"/>
        <v>32698</v>
      </c>
      <c r="AE24" s="51">
        <f t="shared" si="2"/>
        <v>0</v>
      </c>
      <c r="AF24" s="51">
        <f t="shared" si="2"/>
        <v>34423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7372</v>
      </c>
      <c r="G25" s="32">
        <f>F25/208*25</f>
        <v>886.05769230769238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11794</v>
      </c>
      <c r="U25" s="32">
        <f>T25/215*25</f>
        <v>1371.3953488372092</v>
      </c>
      <c r="V25" s="47"/>
      <c r="W25" s="35">
        <v>6825</v>
      </c>
      <c r="X25" s="47"/>
      <c r="Y25" s="55">
        <f>Z25*2.43</f>
        <v>2928.15</v>
      </c>
      <c r="Z25" s="31">
        <v>1205</v>
      </c>
      <c r="AA25" s="38"/>
      <c r="AB25" s="47"/>
      <c r="AC25" s="38">
        <f>696+5077</f>
        <v>5773</v>
      </c>
      <c r="AD25" s="47">
        <v>4306</v>
      </c>
      <c r="AE25" s="47"/>
      <c r="AF25" s="47">
        <f>1936+2386</f>
        <v>4322</v>
      </c>
      <c r="AG25" s="38"/>
      <c r="AH25" s="56"/>
    </row>
    <row r="26" spans="1:36" s="4" customFormat="1" ht="100.5" customHeight="1" thickBot="1" x14ac:dyDescent="0.25">
      <c r="A26" s="57">
        <v>45669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34228</v>
      </c>
      <c r="G26" s="59">
        <f>G24-G25</f>
        <v>4113.9423076923076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106407</v>
      </c>
      <c r="U26" s="59">
        <f t="shared" si="3"/>
        <v>12372.906976744187</v>
      </c>
      <c r="V26" s="60" t="e">
        <f t="shared" si="3"/>
        <v>#REF!</v>
      </c>
      <c r="W26" s="59">
        <f t="shared" si="3"/>
        <v>47213</v>
      </c>
      <c r="X26" s="60" t="e">
        <f t="shared" si="3"/>
        <v>#REF!</v>
      </c>
      <c r="Y26" s="61">
        <f>Y24-Y25</f>
        <v>47625.429999999986</v>
      </c>
      <c r="Z26" s="58">
        <f>Z24-Z25</f>
        <v>7901</v>
      </c>
      <c r="AA26" s="58">
        <f t="shared" si="3"/>
        <v>292</v>
      </c>
      <c r="AB26" s="60">
        <f>AB24-AB25</f>
        <v>1111</v>
      </c>
      <c r="AC26" s="58">
        <f>AC24-AC25</f>
        <v>53368</v>
      </c>
      <c r="AD26" s="60">
        <f>AD24-AD25</f>
        <v>28392</v>
      </c>
      <c r="AE26" s="60">
        <f>AE24-AE25</f>
        <v>0</v>
      </c>
      <c r="AF26" s="60">
        <f>AF24-AF25</f>
        <v>30101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4" zoomScale="70" zoomScaleNormal="70" workbookViewId="0">
      <selection activeCell="W25" sqref="W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183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45670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8320</v>
      </c>
      <c r="G20" s="32">
        <f>F20/208*25</f>
        <v>1000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81955</v>
      </c>
      <c r="U20" s="34">
        <f>T20/215*25</f>
        <v>9529.6511627906984</v>
      </c>
      <c r="V20" s="33" t="e">
        <f>#REF!</f>
        <v>#REF!</v>
      </c>
      <c r="W20" s="33">
        <v>32025</v>
      </c>
      <c r="X20" s="33" t="e">
        <f>#REF!</f>
        <v>#REF!</v>
      </c>
      <c r="Y20" s="35">
        <v>41749</v>
      </c>
      <c r="Z20" s="31">
        <v>5350</v>
      </c>
      <c r="AA20" s="31">
        <v>150</v>
      </c>
      <c r="AB20" s="33">
        <v>0</v>
      </c>
      <c r="AC20" s="31">
        <v>28767</v>
      </c>
      <c r="AD20" s="33">
        <v>12960</v>
      </c>
      <c r="AE20" s="33">
        <v>0</v>
      </c>
      <c r="AF20" s="33">
        <v>16510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25908</v>
      </c>
      <c r="G21" s="32">
        <f>F21/208*25</f>
        <v>3113.9423076923076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24452</v>
      </c>
      <c r="U21" s="32">
        <f>T21/215*25</f>
        <v>2843.2558139534885</v>
      </c>
      <c r="V21" s="34"/>
      <c r="W21" s="32">
        <v>15187.999999999996</v>
      </c>
      <c r="X21" s="34">
        <v>0</v>
      </c>
      <c r="Y21" s="32">
        <v>5876.4299999999912</v>
      </c>
      <c r="Z21" s="38">
        <v>2551</v>
      </c>
      <c r="AA21" s="38">
        <v>142</v>
      </c>
      <c r="AB21" s="34">
        <v>1111</v>
      </c>
      <c r="AC21" s="38">
        <v>24601</v>
      </c>
      <c r="AD21" s="34">
        <v>15432</v>
      </c>
      <c r="AE21" s="34">
        <v>0</v>
      </c>
      <c r="AF21" s="34">
        <v>13591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34228</v>
      </c>
      <c r="G22" s="43">
        <f t="shared" si="1"/>
        <v>4113.9423076923076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106407</v>
      </c>
      <c r="U22" s="43">
        <f t="shared" si="1"/>
        <v>12372.906976744187</v>
      </c>
      <c r="V22" s="44" t="e">
        <f t="shared" si="1"/>
        <v>#REF!</v>
      </c>
      <c r="W22" s="45">
        <f t="shared" si="1"/>
        <v>47213</v>
      </c>
      <c r="X22" s="44" t="e">
        <f t="shared" si="1"/>
        <v>#REF!</v>
      </c>
      <c r="Y22" s="43">
        <f>SUM(Y20:Y21)</f>
        <v>47625.429999999993</v>
      </c>
      <c r="Z22" s="42">
        <f t="shared" si="1"/>
        <v>7901</v>
      </c>
      <c r="AA22" s="42">
        <f t="shared" si="1"/>
        <v>292</v>
      </c>
      <c r="AB22" s="44">
        <f t="shared" si="1"/>
        <v>1111</v>
      </c>
      <c r="AC22" s="42">
        <f t="shared" si="1"/>
        <v>53368</v>
      </c>
      <c r="AD22" s="44">
        <f>SUM(AD20:AD21)</f>
        <v>28392</v>
      </c>
      <c r="AE22" s="44">
        <f t="shared" si="1"/>
        <v>0</v>
      </c>
      <c r="AF22" s="44">
        <f>SUM(AF20:AF21)</f>
        <v>30101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26000</v>
      </c>
      <c r="G23" s="32">
        <f>F23/208*25</f>
        <v>3125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26875</v>
      </c>
      <c r="U23" s="32">
        <f>T23/215*25</f>
        <v>3125</v>
      </c>
      <c r="V23" s="31"/>
      <c r="W23" s="31">
        <v>15000</v>
      </c>
      <c r="X23" s="31"/>
      <c r="Y23" s="31">
        <v>10000</v>
      </c>
      <c r="Z23" s="31">
        <v>2000</v>
      </c>
      <c r="AA23" s="31"/>
      <c r="AB23" s="31"/>
      <c r="AC23" s="31">
        <v>9000</v>
      </c>
      <c r="AD23" s="31">
        <v>9000</v>
      </c>
      <c r="AE23" s="31"/>
      <c r="AF23" s="48">
        <v>9500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60228</v>
      </c>
      <c r="G24" s="52">
        <f t="shared" si="2"/>
        <v>7238.9423076923076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133282</v>
      </c>
      <c r="U24" s="52">
        <f t="shared" si="2"/>
        <v>15497.906976744187</v>
      </c>
      <c r="V24" s="51" t="e">
        <f t="shared" si="2"/>
        <v>#REF!</v>
      </c>
      <c r="W24" s="52">
        <f t="shared" si="2"/>
        <v>62213</v>
      </c>
      <c r="X24" s="51" t="e">
        <f t="shared" si="2"/>
        <v>#REF!</v>
      </c>
      <c r="Y24" s="52">
        <f t="shared" si="2"/>
        <v>57625.429999999993</v>
      </c>
      <c r="Z24" s="51">
        <f t="shared" si="2"/>
        <v>9901</v>
      </c>
      <c r="AA24" s="51">
        <f t="shared" si="2"/>
        <v>292</v>
      </c>
      <c r="AB24" s="51">
        <f t="shared" si="2"/>
        <v>1111</v>
      </c>
      <c r="AC24" s="51">
        <f t="shared" si="2"/>
        <v>62368</v>
      </c>
      <c r="AD24" s="51">
        <f t="shared" si="2"/>
        <v>37392</v>
      </c>
      <c r="AE24" s="51">
        <f t="shared" si="2"/>
        <v>0</v>
      </c>
      <c r="AF24" s="51">
        <f t="shared" si="2"/>
        <v>39601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8675</v>
      </c>
      <c r="G25" s="32">
        <f>F25/208*25</f>
        <v>1042.6682692307691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11874</v>
      </c>
      <c r="U25" s="32">
        <f>T25/215*25</f>
        <v>1380.6976744186047</v>
      </c>
      <c r="V25" s="47"/>
      <c r="W25" s="35">
        <v>7042.2000000000007</v>
      </c>
      <c r="X25" s="47"/>
      <c r="Y25" s="55">
        <v>3107.97</v>
      </c>
      <c r="Z25" s="31">
        <v>1279</v>
      </c>
      <c r="AA25" s="38"/>
      <c r="AB25" s="47"/>
      <c r="AC25" s="38">
        <v>5756</v>
      </c>
      <c r="AD25" s="47">
        <v>4788</v>
      </c>
      <c r="AE25" s="47"/>
      <c r="AF25" s="47">
        <v>4595</v>
      </c>
      <c r="AG25" s="38"/>
      <c r="AH25" s="56"/>
    </row>
    <row r="26" spans="1:36" s="4" customFormat="1" ht="100.5" customHeight="1" thickBot="1" x14ac:dyDescent="0.25">
      <c r="A26" s="57">
        <v>45676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51553</v>
      </c>
      <c r="G26" s="59">
        <f>G24-G25</f>
        <v>6196.274038461539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121408</v>
      </c>
      <c r="U26" s="59">
        <f t="shared" si="3"/>
        <v>14117.209302325582</v>
      </c>
      <c r="V26" s="60" t="e">
        <f t="shared" si="3"/>
        <v>#REF!</v>
      </c>
      <c r="W26" s="59">
        <f t="shared" si="3"/>
        <v>55170.8</v>
      </c>
      <c r="X26" s="60" t="e">
        <f t="shared" si="3"/>
        <v>#REF!</v>
      </c>
      <c r="Y26" s="61">
        <f>Y24-Y25</f>
        <v>54517.459999999992</v>
      </c>
      <c r="Z26" s="58">
        <f>Z24-Z25</f>
        <v>8622</v>
      </c>
      <c r="AA26" s="58">
        <f t="shared" si="3"/>
        <v>292</v>
      </c>
      <c r="AB26" s="60">
        <f>AB24-AB25</f>
        <v>1111</v>
      </c>
      <c r="AC26" s="58">
        <f>AC24-AC25</f>
        <v>56612</v>
      </c>
      <c r="AD26" s="60">
        <f>AD24-AD25</f>
        <v>32604</v>
      </c>
      <c r="AE26" s="60">
        <f>AE24-AE25</f>
        <v>0</v>
      </c>
      <c r="AF26" s="60">
        <f>AF24-AF25</f>
        <v>35006</v>
      </c>
      <c r="AG26" s="58">
        <f t="shared" ref="AG26" si="7">AG24-AG25</f>
        <v>1645</v>
      </c>
      <c r="AH26" s="62">
        <f>AH24-AH25</f>
        <v>220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184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0" zoomScaleNormal="70" workbookViewId="0">
      <selection activeCell="AA24" sqref="AA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185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45677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34320</v>
      </c>
      <c r="G20" s="32">
        <f>F20/208*25</f>
        <v>4125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78730</v>
      </c>
      <c r="U20" s="34">
        <f>T20/215*25</f>
        <v>9154.6511627906984</v>
      </c>
      <c r="V20" s="33" t="e">
        <f>#REF!</f>
        <v>#REF!</v>
      </c>
      <c r="W20" s="33">
        <v>39525</v>
      </c>
      <c r="X20" s="33" t="e">
        <f>#REF!</f>
        <v>#REF!</v>
      </c>
      <c r="Y20" s="35">
        <v>48104</v>
      </c>
      <c r="Z20" s="31">
        <v>5850</v>
      </c>
      <c r="AA20" s="31">
        <v>150</v>
      </c>
      <c r="AB20" s="33">
        <v>0</v>
      </c>
      <c r="AC20" s="31">
        <v>24017</v>
      </c>
      <c r="AD20" s="33">
        <v>21960</v>
      </c>
      <c r="AE20" s="33">
        <v>0</v>
      </c>
      <c r="AF20" s="33">
        <v>22410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17233</v>
      </c>
      <c r="G21" s="32">
        <f>F21/208*25</f>
        <v>2071.2740384615381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42678</v>
      </c>
      <c r="U21" s="32">
        <f>T21/215*25</f>
        <v>4962.5581395348836</v>
      </c>
      <c r="V21" s="34"/>
      <c r="W21" s="32">
        <v>15645.799999999997</v>
      </c>
      <c r="X21" s="34">
        <v>0</v>
      </c>
      <c r="Y21" s="32">
        <v>6413.45999999999</v>
      </c>
      <c r="Z21" s="38">
        <v>2772</v>
      </c>
      <c r="AA21" s="38">
        <v>142</v>
      </c>
      <c r="AB21" s="34">
        <v>1111</v>
      </c>
      <c r="AC21" s="38">
        <v>32595</v>
      </c>
      <c r="AD21" s="34">
        <v>10644</v>
      </c>
      <c r="AE21" s="34">
        <v>0</v>
      </c>
      <c r="AF21" s="34">
        <v>12596</v>
      </c>
      <c r="AG21" s="38">
        <v>1030</v>
      </c>
      <c r="AH21" s="39">
        <v>110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51553</v>
      </c>
      <c r="G22" s="43">
        <f t="shared" si="1"/>
        <v>6196.2740384615381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121408</v>
      </c>
      <c r="U22" s="43">
        <f t="shared" si="1"/>
        <v>14117.209302325582</v>
      </c>
      <c r="V22" s="44" t="e">
        <f t="shared" si="1"/>
        <v>#REF!</v>
      </c>
      <c r="W22" s="45">
        <f t="shared" si="1"/>
        <v>55170.799999999996</v>
      </c>
      <c r="X22" s="44" t="e">
        <f t="shared" si="1"/>
        <v>#REF!</v>
      </c>
      <c r="Y22" s="43">
        <f>SUM(Y20:Y21)</f>
        <v>54517.459999999992</v>
      </c>
      <c r="Z22" s="42">
        <f t="shared" si="1"/>
        <v>8622</v>
      </c>
      <c r="AA22" s="42">
        <f t="shared" si="1"/>
        <v>292</v>
      </c>
      <c r="AB22" s="44">
        <f t="shared" si="1"/>
        <v>1111</v>
      </c>
      <c r="AC22" s="42">
        <f t="shared" si="1"/>
        <v>56612</v>
      </c>
      <c r="AD22" s="44">
        <f>SUM(AD20:AD21)</f>
        <v>32604</v>
      </c>
      <c r="AE22" s="44">
        <f t="shared" si="1"/>
        <v>0</v>
      </c>
      <c r="AF22" s="44">
        <f>SUM(AF20:AF21)</f>
        <v>35006</v>
      </c>
      <c r="AG22" s="42">
        <f t="shared" si="1"/>
        <v>1645</v>
      </c>
      <c r="AH22" s="46">
        <f t="shared" si="1"/>
        <v>220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>
        <v>26000</v>
      </c>
      <c r="G23" s="32">
        <f>F23/208*25</f>
        <v>3125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26875</v>
      </c>
      <c r="U23" s="32">
        <f>T23/215*25</f>
        <v>3125</v>
      </c>
      <c r="V23" s="31"/>
      <c r="W23" s="31">
        <v>15000</v>
      </c>
      <c r="X23" s="31"/>
      <c r="Y23" s="31"/>
      <c r="Z23" s="31">
        <v>2000</v>
      </c>
      <c r="AA23" s="31"/>
      <c r="AB23" s="31"/>
      <c r="AC23" s="31">
        <v>10000</v>
      </c>
      <c r="AD23" s="31">
        <v>10080</v>
      </c>
      <c r="AE23" s="31"/>
      <c r="AF23" s="48">
        <v>3800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77553</v>
      </c>
      <c r="G24" s="52">
        <f t="shared" si="2"/>
        <v>9321.274038461539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148283</v>
      </c>
      <c r="U24" s="52">
        <f t="shared" si="2"/>
        <v>17242.20930232558</v>
      </c>
      <c r="V24" s="51" t="e">
        <f t="shared" si="2"/>
        <v>#REF!</v>
      </c>
      <c r="W24" s="52">
        <f t="shared" si="2"/>
        <v>70170.799999999988</v>
      </c>
      <c r="X24" s="51" t="e">
        <f t="shared" si="2"/>
        <v>#REF!</v>
      </c>
      <c r="Y24" s="52">
        <f t="shared" si="2"/>
        <v>54517.459999999992</v>
      </c>
      <c r="Z24" s="51">
        <f t="shared" si="2"/>
        <v>10622</v>
      </c>
      <c r="AA24" s="51">
        <f t="shared" si="2"/>
        <v>292</v>
      </c>
      <c r="AB24" s="51">
        <f t="shared" si="2"/>
        <v>1111</v>
      </c>
      <c r="AC24" s="51">
        <f t="shared" si="2"/>
        <v>66612</v>
      </c>
      <c r="AD24" s="51">
        <f t="shared" si="2"/>
        <v>42684</v>
      </c>
      <c r="AE24" s="51">
        <f t="shared" si="2"/>
        <v>0</v>
      </c>
      <c r="AF24" s="51">
        <f t="shared" si="2"/>
        <v>38806</v>
      </c>
      <c r="AG24" s="51">
        <f t="shared" si="2"/>
        <v>1645</v>
      </c>
      <c r="AH24" s="53">
        <f t="shared" si="2"/>
        <v>220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10316</v>
      </c>
      <c r="G25" s="32">
        <f>F25/208*25</f>
        <v>1239.9038461538462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12670</v>
      </c>
      <c r="U25" s="32">
        <f>T25/215*25</f>
        <v>1473.2558139534883</v>
      </c>
      <c r="V25" s="47"/>
      <c r="W25" s="35">
        <v>7618</v>
      </c>
      <c r="X25" s="47"/>
      <c r="Y25" s="55">
        <v>3358.26</v>
      </c>
      <c r="Z25" s="31">
        <v>1382</v>
      </c>
      <c r="AA25" s="38">
        <v>1</v>
      </c>
      <c r="AB25" s="47"/>
      <c r="AC25" s="38">
        <v>5726</v>
      </c>
      <c r="AD25" s="47">
        <v>5841</v>
      </c>
      <c r="AE25" s="47"/>
      <c r="AF25" s="47">
        <v>4692</v>
      </c>
      <c r="AG25" s="38"/>
      <c r="AH25" s="56">
        <v>4</v>
      </c>
    </row>
    <row r="26" spans="1:36" s="4" customFormat="1" ht="100.5" customHeight="1" thickBot="1" x14ac:dyDescent="0.25">
      <c r="A26" s="57">
        <v>45683</v>
      </c>
      <c r="B26" s="161" t="s">
        <v>45</v>
      </c>
      <c r="C26" s="162"/>
      <c r="D26" s="58">
        <f>D24-D25</f>
        <v>0</v>
      </c>
      <c r="E26" s="58">
        <f t="shared" ref="E26:AA26" si="3">E24-E25</f>
        <v>0</v>
      </c>
      <c r="F26" s="58">
        <f>F24-F25</f>
        <v>67237</v>
      </c>
      <c r="G26" s="59">
        <f>G24-G25</f>
        <v>8081.3701923076933</v>
      </c>
      <c r="H26" s="60" t="e">
        <f t="shared" si="3"/>
        <v>#REF!</v>
      </c>
      <c r="I26" s="60" t="e">
        <f t="shared" si="3"/>
        <v>#REF!</v>
      </c>
      <c r="J26" s="60">
        <f>J24-J25</f>
        <v>0</v>
      </c>
      <c r="K26" s="59">
        <f t="shared" ref="K26" si="4">K24-K25</f>
        <v>0</v>
      </c>
      <c r="L26" s="60">
        <f>L24-L25</f>
        <v>0</v>
      </c>
      <c r="M26" s="59">
        <f>M24-M25</f>
        <v>0</v>
      </c>
      <c r="N26" s="60" t="e">
        <f t="shared" ref="N26:Q26" si="5">N24-N25</f>
        <v>#REF!</v>
      </c>
      <c r="O26" s="60" t="e">
        <f t="shared" si="5"/>
        <v>#REF!</v>
      </c>
      <c r="P26" s="58">
        <f>P24-P25</f>
        <v>0</v>
      </c>
      <c r="Q26" s="59">
        <f t="shared" si="5"/>
        <v>0</v>
      </c>
      <c r="R26" s="58">
        <f>R24-R25</f>
        <v>0</v>
      </c>
      <c r="S26" s="59">
        <f t="shared" ref="S26" si="6">S24-S25</f>
        <v>0</v>
      </c>
      <c r="T26" s="58">
        <f>T24-T25</f>
        <v>135613</v>
      </c>
      <c r="U26" s="59">
        <f t="shared" si="3"/>
        <v>15768.953488372092</v>
      </c>
      <c r="V26" s="60" t="e">
        <f t="shared" si="3"/>
        <v>#REF!</v>
      </c>
      <c r="W26" s="59">
        <f t="shared" si="3"/>
        <v>62552.799999999988</v>
      </c>
      <c r="X26" s="60" t="e">
        <f t="shared" si="3"/>
        <v>#REF!</v>
      </c>
      <c r="Y26" s="61">
        <f>Y24-Y25</f>
        <v>51159.19999999999</v>
      </c>
      <c r="Z26" s="58">
        <f>Z24-Z25</f>
        <v>9240</v>
      </c>
      <c r="AA26" s="58">
        <f t="shared" si="3"/>
        <v>291</v>
      </c>
      <c r="AB26" s="60">
        <f>AB24-AB25</f>
        <v>1111</v>
      </c>
      <c r="AC26" s="58">
        <f>AC24-AC25</f>
        <v>60886</v>
      </c>
      <c r="AD26" s="60">
        <f>AD24-AD25</f>
        <v>36843</v>
      </c>
      <c r="AE26" s="60">
        <f>AE24-AE25</f>
        <v>0</v>
      </c>
      <c r="AF26" s="60">
        <f>AF24-AF25</f>
        <v>34114</v>
      </c>
      <c r="AG26" s="58">
        <f t="shared" ref="AG26" si="7">AG24-AG25</f>
        <v>1645</v>
      </c>
      <c r="AH26" s="62">
        <f>AH24-AH25</f>
        <v>216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184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4"/>
  <sheetViews>
    <sheetView topLeftCell="A16" zoomScale="70" zoomScaleNormal="70" workbookViewId="0">
      <selection activeCell="A26" sqref="A26:C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186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45684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41600</v>
      </c>
      <c r="G20" s="32">
        <f>F20/208*25</f>
        <v>5000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101305</v>
      </c>
      <c r="U20" s="34">
        <f>T20/215*25</f>
        <v>11779.651162790698</v>
      </c>
      <c r="V20" s="33" t="e">
        <f>#REF!</f>
        <v>#REF!</v>
      </c>
      <c r="W20" s="33">
        <v>46275</v>
      </c>
      <c r="X20" s="33" t="e">
        <f>#REF!</f>
        <v>#REF!</v>
      </c>
      <c r="Y20" s="35">
        <v>43001</v>
      </c>
      <c r="Z20" s="31">
        <v>5750</v>
      </c>
      <c r="AA20" s="31">
        <v>150</v>
      </c>
      <c r="AB20" s="33">
        <v>0</v>
      </c>
      <c r="AC20" s="31">
        <v>32517</v>
      </c>
      <c r="AD20" s="33">
        <v>19080</v>
      </c>
      <c r="AE20" s="33">
        <v>0</v>
      </c>
      <c r="AF20" s="33">
        <v>19310</v>
      </c>
      <c r="AG20" s="31">
        <v>615</v>
      </c>
      <c r="AH20" s="36">
        <v>90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25637</v>
      </c>
      <c r="G21" s="32">
        <f>F21/208*25</f>
        <v>3081.3701923076924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34308</v>
      </c>
      <c r="U21" s="32">
        <f>T21/215*25</f>
        <v>3989.3023255813951</v>
      </c>
      <c r="V21" s="34"/>
      <c r="W21" s="32">
        <v>16277.799999999997</v>
      </c>
      <c r="X21" s="34">
        <v>0</v>
      </c>
      <c r="Y21" s="32">
        <v>8158.1999999999898</v>
      </c>
      <c r="Z21" s="38">
        <v>3490</v>
      </c>
      <c r="AA21" s="38">
        <v>141</v>
      </c>
      <c r="AB21" s="34">
        <v>1111</v>
      </c>
      <c r="AC21" s="38">
        <v>28369</v>
      </c>
      <c r="AD21" s="34">
        <v>17763</v>
      </c>
      <c r="AE21" s="34">
        <v>0</v>
      </c>
      <c r="AF21" s="34">
        <v>14804</v>
      </c>
      <c r="AG21" s="38">
        <v>1030</v>
      </c>
      <c r="AH21" s="39">
        <v>126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67237</v>
      </c>
      <c r="G22" s="43">
        <f t="shared" si="1"/>
        <v>8081.3701923076924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135613</v>
      </c>
      <c r="U22" s="43">
        <f t="shared" si="1"/>
        <v>15768.953488372093</v>
      </c>
      <c r="V22" s="44" t="e">
        <f t="shared" si="1"/>
        <v>#REF!</v>
      </c>
      <c r="W22" s="45">
        <f t="shared" si="1"/>
        <v>62552.799999999996</v>
      </c>
      <c r="X22" s="44" t="e">
        <f t="shared" si="1"/>
        <v>#REF!</v>
      </c>
      <c r="Y22" s="43">
        <f>SUM(Y20:Y21)</f>
        <v>51159.19999999999</v>
      </c>
      <c r="Z22" s="42">
        <f t="shared" si="1"/>
        <v>9240</v>
      </c>
      <c r="AA22" s="42">
        <f t="shared" si="1"/>
        <v>291</v>
      </c>
      <c r="AB22" s="44">
        <f t="shared" si="1"/>
        <v>1111</v>
      </c>
      <c r="AC22" s="42">
        <f t="shared" si="1"/>
        <v>60886</v>
      </c>
      <c r="AD22" s="44">
        <f>SUM(AD20:AD21)</f>
        <v>36843</v>
      </c>
      <c r="AE22" s="44">
        <f t="shared" si="1"/>
        <v>0</v>
      </c>
      <c r="AF22" s="44">
        <f>SUM(AF20:AF21)</f>
        <v>34114</v>
      </c>
      <c r="AG22" s="42">
        <f t="shared" si="1"/>
        <v>1645</v>
      </c>
      <c r="AH22" s="46">
        <f t="shared" si="1"/>
        <v>216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67237</v>
      </c>
      <c r="G24" s="52">
        <f t="shared" si="2"/>
        <v>8081.3701923076924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135613</v>
      </c>
      <c r="U24" s="52">
        <f t="shared" si="2"/>
        <v>15768.953488372093</v>
      </c>
      <c r="V24" s="51" t="e">
        <f t="shared" si="2"/>
        <v>#REF!</v>
      </c>
      <c r="W24" s="52">
        <f t="shared" si="2"/>
        <v>62552.799999999996</v>
      </c>
      <c r="X24" s="51" t="e">
        <f t="shared" si="2"/>
        <v>#REF!</v>
      </c>
      <c r="Y24" s="52">
        <f t="shared" si="2"/>
        <v>51159.19999999999</v>
      </c>
      <c r="Z24" s="51">
        <f t="shared" si="2"/>
        <v>9240</v>
      </c>
      <c r="AA24" s="51">
        <f t="shared" si="2"/>
        <v>291</v>
      </c>
      <c r="AB24" s="51">
        <f t="shared" si="2"/>
        <v>1111</v>
      </c>
      <c r="AC24" s="51">
        <f t="shared" si="2"/>
        <v>60886</v>
      </c>
      <c r="AD24" s="51">
        <f t="shared" si="2"/>
        <v>36843</v>
      </c>
      <c r="AE24" s="51">
        <f t="shared" si="2"/>
        <v>0</v>
      </c>
      <c r="AF24" s="51">
        <f t="shared" si="2"/>
        <v>34114</v>
      </c>
      <c r="AG24" s="51">
        <f t="shared" si="2"/>
        <v>1645</v>
      </c>
      <c r="AH24" s="53">
        <f t="shared" si="2"/>
        <v>216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7674</v>
      </c>
      <c r="G25" s="32">
        <f>F25/208*25</f>
        <v>922.35576923076917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10188</v>
      </c>
      <c r="U25" s="32">
        <f>T25/215*25</f>
        <v>1184.6511627906978</v>
      </c>
      <c r="V25" s="47"/>
      <c r="W25" s="35">
        <v>5819.2</v>
      </c>
      <c r="X25" s="47"/>
      <c r="Y25" s="55">
        <v>2711.88</v>
      </c>
      <c r="Z25" s="31">
        <v>1116</v>
      </c>
      <c r="AA25" s="38">
        <v>2</v>
      </c>
      <c r="AB25" s="47"/>
      <c r="AC25" s="38">
        <v>4900</v>
      </c>
      <c r="AD25" s="47">
        <v>4152</v>
      </c>
      <c r="AE25" s="47"/>
      <c r="AF25" s="47">
        <v>3787</v>
      </c>
      <c r="AG25" s="38"/>
      <c r="AH25" s="56">
        <v>6</v>
      </c>
    </row>
    <row r="26" spans="1:36" ht="75.75" customHeight="1" x14ac:dyDescent="0.3">
      <c r="A26" s="219" t="s">
        <v>187</v>
      </c>
      <c r="B26" s="220"/>
      <c r="C26" s="221"/>
      <c r="D26" s="94"/>
      <c r="E26" s="94"/>
      <c r="F26" s="95"/>
      <c r="G26" s="96"/>
      <c r="H26" s="97"/>
      <c r="I26" s="97"/>
      <c r="J26" s="97"/>
      <c r="K26" s="98"/>
      <c r="L26" s="97"/>
      <c r="M26" s="96"/>
      <c r="N26" s="97"/>
      <c r="O26" s="97"/>
      <c r="P26" s="97"/>
      <c r="Q26" s="96"/>
      <c r="R26" s="98"/>
      <c r="S26" s="96"/>
      <c r="T26" s="95">
        <v>58050</v>
      </c>
      <c r="U26" s="96">
        <f>T26/215*25</f>
        <v>6750</v>
      </c>
      <c r="V26" s="97"/>
      <c r="W26" s="99"/>
      <c r="X26" s="97"/>
      <c r="Y26" s="100"/>
      <c r="Z26" s="95"/>
      <c r="AA26" s="98"/>
      <c r="AB26" s="97"/>
      <c r="AC26" s="98"/>
      <c r="AD26" s="97"/>
      <c r="AE26" s="97"/>
      <c r="AF26" s="97"/>
      <c r="AG26" s="98"/>
      <c r="AH26" s="101"/>
    </row>
    <row r="27" spans="1:36" s="4" customFormat="1" ht="100.5" customHeight="1" thickBot="1" x14ac:dyDescent="0.25">
      <c r="A27" s="57">
        <v>45690</v>
      </c>
      <c r="B27" s="161" t="s">
        <v>45</v>
      </c>
      <c r="C27" s="162"/>
      <c r="D27" s="58">
        <f t="shared" ref="D27:S27" si="3">D24-D25</f>
        <v>0</v>
      </c>
      <c r="E27" s="58">
        <f t="shared" si="3"/>
        <v>0</v>
      </c>
      <c r="F27" s="58">
        <f t="shared" si="3"/>
        <v>59563</v>
      </c>
      <c r="G27" s="59">
        <f t="shared" si="3"/>
        <v>7159.0144230769229</v>
      </c>
      <c r="H27" s="60" t="e">
        <f t="shared" si="3"/>
        <v>#REF!</v>
      </c>
      <c r="I27" s="60" t="e">
        <f t="shared" si="3"/>
        <v>#REF!</v>
      </c>
      <c r="J27" s="60">
        <f t="shared" si="3"/>
        <v>0</v>
      </c>
      <c r="K27" s="59">
        <f t="shared" si="3"/>
        <v>0</v>
      </c>
      <c r="L27" s="60">
        <f t="shared" si="3"/>
        <v>0</v>
      </c>
      <c r="M27" s="59">
        <f t="shared" si="3"/>
        <v>0</v>
      </c>
      <c r="N27" s="60" t="e">
        <f t="shared" si="3"/>
        <v>#REF!</v>
      </c>
      <c r="O27" s="60" t="e">
        <f t="shared" si="3"/>
        <v>#REF!</v>
      </c>
      <c r="P27" s="58">
        <f t="shared" si="3"/>
        <v>0</v>
      </c>
      <c r="Q27" s="59">
        <f t="shared" si="3"/>
        <v>0</v>
      </c>
      <c r="R27" s="58">
        <f t="shared" si="3"/>
        <v>0</v>
      </c>
      <c r="S27" s="59">
        <f t="shared" si="3"/>
        <v>0</v>
      </c>
      <c r="T27" s="58">
        <f>T24-T25-T26</f>
        <v>67375</v>
      </c>
      <c r="U27" s="59">
        <f>U24-U25-U26</f>
        <v>7834.3023255813951</v>
      </c>
      <c r="V27" s="60" t="e">
        <f t="shared" ref="V27:AH27" si="4">V24-V25</f>
        <v>#REF!</v>
      </c>
      <c r="W27" s="59">
        <f t="shared" si="4"/>
        <v>56733.599999999999</v>
      </c>
      <c r="X27" s="60" t="e">
        <f t="shared" si="4"/>
        <v>#REF!</v>
      </c>
      <c r="Y27" s="61">
        <f t="shared" si="4"/>
        <v>48447.319999999992</v>
      </c>
      <c r="Z27" s="58">
        <f t="shared" si="4"/>
        <v>8124</v>
      </c>
      <c r="AA27" s="58">
        <f t="shared" si="4"/>
        <v>289</v>
      </c>
      <c r="AB27" s="60">
        <f t="shared" si="4"/>
        <v>1111</v>
      </c>
      <c r="AC27" s="58">
        <f t="shared" si="4"/>
        <v>55986</v>
      </c>
      <c r="AD27" s="60">
        <f t="shared" si="4"/>
        <v>32691</v>
      </c>
      <c r="AE27" s="60">
        <f t="shared" si="4"/>
        <v>0</v>
      </c>
      <c r="AF27" s="60">
        <f t="shared" si="4"/>
        <v>30327</v>
      </c>
      <c r="AG27" s="58">
        <f t="shared" si="4"/>
        <v>1645</v>
      </c>
      <c r="AH27" s="62">
        <f t="shared" si="4"/>
        <v>210</v>
      </c>
    </row>
    <row r="28" spans="1:36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91"/>
      <c r="X28" s="63"/>
      <c r="Y28" s="79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ht="24.75" customHeight="1" x14ac:dyDescent="0.3"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</row>
    <row r="30" spans="1:36" s="64" customFormat="1" ht="24" customHeight="1" x14ac:dyDescent="0.35">
      <c r="A30" s="64" t="s">
        <v>46</v>
      </c>
      <c r="G30" s="64" t="s">
        <v>47</v>
      </c>
      <c r="O30" s="65"/>
      <c r="R30" s="64" t="s">
        <v>48</v>
      </c>
      <c r="Y30" s="64" t="s">
        <v>48</v>
      </c>
      <c r="AC30" s="66" t="s">
        <v>49</v>
      </c>
      <c r="AF30" s="67"/>
      <c r="AG30" s="65"/>
      <c r="AH30" s="65"/>
    </row>
    <row r="31" spans="1:36" s="64" customFormat="1" ht="37.5" customHeight="1" x14ac:dyDescent="0.35">
      <c r="A31" s="68"/>
      <c r="B31" s="65"/>
      <c r="G31" s="69"/>
      <c r="H31" s="69"/>
      <c r="I31" s="69"/>
      <c r="J31" s="69"/>
      <c r="K31" s="69"/>
      <c r="L31" s="69"/>
      <c r="M31" s="69"/>
      <c r="N31" s="69"/>
      <c r="O31" s="69"/>
      <c r="P31" s="69"/>
      <c r="R31" s="69"/>
      <c r="S31" s="69"/>
      <c r="Y31" s="69"/>
      <c r="AC31" s="69"/>
      <c r="AD31" s="90"/>
      <c r="AF31" s="69"/>
      <c r="AG31" s="69"/>
      <c r="AH31" s="69"/>
      <c r="AI31" s="65"/>
    </row>
    <row r="32" spans="1:36" s="64" customFormat="1" ht="24" customHeight="1" x14ac:dyDescent="0.35">
      <c r="A32" s="70" t="s">
        <v>50</v>
      </c>
      <c r="B32" s="65"/>
      <c r="G32" s="70" t="s">
        <v>51</v>
      </c>
      <c r="H32" s="71"/>
      <c r="I32" s="71"/>
      <c r="J32" s="71"/>
      <c r="N32" s="65"/>
      <c r="O32" s="65"/>
      <c r="R32" s="70" t="s">
        <v>52</v>
      </c>
      <c r="Y32" s="70" t="s">
        <v>52</v>
      </c>
      <c r="AC32" s="71" t="s">
        <v>53</v>
      </c>
      <c r="AI32" s="65"/>
    </row>
    <row r="33" spans="1:35" s="64" customFormat="1" ht="21.75" customHeight="1" x14ac:dyDescent="0.35">
      <c r="A33" s="68" t="s">
        <v>54</v>
      </c>
      <c r="B33" s="65"/>
      <c r="C33" s="65"/>
      <c r="D33" s="65"/>
      <c r="G33" s="68" t="s">
        <v>55</v>
      </c>
      <c r="H33" s="65"/>
      <c r="I33" s="65"/>
      <c r="J33" s="65"/>
      <c r="K33" s="65"/>
      <c r="L33" s="65"/>
      <c r="M33" s="65"/>
      <c r="N33" s="65"/>
      <c r="O33" s="65"/>
      <c r="P33" s="65"/>
      <c r="R33" s="65" t="s">
        <v>56</v>
      </c>
      <c r="S33" s="65"/>
      <c r="Y33" s="65" t="s">
        <v>184</v>
      </c>
      <c r="AC33" s="68" t="s">
        <v>149</v>
      </c>
      <c r="AF33" s="65"/>
      <c r="AG33" s="65"/>
      <c r="AH33" s="65"/>
    </row>
    <row r="34" spans="1:35" s="64" customFormat="1" ht="26.25" customHeight="1" x14ac:dyDescent="0.35">
      <c r="A34" s="68" t="s">
        <v>59</v>
      </c>
      <c r="B34" s="65"/>
      <c r="C34" s="65"/>
      <c r="D34" s="65"/>
      <c r="G34" s="68" t="s">
        <v>60</v>
      </c>
      <c r="H34" s="65"/>
      <c r="I34" s="65"/>
      <c r="J34" s="65"/>
      <c r="K34" s="65"/>
      <c r="L34" s="65"/>
      <c r="M34" s="65"/>
      <c r="N34" s="65"/>
      <c r="O34" s="65"/>
      <c r="P34" s="65"/>
      <c r="R34" s="65"/>
      <c r="S34" s="65"/>
      <c r="T34" s="65"/>
      <c r="U34" s="65"/>
      <c r="V34" s="65"/>
      <c r="X34" s="65" t="s">
        <v>61</v>
      </c>
      <c r="Z34" s="65"/>
      <c r="AA34" s="65"/>
      <c r="AB34" s="65"/>
      <c r="AC34" s="65"/>
      <c r="AD34" s="73"/>
      <c r="AE34" s="73"/>
      <c r="AF34" s="65"/>
      <c r="AG34" s="73"/>
      <c r="AH34" s="73"/>
    </row>
    <row r="35" spans="1:35" s="65" customFormat="1" ht="24" customHeight="1" x14ac:dyDescent="0.35">
      <c r="A35" s="68"/>
      <c r="W35" s="74"/>
      <c r="AC35" s="75"/>
    </row>
    <row r="36" spans="1:35" s="65" customFormat="1" ht="24" customHeight="1" x14ac:dyDescent="0.3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73"/>
    </row>
    <row r="37" spans="1:35" s="65" customFormat="1" ht="23.25" customHeight="1" x14ac:dyDescent="0.35">
      <c r="A37" s="70" t="s">
        <v>73</v>
      </c>
      <c r="B37" s="70"/>
      <c r="C37" s="73"/>
      <c r="D37" s="73"/>
      <c r="E37" s="73"/>
      <c r="F37" s="73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U37" s="64"/>
      <c r="V37" s="64"/>
      <c r="W37" s="64"/>
      <c r="X37" s="64"/>
      <c r="Y37" s="64"/>
      <c r="Z37" s="64"/>
      <c r="AA37" s="64"/>
      <c r="AB37" s="64"/>
      <c r="AC37" s="64"/>
      <c r="AD37" s="76"/>
      <c r="AE37" s="76"/>
      <c r="AF37" s="64"/>
      <c r="AG37" s="64"/>
      <c r="AH37" s="64"/>
    </row>
    <row r="38" spans="1:35" s="64" customFormat="1" ht="24" customHeight="1" x14ac:dyDescent="0.3">
      <c r="A38" s="68" t="s">
        <v>62</v>
      </c>
    </row>
    <row r="39" spans="1:35" s="64" customFormat="1" ht="25.5" customHeight="1" x14ac:dyDescent="0.3">
      <c r="A39" s="68" t="s">
        <v>63</v>
      </c>
    </row>
    <row r="40" spans="1:35" ht="13.5" customHeight="1" x14ac:dyDescent="0.3"/>
    <row r="41" spans="1:35" ht="13.5" customHeight="1" x14ac:dyDescent="0.35">
      <c r="B41" s="77"/>
      <c r="C41" s="77"/>
      <c r="D41" s="77"/>
      <c r="E41" s="77"/>
    </row>
    <row r="43" spans="1:35" ht="22.5" x14ac:dyDescent="0.35">
      <c r="B43" s="77"/>
      <c r="C43" s="77"/>
      <c r="D43" s="77"/>
      <c r="E43" s="77"/>
    </row>
    <row r="44" spans="1:35" ht="15.75" customHeight="1" x14ac:dyDescent="0.3"/>
    <row r="47" spans="1:35" ht="15.75" customHeight="1" x14ac:dyDescent="0.3"/>
    <row r="49" spans="1:34" ht="22.5" x14ac:dyDescent="0.35"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</row>
    <row r="51" spans="1:34" s="77" customFormat="1" ht="22.5" x14ac:dyDescent="0.35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4" spans="1:34" ht="22.5" x14ac:dyDescent="0.35">
      <c r="A54" s="77"/>
    </row>
  </sheetData>
  <mergeCells count="46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D18:E18"/>
    <mergeCell ref="F18:G18"/>
    <mergeCell ref="H18:I18"/>
    <mergeCell ref="J18:K18"/>
    <mergeCell ref="L18:M18"/>
    <mergeCell ref="D17:E17"/>
    <mergeCell ref="F17:G17"/>
    <mergeCell ref="H17:I17"/>
    <mergeCell ref="J17:K17"/>
    <mergeCell ref="L17:M17"/>
    <mergeCell ref="A24:C24"/>
    <mergeCell ref="A25:C25"/>
    <mergeCell ref="B27:C27"/>
    <mergeCell ref="P18:Q18"/>
    <mergeCell ref="R18:S18"/>
    <mergeCell ref="A26:C26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</mergeCells>
  <pageMargins left="0.39370078740157483" right="0.39370078740157483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U23" sqref="U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188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45691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41600</v>
      </c>
      <c r="G20" s="32">
        <f>F20/208*25</f>
        <v>5000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43255</v>
      </c>
      <c r="U20" s="34">
        <f>T20/215*25</f>
        <v>5029.6511627906975</v>
      </c>
      <c r="V20" s="33" t="e">
        <f>#REF!</f>
        <v>#REF!</v>
      </c>
      <c r="W20" s="33">
        <v>46275</v>
      </c>
      <c r="X20" s="33" t="e">
        <f>#REF!</f>
        <v>#REF!</v>
      </c>
      <c r="Y20" s="35">
        <v>43001</v>
      </c>
      <c r="Z20" s="31">
        <v>5750</v>
      </c>
      <c r="AA20" s="31">
        <v>150</v>
      </c>
      <c r="AB20" s="33">
        <v>0</v>
      </c>
      <c r="AC20" s="31">
        <v>32517</v>
      </c>
      <c r="AD20" s="33">
        <v>19080</v>
      </c>
      <c r="AE20" s="33">
        <v>0</v>
      </c>
      <c r="AF20" s="33">
        <v>19310</v>
      </c>
      <c r="AG20" s="31">
        <v>615</v>
      </c>
      <c r="AH20" s="36">
        <v>90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17963</v>
      </c>
      <c r="G21" s="32">
        <f>F21/208*25</f>
        <v>2159.0144230769229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24120</v>
      </c>
      <c r="U21" s="32">
        <f>T21/215*25</f>
        <v>2804.6511627906975</v>
      </c>
      <c r="V21" s="34"/>
      <c r="W21" s="32">
        <v>10458.599999999995</v>
      </c>
      <c r="X21" s="34">
        <v>0</v>
      </c>
      <c r="Y21" s="32">
        <v>5446.3199999999897</v>
      </c>
      <c r="Z21" s="38">
        <v>2374</v>
      </c>
      <c r="AA21" s="38">
        <v>139</v>
      </c>
      <c r="AB21" s="34">
        <v>1111</v>
      </c>
      <c r="AC21" s="38">
        <v>23469</v>
      </c>
      <c r="AD21" s="34">
        <v>13611</v>
      </c>
      <c r="AE21" s="34">
        <v>0</v>
      </c>
      <c r="AF21" s="34">
        <v>11017</v>
      </c>
      <c r="AG21" s="38">
        <v>1030</v>
      </c>
      <c r="AH21" s="39">
        <v>120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59563</v>
      </c>
      <c r="G22" s="43">
        <f t="shared" si="1"/>
        <v>7159.0144230769229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67375</v>
      </c>
      <c r="U22" s="43">
        <f t="shared" si="1"/>
        <v>7834.3023255813951</v>
      </c>
      <c r="V22" s="44" t="e">
        <f t="shared" si="1"/>
        <v>#REF!</v>
      </c>
      <c r="W22" s="45">
        <f t="shared" si="1"/>
        <v>56733.599999999991</v>
      </c>
      <c r="X22" s="44" t="e">
        <f t="shared" si="1"/>
        <v>#REF!</v>
      </c>
      <c r="Y22" s="43">
        <f>SUM(Y20:Y21)</f>
        <v>48447.319999999992</v>
      </c>
      <c r="Z22" s="42">
        <f t="shared" si="1"/>
        <v>8124</v>
      </c>
      <c r="AA22" s="42">
        <f t="shared" si="1"/>
        <v>289</v>
      </c>
      <c r="AB22" s="44">
        <f t="shared" si="1"/>
        <v>1111</v>
      </c>
      <c r="AC22" s="42">
        <f t="shared" si="1"/>
        <v>55986</v>
      </c>
      <c r="AD22" s="44">
        <f>SUM(AD20:AD21)</f>
        <v>32691</v>
      </c>
      <c r="AE22" s="44">
        <f t="shared" si="1"/>
        <v>0</v>
      </c>
      <c r="AF22" s="44">
        <f>SUM(AF20:AF21)</f>
        <v>30327</v>
      </c>
      <c r="AG22" s="42">
        <f t="shared" si="1"/>
        <v>1645</v>
      </c>
      <c r="AH22" s="46">
        <f t="shared" si="1"/>
        <v>210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59563</v>
      </c>
      <c r="G24" s="52">
        <f t="shared" si="2"/>
        <v>7159.0144230769229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67375</v>
      </c>
      <c r="U24" s="52">
        <f t="shared" si="2"/>
        <v>7834.3023255813951</v>
      </c>
      <c r="V24" s="51" t="e">
        <f t="shared" si="2"/>
        <v>#REF!</v>
      </c>
      <c r="W24" s="52">
        <f t="shared" si="2"/>
        <v>56733.599999999991</v>
      </c>
      <c r="X24" s="51" t="e">
        <f t="shared" si="2"/>
        <v>#REF!</v>
      </c>
      <c r="Y24" s="52">
        <f t="shared" si="2"/>
        <v>48447.319999999992</v>
      </c>
      <c r="Z24" s="51">
        <f t="shared" si="2"/>
        <v>8124</v>
      </c>
      <c r="AA24" s="51">
        <f t="shared" si="2"/>
        <v>289</v>
      </c>
      <c r="AB24" s="51">
        <f t="shared" si="2"/>
        <v>1111</v>
      </c>
      <c r="AC24" s="51">
        <f t="shared" si="2"/>
        <v>55986</v>
      </c>
      <c r="AD24" s="51">
        <f t="shared" si="2"/>
        <v>32691</v>
      </c>
      <c r="AE24" s="51">
        <f t="shared" si="2"/>
        <v>0</v>
      </c>
      <c r="AF24" s="51">
        <f t="shared" si="2"/>
        <v>30327</v>
      </c>
      <c r="AG24" s="51">
        <f t="shared" si="2"/>
        <v>1645</v>
      </c>
      <c r="AH24" s="53">
        <f t="shared" si="2"/>
        <v>210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10883</v>
      </c>
      <c r="G25" s="32">
        <f>F25/208*25</f>
        <v>1308.0528846153848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9628</v>
      </c>
      <c r="U25" s="32">
        <f>T25/215*25</f>
        <v>1119.5348837209301</v>
      </c>
      <c r="V25" s="47"/>
      <c r="W25" s="35">
        <v>6860</v>
      </c>
      <c r="X25" s="47"/>
      <c r="Y25" s="55">
        <v>3120.12</v>
      </c>
      <c r="Z25" s="31">
        <v>1284</v>
      </c>
      <c r="AA25" s="38"/>
      <c r="AB25" s="47"/>
      <c r="AC25" s="38">
        <v>4768</v>
      </c>
      <c r="AD25" s="47">
        <v>5592</v>
      </c>
      <c r="AE25" s="47"/>
      <c r="AF25" s="47">
        <v>4442</v>
      </c>
      <c r="AG25" s="38"/>
      <c r="AH25" s="56">
        <v>4</v>
      </c>
    </row>
    <row r="26" spans="1:36" s="4" customFormat="1" ht="100.5" customHeight="1" thickBot="1" x14ac:dyDescent="0.25">
      <c r="A26" s="57">
        <v>45697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48680</v>
      </c>
      <c r="G26" s="59">
        <f t="shared" si="3"/>
        <v>5850.9615384615381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57747</v>
      </c>
      <c r="U26" s="59">
        <f>U24-U25</f>
        <v>6714.7674418604647</v>
      </c>
      <c r="V26" s="60" t="e">
        <f t="shared" ref="V26:AH26" si="4">V24-V25</f>
        <v>#REF!</v>
      </c>
      <c r="W26" s="59">
        <f t="shared" si="4"/>
        <v>49873.599999999991</v>
      </c>
      <c r="X26" s="60" t="e">
        <f t="shared" si="4"/>
        <v>#REF!</v>
      </c>
      <c r="Y26" s="61">
        <f t="shared" si="4"/>
        <v>45327.19999999999</v>
      </c>
      <c r="Z26" s="58">
        <f t="shared" si="4"/>
        <v>6840</v>
      </c>
      <c r="AA26" s="58">
        <f t="shared" si="4"/>
        <v>289</v>
      </c>
      <c r="AB26" s="60">
        <f t="shared" si="4"/>
        <v>1111</v>
      </c>
      <c r="AC26" s="58">
        <f t="shared" si="4"/>
        <v>51218</v>
      </c>
      <c r="AD26" s="60">
        <f t="shared" si="4"/>
        <v>27099</v>
      </c>
      <c r="AE26" s="60">
        <f t="shared" si="4"/>
        <v>0</v>
      </c>
      <c r="AF26" s="60">
        <f t="shared" si="4"/>
        <v>25885</v>
      </c>
      <c r="AG26" s="58">
        <f t="shared" si="4"/>
        <v>1645</v>
      </c>
      <c r="AH26" s="62">
        <f t="shared" si="4"/>
        <v>206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0" zoomScaleNormal="70" workbookViewId="0">
      <selection activeCell="G23" sqref="G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189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45698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20800</v>
      </c>
      <c r="G20" s="32">
        <f>F20/208*25</f>
        <v>2500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23905</v>
      </c>
      <c r="U20" s="34">
        <f>T20/215*25</f>
        <v>2779.6511627906975</v>
      </c>
      <c r="V20" s="33" t="e">
        <f>#REF!</f>
        <v>#REF!</v>
      </c>
      <c r="W20" s="33">
        <v>32150</v>
      </c>
      <c r="X20" s="33" t="e">
        <f>#REF!</f>
        <v>#REF!</v>
      </c>
      <c r="Y20" s="35">
        <v>37776</v>
      </c>
      <c r="Z20" s="31">
        <v>3550</v>
      </c>
      <c r="AA20" s="31">
        <v>150</v>
      </c>
      <c r="AB20" s="33">
        <v>0</v>
      </c>
      <c r="AC20" s="31">
        <v>22917</v>
      </c>
      <c r="AD20" s="33">
        <v>13320</v>
      </c>
      <c r="AE20" s="33">
        <v>0</v>
      </c>
      <c r="AF20" s="33">
        <v>9910</v>
      </c>
      <c r="AG20" s="31">
        <v>615</v>
      </c>
      <c r="AH20" s="36">
        <v>90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27880</v>
      </c>
      <c r="G21" s="32">
        <f>F21/208*25</f>
        <v>3350.9615384615386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33842</v>
      </c>
      <c r="U21" s="32">
        <f>T21/215*25</f>
        <v>3935.1162790697672</v>
      </c>
      <c r="V21" s="34"/>
      <c r="W21" s="32">
        <v>17723.599999999995</v>
      </c>
      <c r="X21" s="34">
        <v>0</v>
      </c>
      <c r="Y21" s="32">
        <v>7551.1999999999898</v>
      </c>
      <c r="Z21" s="38">
        <v>3290</v>
      </c>
      <c r="AA21" s="38">
        <v>139</v>
      </c>
      <c r="AB21" s="34">
        <v>1111</v>
      </c>
      <c r="AC21" s="38">
        <v>28301</v>
      </c>
      <c r="AD21" s="34">
        <v>13779</v>
      </c>
      <c r="AE21" s="34">
        <v>0</v>
      </c>
      <c r="AF21" s="34">
        <v>15975</v>
      </c>
      <c r="AG21" s="38">
        <v>1030</v>
      </c>
      <c r="AH21" s="39">
        <v>116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48680</v>
      </c>
      <c r="G22" s="43">
        <f t="shared" si="1"/>
        <v>5850.961538461539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57747</v>
      </c>
      <c r="U22" s="43">
        <f t="shared" si="1"/>
        <v>6714.7674418604647</v>
      </c>
      <c r="V22" s="44" t="e">
        <f t="shared" si="1"/>
        <v>#REF!</v>
      </c>
      <c r="W22" s="45">
        <f t="shared" si="1"/>
        <v>49873.599999999991</v>
      </c>
      <c r="X22" s="44" t="e">
        <f t="shared" si="1"/>
        <v>#REF!</v>
      </c>
      <c r="Y22" s="43">
        <f>SUM(Y20:Y21)</f>
        <v>45327.19999999999</v>
      </c>
      <c r="Z22" s="42">
        <f t="shared" si="1"/>
        <v>6840</v>
      </c>
      <c r="AA22" s="42">
        <f t="shared" si="1"/>
        <v>289</v>
      </c>
      <c r="AB22" s="44">
        <f t="shared" si="1"/>
        <v>1111</v>
      </c>
      <c r="AC22" s="42">
        <f t="shared" si="1"/>
        <v>51218</v>
      </c>
      <c r="AD22" s="44">
        <f>SUM(AD20:AD21)</f>
        <v>27099</v>
      </c>
      <c r="AE22" s="44">
        <f t="shared" si="1"/>
        <v>0</v>
      </c>
      <c r="AF22" s="44">
        <f>SUM(AF20:AF21)</f>
        <v>25885</v>
      </c>
      <c r="AG22" s="42">
        <f t="shared" si="1"/>
        <v>1645</v>
      </c>
      <c r="AH22" s="46">
        <f t="shared" si="1"/>
        <v>206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53750</v>
      </c>
      <c r="U23" s="32">
        <f>T23/215*25</f>
        <v>6250</v>
      </c>
      <c r="V23" s="31"/>
      <c r="W23" s="31">
        <v>15000</v>
      </c>
      <c r="X23" s="31"/>
      <c r="Y23" s="31"/>
      <c r="Z23" s="31">
        <v>2000</v>
      </c>
      <c r="AA23" s="31"/>
      <c r="AB23" s="31"/>
      <c r="AC23" s="31">
        <v>8500</v>
      </c>
      <c r="AD23" s="31">
        <v>8640</v>
      </c>
      <c r="AE23" s="31"/>
      <c r="AF23" s="48">
        <v>9500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48680</v>
      </c>
      <c r="G24" s="52">
        <f t="shared" si="2"/>
        <v>5850.961538461539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111497</v>
      </c>
      <c r="U24" s="52">
        <f t="shared" si="2"/>
        <v>12964.767441860466</v>
      </c>
      <c r="V24" s="51" t="e">
        <f t="shared" si="2"/>
        <v>#REF!</v>
      </c>
      <c r="W24" s="52">
        <f t="shared" si="2"/>
        <v>64873.599999999991</v>
      </c>
      <c r="X24" s="51" t="e">
        <f t="shared" si="2"/>
        <v>#REF!</v>
      </c>
      <c r="Y24" s="52">
        <f t="shared" si="2"/>
        <v>45327.19999999999</v>
      </c>
      <c r="Z24" s="51">
        <f t="shared" si="2"/>
        <v>8840</v>
      </c>
      <c r="AA24" s="51">
        <f t="shared" si="2"/>
        <v>289</v>
      </c>
      <c r="AB24" s="51">
        <f t="shared" si="2"/>
        <v>1111</v>
      </c>
      <c r="AC24" s="51">
        <f t="shared" si="2"/>
        <v>59718</v>
      </c>
      <c r="AD24" s="51">
        <f t="shared" si="2"/>
        <v>35739</v>
      </c>
      <c r="AE24" s="51">
        <f t="shared" si="2"/>
        <v>0</v>
      </c>
      <c r="AF24" s="51">
        <f t="shared" si="2"/>
        <v>35385</v>
      </c>
      <c r="AG24" s="51">
        <f t="shared" si="2"/>
        <v>1645</v>
      </c>
      <c r="AH24" s="53">
        <f t="shared" si="2"/>
        <v>206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11820</v>
      </c>
      <c r="G25" s="32">
        <f>F25/208*25</f>
        <v>1420.6730769230769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11284</v>
      </c>
      <c r="U25" s="32">
        <f>T25/215*25</f>
        <v>1312.0930232558139</v>
      </c>
      <c r="V25" s="47"/>
      <c r="W25" s="35">
        <v>7461.4</v>
      </c>
      <c r="X25" s="47"/>
      <c r="Y25" s="55">
        <v>3027.78</v>
      </c>
      <c r="Z25" s="31">
        <v>1246</v>
      </c>
      <c r="AA25" s="38">
        <v>2</v>
      </c>
      <c r="AB25" s="47"/>
      <c r="AC25" s="38">
        <v>5767</v>
      </c>
      <c r="AD25" s="47">
        <v>5843</v>
      </c>
      <c r="AE25" s="47"/>
      <c r="AF25" s="47">
        <v>4679</v>
      </c>
      <c r="AG25" s="38"/>
      <c r="AH25" s="56">
        <v>8</v>
      </c>
    </row>
    <row r="26" spans="1:36" s="4" customFormat="1" ht="100.5" customHeight="1" thickBot="1" x14ac:dyDescent="0.25">
      <c r="A26" s="57">
        <v>45704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36860</v>
      </c>
      <c r="G26" s="59">
        <f t="shared" si="3"/>
        <v>4430.2884615384619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100213</v>
      </c>
      <c r="U26" s="59">
        <f>U24-U25</f>
        <v>11652.674418604653</v>
      </c>
      <c r="V26" s="60" t="e">
        <f t="shared" ref="V26:AH26" si="4">V24-V25</f>
        <v>#REF!</v>
      </c>
      <c r="W26" s="59">
        <f t="shared" si="4"/>
        <v>57412.19999999999</v>
      </c>
      <c r="X26" s="60" t="e">
        <f t="shared" si="4"/>
        <v>#REF!</v>
      </c>
      <c r="Y26" s="61">
        <f t="shared" si="4"/>
        <v>42299.419999999991</v>
      </c>
      <c r="Z26" s="58">
        <f t="shared" si="4"/>
        <v>7594</v>
      </c>
      <c r="AA26" s="58">
        <f t="shared" si="4"/>
        <v>287</v>
      </c>
      <c r="AB26" s="60">
        <f t="shared" si="4"/>
        <v>1111</v>
      </c>
      <c r="AC26" s="58">
        <f t="shared" si="4"/>
        <v>53951</v>
      </c>
      <c r="AD26" s="60">
        <f t="shared" si="4"/>
        <v>29896</v>
      </c>
      <c r="AE26" s="60">
        <f t="shared" si="4"/>
        <v>0</v>
      </c>
      <c r="AF26" s="60">
        <f t="shared" si="4"/>
        <v>30706</v>
      </c>
      <c r="AG26" s="58">
        <f t="shared" si="4"/>
        <v>1645</v>
      </c>
      <c r="AH26" s="62">
        <f t="shared" si="4"/>
        <v>198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D30" s="90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D33" s="73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G23" sqref="G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45705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20800</v>
      </c>
      <c r="G20" s="32">
        <f>F20/208*25</f>
        <v>2500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55080</v>
      </c>
      <c r="U20" s="34">
        <f>T20/215*25</f>
        <v>6404.6511627906984</v>
      </c>
      <c r="V20" s="33" t="e">
        <f>#REF!</f>
        <v>#REF!</v>
      </c>
      <c r="W20" s="33">
        <v>40525</v>
      </c>
      <c r="X20" s="33" t="e">
        <f>#REF!</f>
        <v>#REF!</v>
      </c>
      <c r="Y20" s="35">
        <v>34981</v>
      </c>
      <c r="Z20" s="31">
        <v>4400</v>
      </c>
      <c r="AA20" s="31">
        <v>150</v>
      </c>
      <c r="AB20" s="33">
        <v>0</v>
      </c>
      <c r="AC20" s="31">
        <v>22917</v>
      </c>
      <c r="AD20" s="33">
        <v>21960</v>
      </c>
      <c r="AE20" s="33">
        <v>0</v>
      </c>
      <c r="AF20" s="33">
        <v>14910</v>
      </c>
      <c r="AG20" s="31">
        <v>615</v>
      </c>
      <c r="AH20" s="36">
        <v>90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16060</v>
      </c>
      <c r="G21" s="32">
        <f>F21/208*25</f>
        <v>1930.2884615384617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45133</v>
      </c>
      <c r="U21" s="32">
        <f>T21/215*25</f>
        <v>5248.0232558139533</v>
      </c>
      <c r="V21" s="34"/>
      <c r="W21" s="32">
        <v>16887.199999999993</v>
      </c>
      <c r="X21" s="34">
        <v>0</v>
      </c>
      <c r="Y21" s="32">
        <v>7318.4199999999901</v>
      </c>
      <c r="Z21" s="38">
        <v>3194</v>
      </c>
      <c r="AA21" s="38">
        <v>137</v>
      </c>
      <c r="AB21" s="34">
        <v>1111</v>
      </c>
      <c r="AC21" s="38">
        <v>31034</v>
      </c>
      <c r="AD21" s="34">
        <v>7936</v>
      </c>
      <c r="AE21" s="34">
        <v>0</v>
      </c>
      <c r="AF21" s="34">
        <v>15796</v>
      </c>
      <c r="AG21" s="38">
        <v>1030</v>
      </c>
      <c r="AH21" s="39">
        <v>108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36860</v>
      </c>
      <c r="G22" s="43">
        <f t="shared" si="1"/>
        <v>4430.2884615384619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100213</v>
      </c>
      <c r="U22" s="43">
        <f t="shared" si="1"/>
        <v>11652.674418604653</v>
      </c>
      <c r="V22" s="44" t="e">
        <f t="shared" si="1"/>
        <v>#REF!</v>
      </c>
      <c r="W22" s="45">
        <f t="shared" si="1"/>
        <v>57412.2</v>
      </c>
      <c r="X22" s="44" t="e">
        <f t="shared" si="1"/>
        <v>#REF!</v>
      </c>
      <c r="Y22" s="43">
        <f>SUM(Y20:Y21)</f>
        <v>42299.419999999991</v>
      </c>
      <c r="Z22" s="42">
        <f t="shared" si="1"/>
        <v>7594</v>
      </c>
      <c r="AA22" s="42">
        <f t="shared" si="1"/>
        <v>287</v>
      </c>
      <c r="AB22" s="44">
        <f t="shared" si="1"/>
        <v>1111</v>
      </c>
      <c r="AC22" s="42">
        <f t="shared" si="1"/>
        <v>53951</v>
      </c>
      <c r="AD22" s="44">
        <f>SUM(AD20:AD21)</f>
        <v>29896</v>
      </c>
      <c r="AE22" s="44">
        <f t="shared" si="1"/>
        <v>0</v>
      </c>
      <c r="AF22" s="44">
        <f>SUM(AF20:AF21)</f>
        <v>30706</v>
      </c>
      <c r="AG22" s="42">
        <f t="shared" si="1"/>
        <v>1645</v>
      </c>
      <c r="AH22" s="46">
        <f t="shared" si="1"/>
        <v>198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36860</v>
      </c>
      <c r="G24" s="52">
        <f t="shared" si="2"/>
        <v>4430.2884615384619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100213</v>
      </c>
      <c r="U24" s="52">
        <f t="shared" si="2"/>
        <v>11652.674418604653</v>
      </c>
      <c r="V24" s="51" t="e">
        <f t="shared" si="2"/>
        <v>#REF!</v>
      </c>
      <c r="W24" s="52">
        <f t="shared" si="2"/>
        <v>57412.2</v>
      </c>
      <c r="X24" s="51" t="e">
        <f t="shared" si="2"/>
        <v>#REF!</v>
      </c>
      <c r="Y24" s="52">
        <f t="shared" si="2"/>
        <v>42299.419999999991</v>
      </c>
      <c r="Z24" s="51">
        <f t="shared" si="2"/>
        <v>7594</v>
      </c>
      <c r="AA24" s="51">
        <f t="shared" si="2"/>
        <v>287</v>
      </c>
      <c r="AB24" s="51">
        <f t="shared" si="2"/>
        <v>1111</v>
      </c>
      <c r="AC24" s="51">
        <f t="shared" si="2"/>
        <v>53951</v>
      </c>
      <c r="AD24" s="51">
        <f t="shared" si="2"/>
        <v>29896</v>
      </c>
      <c r="AE24" s="51">
        <f t="shared" si="2"/>
        <v>0</v>
      </c>
      <c r="AF24" s="51">
        <f t="shared" si="2"/>
        <v>30706</v>
      </c>
      <c r="AG24" s="51">
        <f t="shared" si="2"/>
        <v>1645</v>
      </c>
      <c r="AH24" s="53">
        <f t="shared" si="2"/>
        <v>198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10104</v>
      </c>
      <c r="G25" s="32">
        <f>F25/208*25</f>
        <v>1214.4230769230769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10939</v>
      </c>
      <c r="U25" s="32">
        <f>T25/215*25</f>
        <v>1271.9767441860465</v>
      </c>
      <c r="V25" s="47"/>
      <c r="W25" s="35">
        <v>6282.2</v>
      </c>
      <c r="X25" s="47"/>
      <c r="Y25" s="55">
        <f>Z25*2.43</f>
        <v>2612.25</v>
      </c>
      <c r="Z25" s="31">
        <v>1075</v>
      </c>
      <c r="AA25" s="38">
        <v>0</v>
      </c>
      <c r="AB25" s="47">
        <v>0</v>
      </c>
      <c r="AC25" s="38">
        <f>4469+597</f>
        <v>5066</v>
      </c>
      <c r="AD25" s="47">
        <v>4873</v>
      </c>
      <c r="AE25" s="47">
        <v>0</v>
      </c>
      <c r="AF25" s="47">
        <f>2091+1923</f>
        <v>4014</v>
      </c>
      <c r="AG25" s="38">
        <v>0</v>
      </c>
      <c r="AH25" s="56">
        <v>8</v>
      </c>
    </row>
    <row r="26" spans="1:36" s="4" customFormat="1" ht="100.5" customHeight="1" thickBot="1" x14ac:dyDescent="0.25">
      <c r="A26" s="57">
        <v>45711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26756</v>
      </c>
      <c r="G26" s="59">
        <f t="shared" si="3"/>
        <v>3215.8653846153848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89274</v>
      </c>
      <c r="U26" s="59">
        <f>U24-U25</f>
        <v>10380.697674418607</v>
      </c>
      <c r="V26" s="60" t="e">
        <f t="shared" ref="V26:AH26" si="4">V24-V25</f>
        <v>#REF!</v>
      </c>
      <c r="W26" s="59">
        <f t="shared" si="4"/>
        <v>51130</v>
      </c>
      <c r="X26" s="60" t="e">
        <f t="shared" si="4"/>
        <v>#REF!</v>
      </c>
      <c r="Y26" s="61">
        <f t="shared" si="4"/>
        <v>39687.169999999991</v>
      </c>
      <c r="Z26" s="58">
        <f t="shared" si="4"/>
        <v>6519</v>
      </c>
      <c r="AA26" s="58">
        <f t="shared" si="4"/>
        <v>287</v>
      </c>
      <c r="AB26" s="60">
        <f t="shared" si="4"/>
        <v>1111</v>
      </c>
      <c r="AC26" s="58">
        <f t="shared" si="4"/>
        <v>48885</v>
      </c>
      <c r="AD26" s="60">
        <f t="shared" si="4"/>
        <v>25023</v>
      </c>
      <c r="AE26" s="60">
        <f t="shared" si="4"/>
        <v>0</v>
      </c>
      <c r="AF26" s="60">
        <f t="shared" si="4"/>
        <v>26692</v>
      </c>
      <c r="AG26" s="58">
        <f t="shared" si="4"/>
        <v>1645</v>
      </c>
      <c r="AH26" s="62">
        <f t="shared" si="4"/>
        <v>190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W25" sqref="W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45712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46480</v>
      </c>
      <c r="U20" s="34">
        <f>T20/215*25</f>
        <v>5404.6511627906975</v>
      </c>
      <c r="V20" s="33" t="e">
        <f>#REF!</f>
        <v>#REF!</v>
      </c>
      <c r="W20" s="33">
        <v>33275</v>
      </c>
      <c r="X20" s="33" t="e">
        <f>#REF!</f>
        <v>#REF!</v>
      </c>
      <c r="Y20" s="35">
        <v>32794</v>
      </c>
      <c r="Z20" s="31">
        <v>3500</v>
      </c>
      <c r="AA20" s="31">
        <v>150</v>
      </c>
      <c r="AB20" s="33">
        <v>0</v>
      </c>
      <c r="AC20" s="31">
        <v>20917</v>
      </c>
      <c r="AD20" s="33">
        <v>11160</v>
      </c>
      <c r="AE20" s="33">
        <v>0</v>
      </c>
      <c r="AF20" s="33">
        <v>10010</v>
      </c>
      <c r="AG20" s="31">
        <v>615</v>
      </c>
      <c r="AH20" s="36">
        <v>90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26756</v>
      </c>
      <c r="G21" s="32">
        <f>F21/208*25</f>
        <v>3215.8653846153848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42794</v>
      </c>
      <c r="U21" s="32">
        <f>T21/215*25</f>
        <v>4976.0465116279074</v>
      </c>
      <c r="V21" s="34"/>
      <c r="W21" s="32">
        <v>17854.999999999993</v>
      </c>
      <c r="X21" s="34">
        <v>0</v>
      </c>
      <c r="Y21" s="32">
        <v>6893.1699999999901</v>
      </c>
      <c r="Z21" s="38">
        <v>3019</v>
      </c>
      <c r="AA21" s="38">
        <v>137</v>
      </c>
      <c r="AB21" s="34">
        <v>1111</v>
      </c>
      <c r="AC21" s="38">
        <v>27968</v>
      </c>
      <c r="AD21" s="34">
        <v>13863</v>
      </c>
      <c r="AE21" s="34">
        <v>0</v>
      </c>
      <c r="AF21" s="34">
        <v>16682</v>
      </c>
      <c r="AG21" s="38">
        <v>1030</v>
      </c>
      <c r="AH21" s="39">
        <v>100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26756</v>
      </c>
      <c r="G22" s="43">
        <f t="shared" si="1"/>
        <v>3215.8653846153848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89274</v>
      </c>
      <c r="U22" s="43">
        <f t="shared" si="1"/>
        <v>10380.697674418605</v>
      </c>
      <c r="V22" s="44" t="e">
        <f t="shared" si="1"/>
        <v>#REF!</v>
      </c>
      <c r="W22" s="45">
        <f t="shared" si="1"/>
        <v>51129.999999999993</v>
      </c>
      <c r="X22" s="44" t="e">
        <f t="shared" si="1"/>
        <v>#REF!</v>
      </c>
      <c r="Y22" s="43">
        <f>SUM(Y20:Y21)</f>
        <v>39687.169999999991</v>
      </c>
      <c r="Z22" s="42">
        <f t="shared" si="1"/>
        <v>6519</v>
      </c>
      <c r="AA22" s="42">
        <f t="shared" si="1"/>
        <v>287</v>
      </c>
      <c r="AB22" s="44">
        <f t="shared" si="1"/>
        <v>1111</v>
      </c>
      <c r="AC22" s="42">
        <f t="shared" si="1"/>
        <v>48885</v>
      </c>
      <c r="AD22" s="44">
        <f>SUM(AD20:AD21)</f>
        <v>25023</v>
      </c>
      <c r="AE22" s="44">
        <f t="shared" si="1"/>
        <v>0</v>
      </c>
      <c r="AF22" s="44">
        <f>SUM(AF20:AF21)</f>
        <v>26692</v>
      </c>
      <c r="AG22" s="42">
        <f t="shared" si="1"/>
        <v>1645</v>
      </c>
      <c r="AH22" s="46">
        <f t="shared" si="1"/>
        <v>190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32250</v>
      </c>
      <c r="U23" s="32">
        <f>T23/215*25</f>
        <v>3750</v>
      </c>
      <c r="V23" s="31"/>
      <c r="W23" s="31">
        <v>15000</v>
      </c>
      <c r="X23" s="31"/>
      <c r="Y23" s="31">
        <v>5000</v>
      </c>
      <c r="Z23" s="31">
        <v>3000</v>
      </c>
      <c r="AA23" s="31"/>
      <c r="AB23" s="31"/>
      <c r="AC23" s="31">
        <v>8500</v>
      </c>
      <c r="AD23" s="31">
        <v>8640</v>
      </c>
      <c r="AE23" s="31"/>
      <c r="AF23" s="48">
        <v>9500</v>
      </c>
      <c r="AG23" s="31"/>
      <c r="AH23" s="49">
        <v>50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26756</v>
      </c>
      <c r="G24" s="52">
        <f t="shared" si="2"/>
        <v>3215.8653846153848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121524</v>
      </c>
      <c r="U24" s="52">
        <f t="shared" si="2"/>
        <v>14130.697674418605</v>
      </c>
      <c r="V24" s="51" t="e">
        <f t="shared" si="2"/>
        <v>#REF!</v>
      </c>
      <c r="W24" s="52">
        <f t="shared" si="2"/>
        <v>66130</v>
      </c>
      <c r="X24" s="51" t="e">
        <f t="shared" si="2"/>
        <v>#REF!</v>
      </c>
      <c r="Y24" s="52">
        <f t="shared" si="2"/>
        <v>44687.169999999991</v>
      </c>
      <c r="Z24" s="51">
        <f t="shared" si="2"/>
        <v>9519</v>
      </c>
      <c r="AA24" s="51">
        <f t="shared" si="2"/>
        <v>287</v>
      </c>
      <c r="AB24" s="51">
        <f t="shared" si="2"/>
        <v>1111</v>
      </c>
      <c r="AC24" s="51">
        <f t="shared" si="2"/>
        <v>57385</v>
      </c>
      <c r="AD24" s="51">
        <f t="shared" si="2"/>
        <v>33663</v>
      </c>
      <c r="AE24" s="51">
        <f t="shared" si="2"/>
        <v>0</v>
      </c>
      <c r="AF24" s="51">
        <f t="shared" si="2"/>
        <v>36192</v>
      </c>
      <c r="AG24" s="51">
        <f t="shared" si="2"/>
        <v>1645</v>
      </c>
      <c r="AH24" s="53">
        <f t="shared" si="2"/>
        <v>240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9200</v>
      </c>
      <c r="G25" s="32">
        <f>F25/208*25</f>
        <v>1105.7692307692309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11179</v>
      </c>
      <c r="U25" s="32">
        <f>T25/215*25</f>
        <v>1299.8837209302326</v>
      </c>
      <c r="V25" s="47"/>
      <c r="W25" s="35">
        <v>5868.7999999999993</v>
      </c>
      <c r="X25" s="47"/>
      <c r="Y25" s="55">
        <v>2612.2500000000005</v>
      </c>
      <c r="Z25" s="31">
        <v>1075</v>
      </c>
      <c r="AA25" s="38"/>
      <c r="AB25" s="47"/>
      <c r="AC25" s="38">
        <v>4996</v>
      </c>
      <c r="AD25" s="47">
        <v>4512</v>
      </c>
      <c r="AE25" s="47"/>
      <c r="AF25" s="47">
        <v>3835</v>
      </c>
      <c r="AG25" s="38"/>
      <c r="AH25" s="56">
        <v>8</v>
      </c>
    </row>
    <row r="26" spans="1:36" s="4" customFormat="1" ht="100.5" customHeight="1" thickBot="1" x14ac:dyDescent="0.25">
      <c r="A26" s="57">
        <v>45718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17556</v>
      </c>
      <c r="G26" s="59">
        <f t="shared" si="3"/>
        <v>2110.0961538461538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110345</v>
      </c>
      <c r="U26" s="59">
        <f>U24-U25</f>
        <v>12830.813953488372</v>
      </c>
      <c r="V26" s="60" t="e">
        <f t="shared" ref="V26:AH26" si="4">V24-V25</f>
        <v>#REF!</v>
      </c>
      <c r="W26" s="59">
        <f t="shared" si="4"/>
        <v>60261.2</v>
      </c>
      <c r="X26" s="60" t="e">
        <f t="shared" si="4"/>
        <v>#REF!</v>
      </c>
      <c r="Y26" s="61">
        <f t="shared" si="4"/>
        <v>42074.919999999991</v>
      </c>
      <c r="Z26" s="58">
        <f t="shared" si="4"/>
        <v>8444</v>
      </c>
      <c r="AA26" s="58">
        <f t="shared" si="4"/>
        <v>287</v>
      </c>
      <c r="AB26" s="60">
        <f t="shared" si="4"/>
        <v>1111</v>
      </c>
      <c r="AC26" s="58">
        <f t="shared" si="4"/>
        <v>52389</v>
      </c>
      <c r="AD26" s="60">
        <f t="shared" si="4"/>
        <v>29151</v>
      </c>
      <c r="AE26" s="60">
        <f t="shared" si="4"/>
        <v>0</v>
      </c>
      <c r="AF26" s="60">
        <f t="shared" si="4"/>
        <v>32357</v>
      </c>
      <c r="AG26" s="58">
        <f t="shared" si="4"/>
        <v>1645</v>
      </c>
      <c r="AH26" s="62">
        <f t="shared" si="4"/>
        <v>232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AB23" sqref="AB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45719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56155</v>
      </c>
      <c r="U20" s="34">
        <f>T20/215*25</f>
        <v>6529.6511627906984</v>
      </c>
      <c r="V20" s="33" t="e">
        <f>#REF!</f>
        <v>#REF!</v>
      </c>
      <c r="W20" s="33">
        <v>42400</v>
      </c>
      <c r="X20" s="33" t="e">
        <f>#REF!</f>
        <v>#REF!</v>
      </c>
      <c r="Y20" s="35">
        <v>35485</v>
      </c>
      <c r="Z20" s="31">
        <v>5550</v>
      </c>
      <c r="AA20" s="31">
        <v>150</v>
      </c>
      <c r="AB20" s="33">
        <v>0</v>
      </c>
      <c r="AC20" s="31">
        <v>20917</v>
      </c>
      <c r="AD20" s="33">
        <v>19800</v>
      </c>
      <c r="AE20" s="33">
        <v>0</v>
      </c>
      <c r="AF20" s="33">
        <v>17710</v>
      </c>
      <c r="AG20" s="31">
        <v>615</v>
      </c>
      <c r="AH20" s="36">
        <v>120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17556</v>
      </c>
      <c r="G21" s="32">
        <f>F21/208*25</f>
        <v>2110.0961538461538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54190</v>
      </c>
      <c r="U21" s="32">
        <f>T21/215*25</f>
        <v>6301.1627906976737</v>
      </c>
      <c r="V21" s="34"/>
      <c r="W21" s="32">
        <v>17861.19999999999</v>
      </c>
      <c r="X21" s="34">
        <v>0</v>
      </c>
      <c r="Y21" s="32">
        <v>6589.9199999999892</v>
      </c>
      <c r="Z21" s="38">
        <v>2894</v>
      </c>
      <c r="AA21" s="38">
        <v>137</v>
      </c>
      <c r="AB21" s="34">
        <v>1111</v>
      </c>
      <c r="AC21" s="38">
        <v>31472</v>
      </c>
      <c r="AD21" s="34">
        <v>9351</v>
      </c>
      <c r="AE21" s="34">
        <v>0</v>
      </c>
      <c r="AF21" s="34">
        <v>14647</v>
      </c>
      <c r="AG21" s="38">
        <v>1030</v>
      </c>
      <c r="AH21" s="39">
        <v>112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17556</v>
      </c>
      <c r="G22" s="43">
        <f t="shared" si="1"/>
        <v>2110.0961538461538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110345</v>
      </c>
      <c r="U22" s="43">
        <f t="shared" si="1"/>
        <v>12830.813953488372</v>
      </c>
      <c r="V22" s="44" t="e">
        <f t="shared" si="1"/>
        <v>#REF!</v>
      </c>
      <c r="W22" s="45">
        <f t="shared" si="1"/>
        <v>60261.19999999999</v>
      </c>
      <c r="X22" s="44" t="e">
        <f t="shared" si="1"/>
        <v>#REF!</v>
      </c>
      <c r="Y22" s="43">
        <f>SUM(Y20:Y21)</f>
        <v>42074.919999999991</v>
      </c>
      <c r="Z22" s="42">
        <f t="shared" si="1"/>
        <v>8444</v>
      </c>
      <c r="AA22" s="42">
        <f t="shared" si="1"/>
        <v>287</v>
      </c>
      <c r="AB22" s="44">
        <f t="shared" si="1"/>
        <v>1111</v>
      </c>
      <c r="AC22" s="42">
        <f t="shared" si="1"/>
        <v>52389</v>
      </c>
      <c r="AD22" s="44">
        <f>SUM(AD20:AD21)</f>
        <v>29151</v>
      </c>
      <c r="AE22" s="44">
        <f t="shared" si="1"/>
        <v>0</v>
      </c>
      <c r="AF22" s="44">
        <f>SUM(AF20:AF21)</f>
        <v>32357</v>
      </c>
      <c r="AG22" s="42">
        <f t="shared" si="1"/>
        <v>1645</v>
      </c>
      <c r="AH22" s="46">
        <f t="shared" si="1"/>
        <v>232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17556</v>
      </c>
      <c r="G24" s="52">
        <f t="shared" si="2"/>
        <v>2110.0961538461538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110345</v>
      </c>
      <c r="U24" s="52">
        <f t="shared" si="2"/>
        <v>12830.813953488372</v>
      </c>
      <c r="V24" s="51" t="e">
        <f t="shared" si="2"/>
        <v>#REF!</v>
      </c>
      <c r="W24" s="52">
        <f t="shared" si="2"/>
        <v>60261.19999999999</v>
      </c>
      <c r="X24" s="51" t="e">
        <f t="shared" si="2"/>
        <v>#REF!</v>
      </c>
      <c r="Y24" s="52">
        <f t="shared" si="2"/>
        <v>42074.919999999991</v>
      </c>
      <c r="Z24" s="51">
        <f t="shared" si="2"/>
        <v>8444</v>
      </c>
      <c r="AA24" s="51">
        <f t="shared" si="2"/>
        <v>287</v>
      </c>
      <c r="AB24" s="51">
        <f t="shared" si="2"/>
        <v>1111</v>
      </c>
      <c r="AC24" s="51">
        <f t="shared" si="2"/>
        <v>52389</v>
      </c>
      <c r="AD24" s="51">
        <f t="shared" si="2"/>
        <v>29151</v>
      </c>
      <c r="AE24" s="51">
        <f t="shared" si="2"/>
        <v>0</v>
      </c>
      <c r="AF24" s="51">
        <f t="shared" si="2"/>
        <v>32357</v>
      </c>
      <c r="AG24" s="51">
        <f t="shared" si="2"/>
        <v>1645</v>
      </c>
      <c r="AH24" s="53">
        <f t="shared" si="2"/>
        <v>232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10088</v>
      </c>
      <c r="G25" s="32">
        <f>F25/208*25</f>
        <v>1212.5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12389</v>
      </c>
      <c r="U25" s="32">
        <f>T25/215*25</f>
        <v>1440.5813953488373</v>
      </c>
      <c r="V25" s="47"/>
      <c r="W25" s="35">
        <v>6552.78</v>
      </c>
      <c r="X25" s="47"/>
      <c r="Y25" s="55">
        <v>2792.07</v>
      </c>
      <c r="Z25" s="31">
        <v>1149</v>
      </c>
      <c r="AA25" s="38"/>
      <c r="AB25" s="47"/>
      <c r="AC25" s="38">
        <v>5417</v>
      </c>
      <c r="AD25" s="47">
        <v>5153</v>
      </c>
      <c r="AE25" s="47"/>
      <c r="AF25" s="47">
        <v>4231</v>
      </c>
      <c r="AG25" s="38"/>
      <c r="AH25" s="56">
        <v>8</v>
      </c>
    </row>
    <row r="26" spans="1:36" s="4" customFormat="1" ht="100.5" customHeight="1" thickBot="1" x14ac:dyDescent="0.25">
      <c r="A26" s="57">
        <v>45725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7468</v>
      </c>
      <c r="G26" s="59">
        <f t="shared" si="3"/>
        <v>897.59615384615381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97956</v>
      </c>
      <c r="U26" s="59">
        <f>U24-U25</f>
        <v>11390.232558139534</v>
      </c>
      <c r="V26" s="60" t="e">
        <f t="shared" ref="V26:AH26" si="4">V24-V25</f>
        <v>#REF!</v>
      </c>
      <c r="W26" s="59">
        <f t="shared" si="4"/>
        <v>53708.419999999991</v>
      </c>
      <c r="X26" s="60" t="e">
        <f t="shared" si="4"/>
        <v>#REF!</v>
      </c>
      <c r="Y26" s="61">
        <f t="shared" si="4"/>
        <v>39282.849999999991</v>
      </c>
      <c r="Z26" s="58">
        <f t="shared" si="4"/>
        <v>7295</v>
      </c>
      <c r="AA26" s="58">
        <f t="shared" si="4"/>
        <v>287</v>
      </c>
      <c r="AB26" s="60">
        <f t="shared" si="4"/>
        <v>1111</v>
      </c>
      <c r="AC26" s="58">
        <f t="shared" si="4"/>
        <v>46972</v>
      </c>
      <c r="AD26" s="60">
        <f t="shared" si="4"/>
        <v>23998</v>
      </c>
      <c r="AE26" s="60">
        <f t="shared" si="4"/>
        <v>0</v>
      </c>
      <c r="AF26" s="60">
        <f t="shared" si="4"/>
        <v>28126</v>
      </c>
      <c r="AG26" s="58">
        <f t="shared" si="4"/>
        <v>1645</v>
      </c>
      <c r="AH26" s="62">
        <f t="shared" si="4"/>
        <v>224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0" zoomScaleNormal="70" workbookViewId="0">
      <selection activeCell="Y25" sqref="Y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45726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36805</v>
      </c>
      <c r="U20" s="34">
        <f>T20/215*25</f>
        <v>4279.6511627906975</v>
      </c>
      <c r="V20" s="33" t="e">
        <f>#REF!</f>
        <v>#REF!</v>
      </c>
      <c r="W20" s="33">
        <v>35650</v>
      </c>
      <c r="X20" s="33" t="e">
        <f>#REF!</f>
        <v>#REF!</v>
      </c>
      <c r="Y20" s="35">
        <v>33298</v>
      </c>
      <c r="Z20" s="31">
        <v>4650</v>
      </c>
      <c r="AA20" s="31">
        <v>150</v>
      </c>
      <c r="AB20" s="33">
        <v>0</v>
      </c>
      <c r="AC20" s="31">
        <v>19917</v>
      </c>
      <c r="AD20" s="33">
        <v>6840</v>
      </c>
      <c r="AE20" s="33">
        <v>0</v>
      </c>
      <c r="AF20" s="33">
        <v>14710</v>
      </c>
      <c r="AG20" s="31">
        <v>615</v>
      </c>
      <c r="AH20" s="36">
        <v>100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7468</v>
      </c>
      <c r="G21" s="32">
        <f>F21/208*25</f>
        <v>897.59615384615381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61151</v>
      </c>
      <c r="U21" s="32">
        <f>T21/215*25</f>
        <v>7110.5813953488368</v>
      </c>
      <c r="V21" s="34"/>
      <c r="W21" s="32">
        <v>18058.419999999991</v>
      </c>
      <c r="X21" s="34">
        <v>0</v>
      </c>
      <c r="Y21" s="32">
        <v>5984.8499999999876</v>
      </c>
      <c r="Z21" s="38">
        <v>2645</v>
      </c>
      <c r="AA21" s="38">
        <v>137</v>
      </c>
      <c r="AB21" s="34">
        <v>1111</v>
      </c>
      <c r="AC21" s="38">
        <v>27055</v>
      </c>
      <c r="AD21" s="34">
        <v>17158</v>
      </c>
      <c r="AE21" s="34">
        <v>0</v>
      </c>
      <c r="AF21" s="34">
        <v>13416</v>
      </c>
      <c r="AG21" s="38">
        <v>1030</v>
      </c>
      <c r="AH21" s="39">
        <v>124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7468</v>
      </c>
      <c r="G22" s="43">
        <f t="shared" si="1"/>
        <v>897.59615384615381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97956</v>
      </c>
      <c r="U22" s="43">
        <f t="shared" si="1"/>
        <v>11390.232558139534</v>
      </c>
      <c r="V22" s="44" t="e">
        <f t="shared" si="1"/>
        <v>#REF!</v>
      </c>
      <c r="W22" s="45">
        <f t="shared" si="1"/>
        <v>53708.419999999991</v>
      </c>
      <c r="X22" s="44" t="e">
        <f t="shared" si="1"/>
        <v>#REF!</v>
      </c>
      <c r="Y22" s="43">
        <f>SUM(Y20:Y21)</f>
        <v>39282.849999999991</v>
      </c>
      <c r="Z22" s="42">
        <f t="shared" si="1"/>
        <v>7295</v>
      </c>
      <c r="AA22" s="42">
        <f t="shared" si="1"/>
        <v>287</v>
      </c>
      <c r="AB22" s="44">
        <f t="shared" si="1"/>
        <v>1111</v>
      </c>
      <c r="AC22" s="42">
        <f t="shared" si="1"/>
        <v>46972</v>
      </c>
      <c r="AD22" s="44">
        <f>SUM(AD20:AD21)</f>
        <v>23998</v>
      </c>
      <c r="AE22" s="44">
        <f t="shared" si="1"/>
        <v>0</v>
      </c>
      <c r="AF22" s="44">
        <f>SUM(AF20:AF21)</f>
        <v>28126</v>
      </c>
      <c r="AG22" s="42">
        <f t="shared" si="1"/>
        <v>1645</v>
      </c>
      <c r="AH22" s="46">
        <f t="shared" si="1"/>
        <v>224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5000</v>
      </c>
      <c r="Z23" s="31">
        <v>3000</v>
      </c>
      <c r="AA23" s="31"/>
      <c r="AB23" s="31"/>
      <c r="AC23" s="31">
        <v>13250</v>
      </c>
      <c r="AD23" s="31">
        <v>13320</v>
      </c>
      <c r="AE23" s="31"/>
      <c r="AF23" s="48">
        <v>7200</v>
      </c>
      <c r="AG23" s="31"/>
      <c r="AH23" s="49">
        <v>50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7468</v>
      </c>
      <c r="G24" s="52">
        <f t="shared" si="2"/>
        <v>897.59615384615381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140956</v>
      </c>
      <c r="U24" s="52">
        <f t="shared" si="2"/>
        <v>16390.232558139534</v>
      </c>
      <c r="V24" s="51" t="e">
        <f t="shared" si="2"/>
        <v>#REF!</v>
      </c>
      <c r="W24" s="52">
        <f t="shared" si="2"/>
        <v>68708.419999999984</v>
      </c>
      <c r="X24" s="51" t="e">
        <f t="shared" si="2"/>
        <v>#REF!</v>
      </c>
      <c r="Y24" s="52">
        <f t="shared" si="2"/>
        <v>44282.849999999991</v>
      </c>
      <c r="Z24" s="51">
        <f t="shared" si="2"/>
        <v>10295</v>
      </c>
      <c r="AA24" s="51">
        <f t="shared" si="2"/>
        <v>287</v>
      </c>
      <c r="AB24" s="51">
        <f t="shared" si="2"/>
        <v>1111</v>
      </c>
      <c r="AC24" s="51">
        <f t="shared" si="2"/>
        <v>60222</v>
      </c>
      <c r="AD24" s="51">
        <f t="shared" si="2"/>
        <v>37318</v>
      </c>
      <c r="AE24" s="51">
        <f t="shared" si="2"/>
        <v>0</v>
      </c>
      <c r="AF24" s="51">
        <f t="shared" si="2"/>
        <v>35326</v>
      </c>
      <c r="AG24" s="51">
        <f t="shared" si="2"/>
        <v>1645</v>
      </c>
      <c r="AH24" s="53">
        <f t="shared" si="2"/>
        <v>274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7215</v>
      </c>
      <c r="G25" s="32">
        <f>F25/208*25</f>
        <v>867.1875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16123</v>
      </c>
      <c r="U25" s="32">
        <f>T25/215*25</f>
        <v>1874.7674418604649</v>
      </c>
      <c r="V25" s="47"/>
      <c r="W25" s="35">
        <v>7453.2</v>
      </c>
      <c r="X25" s="47"/>
      <c r="Y25" s="55">
        <v>3365.55</v>
      </c>
      <c r="Z25" s="31">
        <v>1385</v>
      </c>
      <c r="AA25" s="38">
        <v>1</v>
      </c>
      <c r="AB25" s="47"/>
      <c r="AC25" s="38">
        <v>6199</v>
      </c>
      <c r="AD25" s="47">
        <v>5493</v>
      </c>
      <c r="AE25" s="47"/>
      <c r="AF25" s="47">
        <v>4570</v>
      </c>
      <c r="AG25" s="38"/>
      <c r="AH25" s="56">
        <v>8</v>
      </c>
    </row>
    <row r="26" spans="1:36" s="4" customFormat="1" ht="100.5" customHeight="1" thickBot="1" x14ac:dyDescent="0.25">
      <c r="A26" s="57">
        <v>45732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30.408653846153811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124833</v>
      </c>
      <c r="U26" s="59">
        <f>U24-U25</f>
        <v>14515.465116279069</v>
      </c>
      <c r="V26" s="60" t="e">
        <f t="shared" ref="V26:AH26" si="4">V24-V25</f>
        <v>#REF!</v>
      </c>
      <c r="W26" s="59">
        <f t="shared" si="4"/>
        <v>61255.219999999987</v>
      </c>
      <c r="X26" s="60" t="e">
        <f t="shared" si="4"/>
        <v>#REF!</v>
      </c>
      <c r="Y26" s="61">
        <f t="shared" si="4"/>
        <v>40917.299999999988</v>
      </c>
      <c r="Z26" s="58">
        <f t="shared" si="4"/>
        <v>8910</v>
      </c>
      <c r="AA26" s="58">
        <f t="shared" si="4"/>
        <v>286</v>
      </c>
      <c r="AB26" s="60">
        <f t="shared" si="4"/>
        <v>1111</v>
      </c>
      <c r="AC26" s="58">
        <f t="shared" si="4"/>
        <v>54023</v>
      </c>
      <c r="AD26" s="60">
        <f t="shared" si="4"/>
        <v>31825</v>
      </c>
      <c r="AE26" s="60">
        <f t="shared" si="4"/>
        <v>0</v>
      </c>
      <c r="AF26" s="60">
        <f t="shared" si="4"/>
        <v>30756</v>
      </c>
      <c r="AG26" s="58">
        <f t="shared" si="4"/>
        <v>1645</v>
      </c>
      <c r="AH26" s="62">
        <f t="shared" si="4"/>
        <v>266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W22" sqref="W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45733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58305</v>
      </c>
      <c r="U20" s="34">
        <f>T20/215*25</f>
        <v>6779.6511627906984</v>
      </c>
      <c r="V20" s="33" t="e">
        <f>#REF!</f>
        <v>#REF!</v>
      </c>
      <c r="W20" s="33">
        <v>46650</v>
      </c>
      <c r="X20" s="33" t="e">
        <f>#REF!</f>
        <v>#REF!</v>
      </c>
      <c r="Y20" s="35">
        <v>35382</v>
      </c>
      <c r="Z20" s="31">
        <v>6450</v>
      </c>
      <c r="AA20" s="31">
        <v>150</v>
      </c>
      <c r="AB20" s="33">
        <v>0</v>
      </c>
      <c r="AC20" s="31">
        <v>21167</v>
      </c>
      <c r="AD20" s="33">
        <v>20160</v>
      </c>
      <c r="AE20" s="33">
        <v>0</v>
      </c>
      <c r="AF20" s="33">
        <v>15610</v>
      </c>
      <c r="AG20" s="31">
        <v>615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66528</v>
      </c>
      <c r="U21" s="32">
        <f>T21/215*25</f>
        <v>7735.8139534883721</v>
      </c>
      <c r="V21" s="34"/>
      <c r="W21" s="32">
        <v>14605.21999999999</v>
      </c>
      <c r="X21" s="34">
        <v>0</v>
      </c>
      <c r="Y21" s="32">
        <v>5535.2999999999865</v>
      </c>
      <c r="Z21" s="38">
        <v>2460</v>
      </c>
      <c r="AA21" s="38">
        <v>136</v>
      </c>
      <c r="AB21" s="34">
        <v>1111</v>
      </c>
      <c r="AC21" s="38">
        <v>32856</v>
      </c>
      <c r="AD21" s="34">
        <v>11665</v>
      </c>
      <c r="AE21" s="34">
        <v>0</v>
      </c>
      <c r="AF21" s="34">
        <v>15146</v>
      </c>
      <c r="AG21" s="38">
        <v>1030</v>
      </c>
      <c r="AH21" s="39">
        <v>116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124833</v>
      </c>
      <c r="U22" s="43">
        <f t="shared" si="1"/>
        <v>14515.465116279071</v>
      </c>
      <c r="V22" s="44" t="e">
        <f t="shared" si="1"/>
        <v>#REF!</v>
      </c>
      <c r="W22" s="45">
        <f t="shared" si="1"/>
        <v>61255.219999999987</v>
      </c>
      <c r="X22" s="44" t="e">
        <f t="shared" si="1"/>
        <v>#REF!</v>
      </c>
      <c r="Y22" s="43">
        <f>SUM(Y20:Y21)</f>
        <v>40917.299999999988</v>
      </c>
      <c r="Z22" s="42">
        <f t="shared" si="1"/>
        <v>8910</v>
      </c>
      <c r="AA22" s="42">
        <f t="shared" si="1"/>
        <v>286</v>
      </c>
      <c r="AB22" s="44">
        <f t="shared" si="1"/>
        <v>1111</v>
      </c>
      <c r="AC22" s="42">
        <f t="shared" si="1"/>
        <v>54023</v>
      </c>
      <c r="AD22" s="44">
        <f>SUM(AD20:AD21)</f>
        <v>31825</v>
      </c>
      <c r="AE22" s="44">
        <f t="shared" si="1"/>
        <v>0</v>
      </c>
      <c r="AF22" s="44">
        <f>SUM(AF20:AF21)</f>
        <v>30756</v>
      </c>
      <c r="AG22" s="42">
        <f t="shared" si="1"/>
        <v>1645</v>
      </c>
      <c r="AH22" s="46">
        <f t="shared" si="1"/>
        <v>266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124833</v>
      </c>
      <c r="U24" s="52">
        <f t="shared" si="2"/>
        <v>14515.465116279071</v>
      </c>
      <c r="V24" s="51" t="e">
        <f t="shared" si="2"/>
        <v>#REF!</v>
      </c>
      <c r="W24" s="52">
        <f t="shared" si="2"/>
        <v>61255.219999999987</v>
      </c>
      <c r="X24" s="51" t="e">
        <f t="shared" si="2"/>
        <v>#REF!</v>
      </c>
      <c r="Y24" s="52">
        <f t="shared" si="2"/>
        <v>40917.299999999988</v>
      </c>
      <c r="Z24" s="51">
        <f t="shared" si="2"/>
        <v>8910</v>
      </c>
      <c r="AA24" s="51">
        <f t="shared" si="2"/>
        <v>286</v>
      </c>
      <c r="AB24" s="51">
        <f t="shared" si="2"/>
        <v>1111</v>
      </c>
      <c r="AC24" s="51">
        <f t="shared" si="2"/>
        <v>54023</v>
      </c>
      <c r="AD24" s="51">
        <f t="shared" si="2"/>
        <v>31825</v>
      </c>
      <c r="AE24" s="51">
        <f t="shared" si="2"/>
        <v>0</v>
      </c>
      <c r="AF24" s="51">
        <f t="shared" si="2"/>
        <v>30756</v>
      </c>
      <c r="AG24" s="51">
        <f t="shared" si="2"/>
        <v>1645</v>
      </c>
      <c r="AH24" s="53">
        <f t="shared" si="2"/>
        <v>266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21484</v>
      </c>
      <c r="U25" s="32">
        <f>T25/215*25</f>
        <v>2498.1395348837209</v>
      </c>
      <c r="V25" s="47"/>
      <c r="W25" s="35">
        <v>7019.5000000000009</v>
      </c>
      <c r="X25" s="47"/>
      <c r="Y25" s="55">
        <v>2755.62</v>
      </c>
      <c r="Z25" s="31">
        <v>1134</v>
      </c>
      <c r="AA25" s="38"/>
      <c r="AB25" s="47"/>
      <c r="AC25" s="38">
        <v>5801</v>
      </c>
      <c r="AD25" s="47">
        <v>5189</v>
      </c>
      <c r="AE25" s="47"/>
      <c r="AF25" s="47">
        <v>4342</v>
      </c>
      <c r="AG25" s="38"/>
      <c r="AH25" s="56">
        <v>8</v>
      </c>
    </row>
    <row r="26" spans="1:36" s="4" customFormat="1" ht="100.5" customHeight="1" thickBot="1" x14ac:dyDescent="0.25">
      <c r="A26" s="57">
        <v>45739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103349</v>
      </c>
      <c r="U26" s="59">
        <f>U24-U25</f>
        <v>12017.325581395349</v>
      </c>
      <c r="V26" s="60" t="e">
        <f t="shared" ref="V26:AH26" si="4">V24-V25</f>
        <v>#REF!</v>
      </c>
      <c r="W26" s="59">
        <f t="shared" si="4"/>
        <v>54235.719999999987</v>
      </c>
      <c r="X26" s="60" t="e">
        <f t="shared" si="4"/>
        <v>#REF!</v>
      </c>
      <c r="Y26" s="61">
        <f t="shared" si="4"/>
        <v>38161.679999999986</v>
      </c>
      <c r="Z26" s="58">
        <f t="shared" si="4"/>
        <v>7776</v>
      </c>
      <c r="AA26" s="58">
        <f t="shared" si="4"/>
        <v>286</v>
      </c>
      <c r="AB26" s="60">
        <f t="shared" si="4"/>
        <v>1111</v>
      </c>
      <c r="AC26" s="58">
        <f t="shared" si="4"/>
        <v>48222</v>
      </c>
      <c r="AD26" s="60">
        <f t="shared" si="4"/>
        <v>26636</v>
      </c>
      <c r="AE26" s="60">
        <f t="shared" si="4"/>
        <v>0</v>
      </c>
      <c r="AF26" s="60">
        <f t="shared" si="4"/>
        <v>26414</v>
      </c>
      <c r="AG26" s="58">
        <f t="shared" si="4"/>
        <v>1645</v>
      </c>
      <c r="AH26" s="62">
        <f t="shared" si="4"/>
        <v>258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AB25" sqref="AB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45740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43305</v>
      </c>
      <c r="U20" s="34">
        <f>T20/215*25</f>
        <v>5035.4651162790697</v>
      </c>
      <c r="V20" s="33" t="e">
        <f>#REF!</f>
        <v>#REF!</v>
      </c>
      <c r="W20" s="33">
        <v>39150</v>
      </c>
      <c r="X20" s="33" t="e">
        <f>#REF!</f>
        <v>#REF!</v>
      </c>
      <c r="Y20" s="35">
        <v>32101</v>
      </c>
      <c r="Z20" s="31">
        <v>5100</v>
      </c>
      <c r="AA20" s="31">
        <v>150</v>
      </c>
      <c r="AB20" s="33">
        <v>0</v>
      </c>
      <c r="AC20" s="31">
        <v>19167</v>
      </c>
      <c r="AD20" s="33">
        <v>8640</v>
      </c>
      <c r="AE20" s="33">
        <v>0</v>
      </c>
      <c r="AF20" s="33">
        <v>12610</v>
      </c>
      <c r="AG20" s="31">
        <v>615</v>
      </c>
      <c r="AH20" s="36">
        <v>150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60044</v>
      </c>
      <c r="U21" s="32">
        <f>T21/215*25</f>
        <v>6981.8604651162786</v>
      </c>
      <c r="V21" s="34"/>
      <c r="W21" s="32">
        <v>15085.71999999999</v>
      </c>
      <c r="X21" s="34">
        <v>0</v>
      </c>
      <c r="Y21" s="32">
        <v>6060.6799999999857</v>
      </c>
      <c r="Z21" s="38">
        <v>2676</v>
      </c>
      <c r="AA21" s="38">
        <v>136</v>
      </c>
      <c r="AB21" s="34">
        <v>1111</v>
      </c>
      <c r="AC21" s="38">
        <v>29055</v>
      </c>
      <c r="AD21" s="34">
        <v>17996</v>
      </c>
      <c r="AE21" s="34">
        <v>0</v>
      </c>
      <c r="AF21" s="34">
        <v>13804</v>
      </c>
      <c r="AG21" s="38">
        <v>1030</v>
      </c>
      <c r="AH21" s="39">
        <v>108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103349</v>
      </c>
      <c r="U22" s="43">
        <f t="shared" si="1"/>
        <v>12017.325581395347</v>
      </c>
      <c r="V22" s="44" t="e">
        <f t="shared" si="1"/>
        <v>#REF!</v>
      </c>
      <c r="W22" s="45">
        <f t="shared" si="1"/>
        <v>54235.719999999987</v>
      </c>
      <c r="X22" s="44" t="e">
        <f t="shared" si="1"/>
        <v>#REF!</v>
      </c>
      <c r="Y22" s="43">
        <f>SUM(Y20:Y21)</f>
        <v>38161.679999999986</v>
      </c>
      <c r="Z22" s="42">
        <f t="shared" si="1"/>
        <v>7776</v>
      </c>
      <c r="AA22" s="42">
        <f t="shared" si="1"/>
        <v>286</v>
      </c>
      <c r="AB22" s="44">
        <f t="shared" si="1"/>
        <v>1111</v>
      </c>
      <c r="AC22" s="42">
        <f t="shared" si="1"/>
        <v>48222</v>
      </c>
      <c r="AD22" s="44">
        <f>SUM(AD20:AD21)</f>
        <v>26636</v>
      </c>
      <c r="AE22" s="44">
        <f t="shared" si="1"/>
        <v>0</v>
      </c>
      <c r="AF22" s="44">
        <f>SUM(AF20:AF21)</f>
        <v>26414</v>
      </c>
      <c r="AG22" s="42">
        <f t="shared" si="1"/>
        <v>1645</v>
      </c>
      <c r="AH22" s="46">
        <f t="shared" si="1"/>
        <v>258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6000</v>
      </c>
      <c r="Z23" s="31">
        <v>2000</v>
      </c>
      <c r="AA23" s="31"/>
      <c r="AB23" s="31"/>
      <c r="AC23" s="31">
        <v>10250</v>
      </c>
      <c r="AD23" s="31">
        <v>10440</v>
      </c>
      <c r="AE23" s="31"/>
      <c r="AF23" s="48">
        <v>7200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146349</v>
      </c>
      <c r="U24" s="52">
        <f t="shared" si="2"/>
        <v>17017.325581395347</v>
      </c>
      <c r="V24" s="51" t="e">
        <f t="shared" si="2"/>
        <v>#REF!</v>
      </c>
      <c r="W24" s="52">
        <f t="shared" si="2"/>
        <v>69235.719999999987</v>
      </c>
      <c r="X24" s="51" t="e">
        <f t="shared" si="2"/>
        <v>#REF!</v>
      </c>
      <c r="Y24" s="52">
        <f t="shared" si="2"/>
        <v>44161.679999999986</v>
      </c>
      <c r="Z24" s="51">
        <f t="shared" si="2"/>
        <v>9776</v>
      </c>
      <c r="AA24" s="51">
        <f t="shared" si="2"/>
        <v>286</v>
      </c>
      <c r="AB24" s="51">
        <f t="shared" si="2"/>
        <v>1111</v>
      </c>
      <c r="AC24" s="51">
        <f t="shared" si="2"/>
        <v>58472</v>
      </c>
      <c r="AD24" s="51">
        <f t="shared" si="2"/>
        <v>37076</v>
      </c>
      <c r="AE24" s="51">
        <f t="shared" si="2"/>
        <v>0</v>
      </c>
      <c r="AF24" s="51">
        <f t="shared" si="2"/>
        <v>33614</v>
      </c>
      <c r="AG24" s="51">
        <f t="shared" si="2"/>
        <v>1645</v>
      </c>
      <c r="AH24" s="53">
        <f t="shared" si="2"/>
        <v>258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23569</v>
      </c>
      <c r="U25" s="32">
        <f>T25/215*25</f>
        <v>2740.5813953488373</v>
      </c>
      <c r="V25" s="47"/>
      <c r="W25" s="35">
        <v>7187.2</v>
      </c>
      <c r="X25" s="47"/>
      <c r="Y25" s="55">
        <v>2906.28</v>
      </c>
      <c r="Z25" s="31">
        <v>1196</v>
      </c>
      <c r="AA25" s="38"/>
      <c r="AB25" s="47"/>
      <c r="AC25" s="38">
        <v>5625</v>
      </c>
      <c r="AD25" s="47">
        <v>6062</v>
      </c>
      <c r="AE25" s="47"/>
      <c r="AF25" s="47">
        <v>4479</v>
      </c>
      <c r="AG25" s="38"/>
      <c r="AH25" s="56">
        <v>10</v>
      </c>
    </row>
    <row r="26" spans="1:36" s="4" customFormat="1" ht="100.5" customHeight="1" thickBot="1" x14ac:dyDescent="0.25">
      <c r="A26" s="57">
        <v>45746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122780</v>
      </c>
      <c r="U26" s="59">
        <f>U24-U25</f>
        <v>14276.74418604651</v>
      </c>
      <c r="V26" s="60" t="e">
        <f t="shared" ref="V26:AH26" si="4">V24-V25</f>
        <v>#REF!</v>
      </c>
      <c r="W26" s="59">
        <f t="shared" si="4"/>
        <v>62048.51999999999</v>
      </c>
      <c r="X26" s="60" t="e">
        <f t="shared" si="4"/>
        <v>#REF!</v>
      </c>
      <c r="Y26" s="61">
        <f t="shared" si="4"/>
        <v>41255.399999999987</v>
      </c>
      <c r="Z26" s="58">
        <f t="shared" si="4"/>
        <v>8580</v>
      </c>
      <c r="AA26" s="58">
        <f t="shared" si="4"/>
        <v>286</v>
      </c>
      <c r="AB26" s="60">
        <f t="shared" si="4"/>
        <v>1111</v>
      </c>
      <c r="AC26" s="58">
        <f t="shared" si="4"/>
        <v>52847</v>
      </c>
      <c r="AD26" s="60">
        <f t="shared" si="4"/>
        <v>31014</v>
      </c>
      <c r="AE26" s="60">
        <f t="shared" si="4"/>
        <v>0</v>
      </c>
      <c r="AF26" s="60">
        <f t="shared" si="4"/>
        <v>29135</v>
      </c>
      <c r="AG26" s="58">
        <f t="shared" si="4"/>
        <v>1645</v>
      </c>
      <c r="AH26" s="62">
        <f t="shared" si="4"/>
        <v>248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0" zoomScaleNormal="70" workbookViewId="0">
      <selection activeCell="U27" sqref="U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45746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58355</v>
      </c>
      <c r="U20" s="34">
        <f>T20/215*25</f>
        <v>6785.4651162790706</v>
      </c>
      <c r="V20" s="33" t="e">
        <f>#REF!</f>
        <v>#REF!</v>
      </c>
      <c r="W20" s="33">
        <v>46025</v>
      </c>
      <c r="X20" s="33" t="e">
        <f>#REF!</f>
        <v>#REF!</v>
      </c>
      <c r="Y20" s="35">
        <v>36035</v>
      </c>
      <c r="Z20" s="31">
        <v>6250</v>
      </c>
      <c r="AA20" s="31">
        <v>150</v>
      </c>
      <c r="AB20" s="33">
        <v>0</v>
      </c>
      <c r="AC20" s="31">
        <v>20917</v>
      </c>
      <c r="AD20" s="33">
        <v>19080</v>
      </c>
      <c r="AE20" s="33">
        <v>0</v>
      </c>
      <c r="AF20" s="33">
        <v>15310</v>
      </c>
      <c r="AG20" s="31">
        <v>615</v>
      </c>
      <c r="AH20" s="36">
        <v>130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64425</v>
      </c>
      <c r="U21" s="32">
        <f>T21/215*25</f>
        <v>7491.2790697674427</v>
      </c>
      <c r="V21" s="34"/>
      <c r="W21" s="32">
        <v>16023.519999999991</v>
      </c>
      <c r="X21" s="34">
        <v>0</v>
      </c>
      <c r="Y21" s="32">
        <v>5220.3999999999851</v>
      </c>
      <c r="Z21" s="38">
        <v>2330</v>
      </c>
      <c r="AA21" s="38">
        <v>136</v>
      </c>
      <c r="AB21" s="34">
        <v>1111</v>
      </c>
      <c r="AC21" s="38">
        <v>31930</v>
      </c>
      <c r="AD21" s="34">
        <v>11934</v>
      </c>
      <c r="AE21" s="34"/>
      <c r="AF21" s="34">
        <v>13825</v>
      </c>
      <c r="AG21" s="38">
        <v>1030</v>
      </c>
      <c r="AH21" s="39">
        <v>118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122780</v>
      </c>
      <c r="U22" s="43">
        <f t="shared" si="1"/>
        <v>14276.744186046513</v>
      </c>
      <c r="V22" s="44" t="e">
        <f t="shared" si="1"/>
        <v>#REF!</v>
      </c>
      <c r="W22" s="45">
        <f t="shared" si="1"/>
        <v>62048.51999999999</v>
      </c>
      <c r="X22" s="44" t="e">
        <f t="shared" si="1"/>
        <v>#REF!</v>
      </c>
      <c r="Y22" s="43">
        <f>SUM(Y20:Y21)</f>
        <v>41255.399999999987</v>
      </c>
      <c r="Z22" s="42">
        <f t="shared" si="1"/>
        <v>8580</v>
      </c>
      <c r="AA22" s="42">
        <f t="shared" si="1"/>
        <v>286</v>
      </c>
      <c r="AB22" s="44">
        <f t="shared" si="1"/>
        <v>1111</v>
      </c>
      <c r="AC22" s="42">
        <f t="shared" si="1"/>
        <v>52847</v>
      </c>
      <c r="AD22" s="44">
        <f>SUM(AD20:AD21)</f>
        <v>31014</v>
      </c>
      <c r="AE22" s="44">
        <f t="shared" si="1"/>
        <v>0</v>
      </c>
      <c r="AF22" s="44">
        <f>SUM(AF20:AF21)</f>
        <v>29135</v>
      </c>
      <c r="AG22" s="42">
        <f t="shared" si="1"/>
        <v>1645</v>
      </c>
      <c r="AH22" s="46">
        <f t="shared" si="1"/>
        <v>248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122780</v>
      </c>
      <c r="U24" s="52">
        <f t="shared" si="2"/>
        <v>14276.744186046513</v>
      </c>
      <c r="V24" s="51" t="e">
        <f t="shared" si="2"/>
        <v>#REF!</v>
      </c>
      <c r="W24" s="52">
        <f t="shared" si="2"/>
        <v>62048.51999999999</v>
      </c>
      <c r="X24" s="51" t="e">
        <f t="shared" si="2"/>
        <v>#REF!</v>
      </c>
      <c r="Y24" s="52">
        <f t="shared" si="2"/>
        <v>41255.399999999987</v>
      </c>
      <c r="Z24" s="51">
        <f t="shared" si="2"/>
        <v>8580</v>
      </c>
      <c r="AA24" s="51">
        <f t="shared" si="2"/>
        <v>286</v>
      </c>
      <c r="AB24" s="51">
        <f t="shared" si="2"/>
        <v>1111</v>
      </c>
      <c r="AC24" s="51">
        <f t="shared" si="2"/>
        <v>52847</v>
      </c>
      <c r="AD24" s="51">
        <f t="shared" si="2"/>
        <v>31014</v>
      </c>
      <c r="AE24" s="51">
        <f t="shared" si="2"/>
        <v>0</v>
      </c>
      <c r="AF24" s="51">
        <f t="shared" si="2"/>
        <v>29135</v>
      </c>
      <c r="AG24" s="51">
        <f t="shared" si="2"/>
        <v>1645</v>
      </c>
      <c r="AH24" s="53">
        <f t="shared" si="2"/>
        <v>248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21779</v>
      </c>
      <c r="U25" s="32">
        <f>T25/215*25</f>
        <v>2532.4418604651164</v>
      </c>
      <c r="V25" s="47"/>
      <c r="W25" s="35">
        <v>6918.4</v>
      </c>
      <c r="X25" s="47"/>
      <c r="Y25" s="55">
        <v>2920.8600000000006</v>
      </c>
      <c r="Z25" s="31">
        <v>1202</v>
      </c>
      <c r="AA25" s="38"/>
      <c r="AB25" s="47"/>
      <c r="AC25" s="38">
        <v>4972</v>
      </c>
      <c r="AD25" s="47">
        <v>6064</v>
      </c>
      <c r="AE25" s="47"/>
      <c r="AF25" s="47">
        <v>4393</v>
      </c>
      <c r="AG25" s="38"/>
      <c r="AH25" s="56">
        <v>10</v>
      </c>
    </row>
    <row r="26" spans="1:36" s="4" customFormat="1" ht="100.5" customHeight="1" thickBot="1" x14ac:dyDescent="0.25">
      <c r="A26" s="57">
        <v>45753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101001</v>
      </c>
      <c r="U26" s="59">
        <f>U24-U25</f>
        <v>11744.302325581397</v>
      </c>
      <c r="V26" s="60" t="e">
        <f t="shared" ref="V26:AH26" si="4">V24-V25</f>
        <v>#REF!</v>
      </c>
      <c r="W26" s="59">
        <f t="shared" si="4"/>
        <v>55130.119999999988</v>
      </c>
      <c r="X26" s="60" t="e">
        <f t="shared" si="4"/>
        <v>#REF!</v>
      </c>
      <c r="Y26" s="61">
        <f t="shared" si="4"/>
        <v>38334.539999999986</v>
      </c>
      <c r="Z26" s="58">
        <f t="shared" si="4"/>
        <v>7378</v>
      </c>
      <c r="AA26" s="58">
        <f t="shared" si="4"/>
        <v>286</v>
      </c>
      <c r="AB26" s="60">
        <f t="shared" si="4"/>
        <v>1111</v>
      </c>
      <c r="AC26" s="58">
        <f t="shared" si="4"/>
        <v>47875</v>
      </c>
      <c r="AD26" s="60">
        <f t="shared" si="4"/>
        <v>24950</v>
      </c>
      <c r="AE26" s="60">
        <f t="shared" si="4"/>
        <v>0</v>
      </c>
      <c r="AF26" s="60">
        <f t="shared" si="4"/>
        <v>24742</v>
      </c>
      <c r="AG26" s="58">
        <f t="shared" si="4"/>
        <v>1645</v>
      </c>
      <c r="AH26" s="62">
        <f t="shared" si="4"/>
        <v>238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4" zoomScale="70" zoomScaleNormal="70" workbookViewId="0">
      <selection activeCell="W22" sqref="W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45754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55705</v>
      </c>
      <c r="U20" s="34">
        <f>T20/215*25</f>
        <v>6477.3255813953483</v>
      </c>
      <c r="V20" s="33" t="e">
        <f>#REF!</f>
        <v>#REF!</v>
      </c>
      <c r="W20" s="33">
        <v>37275</v>
      </c>
      <c r="X20" s="33" t="e">
        <f>#REF!</f>
        <v>#REF!</v>
      </c>
      <c r="Y20" s="35">
        <v>31904</v>
      </c>
      <c r="Z20" s="31">
        <v>4550</v>
      </c>
      <c r="AA20" s="31">
        <v>150</v>
      </c>
      <c r="AB20" s="33">
        <v>0</v>
      </c>
      <c r="AC20" s="31">
        <v>20167</v>
      </c>
      <c r="AD20" s="33">
        <v>8280</v>
      </c>
      <c r="AE20" s="33">
        <v>0</v>
      </c>
      <c r="AF20" s="33">
        <v>10410</v>
      </c>
      <c r="AG20" s="31">
        <v>615</v>
      </c>
      <c r="AH20" s="36">
        <v>130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45296</v>
      </c>
      <c r="U21" s="32">
        <f>T21/215*25</f>
        <v>5266.9767441860467</v>
      </c>
      <c r="V21" s="34"/>
      <c r="W21" s="32">
        <v>17855.119999999988</v>
      </c>
      <c r="X21" s="34">
        <v>0</v>
      </c>
      <c r="Y21" s="32">
        <v>6430.5399999999845</v>
      </c>
      <c r="Z21" s="38">
        <v>2828</v>
      </c>
      <c r="AA21" s="38">
        <v>136</v>
      </c>
      <c r="AB21" s="34">
        <v>1111</v>
      </c>
      <c r="AC21" s="38">
        <v>27708</v>
      </c>
      <c r="AD21" s="34">
        <v>16670</v>
      </c>
      <c r="AE21" s="34"/>
      <c r="AF21" s="34">
        <v>14332</v>
      </c>
      <c r="AG21" s="38">
        <v>1030</v>
      </c>
      <c r="AH21" s="39">
        <v>108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101001</v>
      </c>
      <c r="U22" s="43">
        <f t="shared" si="1"/>
        <v>11744.302325581395</v>
      </c>
      <c r="V22" s="44" t="e">
        <f t="shared" si="1"/>
        <v>#REF!</v>
      </c>
      <c r="W22" s="45">
        <f t="shared" si="1"/>
        <v>55130.119999999988</v>
      </c>
      <c r="X22" s="44" t="e">
        <f t="shared" si="1"/>
        <v>#REF!</v>
      </c>
      <c r="Y22" s="43">
        <f>SUM(Y20:Y21)</f>
        <v>38334.539999999986</v>
      </c>
      <c r="Z22" s="42">
        <f t="shared" si="1"/>
        <v>7378</v>
      </c>
      <c r="AA22" s="42">
        <f t="shared" si="1"/>
        <v>286</v>
      </c>
      <c r="AB22" s="44">
        <f t="shared" si="1"/>
        <v>1111</v>
      </c>
      <c r="AC22" s="42">
        <f t="shared" si="1"/>
        <v>47875</v>
      </c>
      <c r="AD22" s="44">
        <f>SUM(AD20:AD21)</f>
        <v>24950</v>
      </c>
      <c r="AE22" s="44">
        <f t="shared" si="1"/>
        <v>0</v>
      </c>
      <c r="AF22" s="44">
        <f>SUM(AF20:AF21)</f>
        <v>24742</v>
      </c>
      <c r="AG22" s="42">
        <f t="shared" si="1"/>
        <v>1645</v>
      </c>
      <c r="AH22" s="46">
        <f t="shared" si="1"/>
        <v>238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101001</v>
      </c>
      <c r="U24" s="52">
        <f t="shared" si="2"/>
        <v>11744.302325581395</v>
      </c>
      <c r="V24" s="51" t="e">
        <f t="shared" si="2"/>
        <v>#REF!</v>
      </c>
      <c r="W24" s="52">
        <f t="shared" si="2"/>
        <v>55130.119999999988</v>
      </c>
      <c r="X24" s="51" t="e">
        <f t="shared" si="2"/>
        <v>#REF!</v>
      </c>
      <c r="Y24" s="52">
        <f t="shared" si="2"/>
        <v>38334.539999999986</v>
      </c>
      <c r="Z24" s="51">
        <f t="shared" si="2"/>
        <v>7378</v>
      </c>
      <c r="AA24" s="51">
        <f t="shared" si="2"/>
        <v>286</v>
      </c>
      <c r="AB24" s="51">
        <f t="shared" si="2"/>
        <v>1111</v>
      </c>
      <c r="AC24" s="51">
        <f t="shared" si="2"/>
        <v>47875</v>
      </c>
      <c r="AD24" s="51">
        <f t="shared" si="2"/>
        <v>24950</v>
      </c>
      <c r="AE24" s="51">
        <f t="shared" si="2"/>
        <v>0</v>
      </c>
      <c r="AF24" s="51">
        <f t="shared" si="2"/>
        <v>24742</v>
      </c>
      <c r="AG24" s="51">
        <f t="shared" si="2"/>
        <v>1645</v>
      </c>
      <c r="AH24" s="53">
        <f t="shared" si="2"/>
        <v>238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22552</v>
      </c>
      <c r="U25" s="32">
        <f>T25/215*25</f>
        <v>2622.3255813953488</v>
      </c>
      <c r="V25" s="47"/>
      <c r="W25" s="35">
        <v>7586.2000000000007</v>
      </c>
      <c r="X25" s="47"/>
      <c r="Y25" s="55">
        <v>2981.61</v>
      </c>
      <c r="Z25" s="31">
        <v>1227</v>
      </c>
      <c r="AA25" s="38">
        <v>1</v>
      </c>
      <c r="AB25" s="47"/>
      <c r="AC25" s="38">
        <v>5419</v>
      </c>
      <c r="AD25" s="47">
        <v>6361</v>
      </c>
      <c r="AE25" s="47"/>
      <c r="AF25" s="47">
        <v>4741</v>
      </c>
      <c r="AG25" s="38"/>
      <c r="AH25" s="56">
        <v>10</v>
      </c>
    </row>
    <row r="26" spans="1:36" s="4" customFormat="1" ht="100.5" customHeight="1" thickBot="1" x14ac:dyDescent="0.25">
      <c r="A26" s="57">
        <v>45760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78449</v>
      </c>
      <c r="U26" s="59">
        <f>U24-U25</f>
        <v>9121.9767441860458</v>
      </c>
      <c r="V26" s="60" t="e">
        <f t="shared" ref="V26:AH26" si="4">V24-V25</f>
        <v>#REF!</v>
      </c>
      <c r="W26" s="59">
        <f t="shared" si="4"/>
        <v>47543.919999999984</v>
      </c>
      <c r="X26" s="60" t="e">
        <f t="shared" si="4"/>
        <v>#REF!</v>
      </c>
      <c r="Y26" s="61">
        <f t="shared" si="4"/>
        <v>35352.929999999986</v>
      </c>
      <c r="Z26" s="58">
        <f t="shared" si="4"/>
        <v>6151</v>
      </c>
      <c r="AA26" s="58">
        <f t="shared" si="4"/>
        <v>285</v>
      </c>
      <c r="AB26" s="60">
        <f t="shared" si="4"/>
        <v>1111</v>
      </c>
      <c r="AC26" s="58">
        <f t="shared" si="4"/>
        <v>42456</v>
      </c>
      <c r="AD26" s="60">
        <f t="shared" si="4"/>
        <v>18589</v>
      </c>
      <c r="AE26" s="60">
        <f t="shared" si="4"/>
        <v>0</v>
      </c>
      <c r="AF26" s="60">
        <f t="shared" si="4"/>
        <v>20001</v>
      </c>
      <c r="AG26" s="58">
        <f t="shared" si="4"/>
        <v>1645</v>
      </c>
      <c r="AH26" s="62">
        <f t="shared" si="4"/>
        <v>228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7" zoomScale="70" zoomScaleNormal="70" workbookViewId="0">
      <selection activeCell="Y24" sqref="Y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45761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49255</v>
      </c>
      <c r="U20" s="34">
        <f>T20/215*25</f>
        <v>5727.3255813953492</v>
      </c>
      <c r="V20" s="33" t="e">
        <f>#REF!</f>
        <v>#REF!</v>
      </c>
      <c r="W20" s="33">
        <v>32775</v>
      </c>
      <c r="X20" s="33" t="e">
        <f>#REF!</f>
        <v>#REF!</v>
      </c>
      <c r="Y20" s="35">
        <v>30081</v>
      </c>
      <c r="Z20" s="31">
        <v>3800</v>
      </c>
      <c r="AA20" s="31">
        <v>150</v>
      </c>
      <c r="AB20" s="33">
        <v>0</v>
      </c>
      <c r="AC20" s="31">
        <v>16167</v>
      </c>
      <c r="AD20" s="33">
        <v>8280</v>
      </c>
      <c r="AE20" s="33">
        <v>0</v>
      </c>
      <c r="AF20" s="33">
        <v>7710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29194</v>
      </c>
      <c r="U21" s="32">
        <f>T21/215*25</f>
        <v>3394.651162790698</v>
      </c>
      <c r="V21" s="34"/>
      <c r="W21" s="32">
        <v>14768.919999999986</v>
      </c>
      <c r="X21" s="34">
        <v>0</v>
      </c>
      <c r="Y21" s="32">
        <v>5271.9299999999839</v>
      </c>
      <c r="Z21" s="38">
        <v>2351</v>
      </c>
      <c r="AA21" s="38">
        <v>135</v>
      </c>
      <c r="AB21" s="34">
        <v>1111</v>
      </c>
      <c r="AC21" s="38">
        <v>26289</v>
      </c>
      <c r="AD21" s="34">
        <v>10309</v>
      </c>
      <c r="AE21" s="34"/>
      <c r="AF21" s="34">
        <v>12291</v>
      </c>
      <c r="AG21" s="38">
        <v>1030</v>
      </c>
      <c r="AH21" s="39">
        <v>118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78449</v>
      </c>
      <c r="U22" s="43">
        <f t="shared" si="1"/>
        <v>9121.9767441860477</v>
      </c>
      <c r="V22" s="44" t="e">
        <f t="shared" si="1"/>
        <v>#REF!</v>
      </c>
      <c r="W22" s="45">
        <f t="shared" si="1"/>
        <v>47543.919999999984</v>
      </c>
      <c r="X22" s="44" t="e">
        <f t="shared" si="1"/>
        <v>#REF!</v>
      </c>
      <c r="Y22" s="43">
        <f>SUM(Y20:Y21)</f>
        <v>35352.929999999986</v>
      </c>
      <c r="Z22" s="42">
        <f t="shared" si="1"/>
        <v>6151</v>
      </c>
      <c r="AA22" s="42">
        <f t="shared" si="1"/>
        <v>285</v>
      </c>
      <c r="AB22" s="44">
        <f t="shared" si="1"/>
        <v>1111</v>
      </c>
      <c r="AC22" s="42">
        <f t="shared" si="1"/>
        <v>42456</v>
      </c>
      <c r="AD22" s="44">
        <f>SUM(AD20:AD21)</f>
        <v>18589</v>
      </c>
      <c r="AE22" s="44">
        <f t="shared" si="1"/>
        <v>0</v>
      </c>
      <c r="AF22" s="44">
        <f>SUM(AF20:AF21)</f>
        <v>20001</v>
      </c>
      <c r="AG22" s="42">
        <f t="shared" si="1"/>
        <v>1645</v>
      </c>
      <c r="AH22" s="46">
        <f t="shared" si="1"/>
        <v>228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6000</v>
      </c>
      <c r="Z23" s="31">
        <v>3000</v>
      </c>
      <c r="AA23" s="31"/>
      <c r="AB23" s="31"/>
      <c r="AC23" s="31">
        <v>11250</v>
      </c>
      <c r="AD23" s="31">
        <v>11520</v>
      </c>
      <c r="AE23" s="31"/>
      <c r="AF23" s="48">
        <v>11400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121449</v>
      </c>
      <c r="U24" s="52">
        <f t="shared" si="2"/>
        <v>14121.976744186048</v>
      </c>
      <c r="V24" s="51" t="e">
        <f t="shared" si="2"/>
        <v>#REF!</v>
      </c>
      <c r="W24" s="52">
        <f t="shared" si="2"/>
        <v>62543.919999999984</v>
      </c>
      <c r="X24" s="51" t="e">
        <f t="shared" si="2"/>
        <v>#REF!</v>
      </c>
      <c r="Y24" s="52">
        <f t="shared" si="2"/>
        <v>41352.929999999986</v>
      </c>
      <c r="Z24" s="51">
        <f t="shared" si="2"/>
        <v>9151</v>
      </c>
      <c r="AA24" s="51">
        <f t="shared" si="2"/>
        <v>285</v>
      </c>
      <c r="AB24" s="51">
        <f t="shared" si="2"/>
        <v>1111</v>
      </c>
      <c r="AC24" s="51">
        <f t="shared" si="2"/>
        <v>53706</v>
      </c>
      <c r="AD24" s="51">
        <f t="shared" si="2"/>
        <v>30109</v>
      </c>
      <c r="AE24" s="51">
        <f t="shared" si="2"/>
        <v>0</v>
      </c>
      <c r="AF24" s="51">
        <f t="shared" si="2"/>
        <v>31401</v>
      </c>
      <c r="AG24" s="51">
        <f t="shared" si="2"/>
        <v>1645</v>
      </c>
      <c r="AH24" s="53">
        <f t="shared" si="2"/>
        <v>228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f>16708+1482</f>
        <v>18190</v>
      </c>
      <c r="U25" s="32">
        <f>T25/215*25</f>
        <v>2115.1162790697676</v>
      </c>
      <c r="V25" s="47"/>
      <c r="W25" s="35">
        <f>5554.3+'[1]4-20-26, 2025'!$P$15</f>
        <v>6097.1</v>
      </c>
      <c r="X25" s="47"/>
      <c r="Y25" s="55">
        <f>2135.97+'[1]4-20-26, 2025'!$AE$15</f>
        <v>2357.1</v>
      </c>
      <c r="Z25" s="31">
        <f>879+'[1]4-20-26, 2025'!$Y$15</f>
        <v>970</v>
      </c>
      <c r="AA25" s="38"/>
      <c r="AB25" s="47"/>
      <c r="AC25" s="38">
        <f>3255+'[1]4-20-26, 2025'!$W$15</f>
        <v>3536</v>
      </c>
      <c r="AD25" s="47">
        <f>5405+'[1]4-20-26, 2025'!$S$15</f>
        <v>5953</v>
      </c>
      <c r="AE25" s="47"/>
      <c r="AF25" s="47">
        <f>3387+'[1]4-20-26, 2025'!$AA$15</f>
        <v>3717</v>
      </c>
      <c r="AG25" s="38"/>
      <c r="AH25" s="56">
        <v>10</v>
      </c>
    </row>
    <row r="26" spans="1:36" s="4" customFormat="1" ht="100.5" customHeight="1" thickBot="1" x14ac:dyDescent="0.25">
      <c r="A26" s="57">
        <v>45767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103259</v>
      </c>
      <c r="U26" s="59">
        <f>U24-U25</f>
        <v>12006.86046511628</v>
      </c>
      <c r="V26" s="60" t="e">
        <f t="shared" ref="V26:AH26" si="4">V24-V25</f>
        <v>#REF!</v>
      </c>
      <c r="W26" s="59">
        <f t="shared" si="4"/>
        <v>56446.819999999985</v>
      </c>
      <c r="X26" s="60" t="e">
        <f t="shared" si="4"/>
        <v>#REF!</v>
      </c>
      <c r="Y26" s="61">
        <f t="shared" si="4"/>
        <v>38995.829999999987</v>
      </c>
      <c r="Z26" s="58">
        <f t="shared" si="4"/>
        <v>8181</v>
      </c>
      <c r="AA26" s="58">
        <f t="shared" si="4"/>
        <v>285</v>
      </c>
      <c r="AB26" s="60">
        <f t="shared" si="4"/>
        <v>1111</v>
      </c>
      <c r="AC26" s="58">
        <f t="shared" si="4"/>
        <v>50170</v>
      </c>
      <c r="AD26" s="60">
        <f t="shared" si="4"/>
        <v>24156</v>
      </c>
      <c r="AE26" s="60">
        <f t="shared" si="4"/>
        <v>0</v>
      </c>
      <c r="AF26" s="60">
        <f t="shared" si="4"/>
        <v>27684</v>
      </c>
      <c r="AG26" s="58">
        <f t="shared" si="4"/>
        <v>1645</v>
      </c>
      <c r="AH26" s="62">
        <f t="shared" si="4"/>
        <v>218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Z25" sqref="Z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199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45768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92255</v>
      </c>
      <c r="U20" s="34">
        <f>T20/215*25</f>
        <v>10727.325581395347</v>
      </c>
      <c r="V20" s="33" t="e">
        <f>#REF!</f>
        <v>#REF!</v>
      </c>
      <c r="W20" s="33">
        <v>47775</v>
      </c>
      <c r="X20" s="33" t="e">
        <f>#REF!</f>
        <v>#REF!</v>
      </c>
      <c r="Y20" s="35">
        <v>36081</v>
      </c>
      <c r="Z20" s="31">
        <v>6800</v>
      </c>
      <c r="AA20" s="31">
        <v>150</v>
      </c>
      <c r="AB20" s="33">
        <v>0</v>
      </c>
      <c r="AC20" s="31">
        <v>27417</v>
      </c>
      <c r="AD20" s="33">
        <v>15800</v>
      </c>
      <c r="AE20" s="33">
        <v>0</v>
      </c>
      <c r="AF20" s="33">
        <v>19110</v>
      </c>
      <c r="AG20" s="31">
        <v>615</v>
      </c>
      <c r="AH20" s="36">
        <v>110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11004</v>
      </c>
      <c r="U21" s="32">
        <f>T21/215*25</f>
        <v>1279.5348837209301</v>
      </c>
      <c r="V21" s="34"/>
      <c r="W21" s="32">
        <v>8671.8199999999852</v>
      </c>
      <c r="X21" s="34">
        <v>0</v>
      </c>
      <c r="Y21" s="32">
        <v>2914.829999999984</v>
      </c>
      <c r="Z21" s="38">
        <v>1381</v>
      </c>
      <c r="AA21" s="38">
        <v>135</v>
      </c>
      <c r="AB21" s="34">
        <v>1111</v>
      </c>
      <c r="AC21" s="38">
        <v>22753</v>
      </c>
      <c r="AD21" s="34">
        <v>8356</v>
      </c>
      <c r="AE21" s="34"/>
      <c r="AF21" s="34">
        <v>8574</v>
      </c>
      <c r="AG21" s="38">
        <v>1030</v>
      </c>
      <c r="AH21" s="39">
        <v>108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103259</v>
      </c>
      <c r="U22" s="43">
        <f t="shared" si="1"/>
        <v>12006.860465116277</v>
      </c>
      <c r="V22" s="44" t="e">
        <f t="shared" si="1"/>
        <v>#REF!</v>
      </c>
      <c r="W22" s="45">
        <f t="shared" si="1"/>
        <v>56446.819999999985</v>
      </c>
      <c r="X22" s="44" t="e">
        <f t="shared" si="1"/>
        <v>#REF!</v>
      </c>
      <c r="Y22" s="43">
        <f>SUM(Y20:Y21)</f>
        <v>38995.829999999987</v>
      </c>
      <c r="Z22" s="42">
        <f t="shared" si="1"/>
        <v>8181</v>
      </c>
      <c r="AA22" s="42">
        <f t="shared" si="1"/>
        <v>285</v>
      </c>
      <c r="AB22" s="44">
        <f t="shared" si="1"/>
        <v>1111</v>
      </c>
      <c r="AC22" s="42">
        <f t="shared" si="1"/>
        <v>50170</v>
      </c>
      <c r="AD22" s="44">
        <f>SUM(AD20:AD21)</f>
        <v>24156</v>
      </c>
      <c r="AE22" s="44">
        <f t="shared" si="1"/>
        <v>0</v>
      </c>
      <c r="AF22" s="44">
        <f>SUM(AF20:AF21)</f>
        <v>27684</v>
      </c>
      <c r="AG22" s="42">
        <f t="shared" si="1"/>
        <v>1645</v>
      </c>
      <c r="AH22" s="46">
        <f t="shared" si="1"/>
        <v>218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27950</v>
      </c>
      <c r="U23" s="32">
        <f>T23/215*25</f>
        <v>3250</v>
      </c>
      <c r="V23" s="31"/>
      <c r="W23" s="31">
        <v>15000</v>
      </c>
      <c r="X23" s="31"/>
      <c r="Y23" s="31">
        <v>5000</v>
      </c>
      <c r="Z23" s="31">
        <v>2000</v>
      </c>
      <c r="AA23" s="31"/>
      <c r="AB23" s="31"/>
      <c r="AC23" s="31">
        <v>19250</v>
      </c>
      <c r="AD23" s="31">
        <v>9720</v>
      </c>
      <c r="AE23" s="31"/>
      <c r="AF23" s="48">
        <v>13300</v>
      </c>
      <c r="AG23" s="31"/>
      <c r="AH23" s="49">
        <v>50</v>
      </c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131209</v>
      </c>
      <c r="U24" s="52">
        <f t="shared" si="2"/>
        <v>15256.860465116277</v>
      </c>
      <c r="V24" s="51" t="e">
        <f t="shared" si="2"/>
        <v>#REF!</v>
      </c>
      <c r="W24" s="52">
        <f t="shared" si="2"/>
        <v>71446.819999999978</v>
      </c>
      <c r="X24" s="51" t="e">
        <f t="shared" si="2"/>
        <v>#REF!</v>
      </c>
      <c r="Y24" s="52">
        <f t="shared" si="2"/>
        <v>43995.829999999987</v>
      </c>
      <c r="Z24" s="51">
        <f t="shared" si="2"/>
        <v>10181</v>
      </c>
      <c r="AA24" s="51">
        <f t="shared" si="2"/>
        <v>285</v>
      </c>
      <c r="AB24" s="51">
        <f t="shared" si="2"/>
        <v>1111</v>
      </c>
      <c r="AC24" s="51">
        <f t="shared" si="2"/>
        <v>69420</v>
      </c>
      <c r="AD24" s="51">
        <f t="shared" si="2"/>
        <v>33876</v>
      </c>
      <c r="AE24" s="51">
        <f t="shared" si="2"/>
        <v>0</v>
      </c>
      <c r="AF24" s="51">
        <f t="shared" si="2"/>
        <v>40984</v>
      </c>
      <c r="AG24" s="51">
        <f t="shared" si="2"/>
        <v>1645</v>
      </c>
      <c r="AH24" s="53">
        <f t="shared" si="2"/>
        <v>268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22227</v>
      </c>
      <c r="U25" s="32">
        <f>T25/215*25</f>
        <v>2584.5348837209303</v>
      </c>
      <c r="V25" s="47"/>
      <c r="W25" s="35">
        <v>8089.4</v>
      </c>
      <c r="X25" s="47"/>
      <c r="Y25" s="55">
        <v>3188.16</v>
      </c>
      <c r="Z25" s="31">
        <v>1312</v>
      </c>
      <c r="AA25" s="38"/>
      <c r="AB25" s="47"/>
      <c r="AC25" s="38">
        <v>5142</v>
      </c>
      <c r="AD25" s="47">
        <v>7253</v>
      </c>
      <c r="AE25" s="47"/>
      <c r="AF25" s="47">
        <v>4874</v>
      </c>
      <c r="AG25" s="38"/>
      <c r="AH25" s="56">
        <v>10</v>
      </c>
    </row>
    <row r="26" spans="1:36" s="4" customFormat="1" ht="100.5" customHeight="1" thickBot="1" x14ac:dyDescent="0.25">
      <c r="A26" s="57">
        <v>45774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108982</v>
      </c>
      <c r="U26" s="59">
        <f>U24-U25</f>
        <v>12672.325581395347</v>
      </c>
      <c r="V26" s="60" t="e">
        <f t="shared" ref="V26:AH26" si="4">V24-V25</f>
        <v>#REF!</v>
      </c>
      <c r="W26" s="59">
        <f t="shared" si="4"/>
        <v>63357.419999999976</v>
      </c>
      <c r="X26" s="60" t="e">
        <f t="shared" si="4"/>
        <v>#REF!</v>
      </c>
      <c r="Y26" s="61">
        <f t="shared" si="4"/>
        <v>40807.669999999984</v>
      </c>
      <c r="Z26" s="58">
        <f t="shared" si="4"/>
        <v>8869</v>
      </c>
      <c r="AA26" s="58">
        <f t="shared" si="4"/>
        <v>285</v>
      </c>
      <c r="AB26" s="60">
        <f t="shared" si="4"/>
        <v>1111</v>
      </c>
      <c r="AC26" s="58">
        <f t="shared" si="4"/>
        <v>64278</v>
      </c>
      <c r="AD26" s="60">
        <f t="shared" si="4"/>
        <v>26623</v>
      </c>
      <c r="AE26" s="60">
        <f t="shared" si="4"/>
        <v>0</v>
      </c>
      <c r="AF26" s="60">
        <f t="shared" si="4"/>
        <v>36110</v>
      </c>
      <c r="AG26" s="58">
        <f t="shared" si="4"/>
        <v>1645</v>
      </c>
      <c r="AH26" s="62">
        <f t="shared" si="4"/>
        <v>258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2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200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ht="37.5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168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28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45775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105155</v>
      </c>
      <c r="U20" s="34">
        <f>T20/215*25</f>
        <v>12227.325581395347</v>
      </c>
      <c r="V20" s="33" t="e">
        <f>#REF!</f>
        <v>#REF!</v>
      </c>
      <c r="W20" s="33">
        <v>58725</v>
      </c>
      <c r="X20" s="33" t="e">
        <f>#REF!</f>
        <v>#REF!</v>
      </c>
      <c r="Y20" s="35">
        <v>38651</v>
      </c>
      <c r="Z20" s="31">
        <v>7800</v>
      </c>
      <c r="AA20" s="31">
        <v>150</v>
      </c>
      <c r="AB20" s="33">
        <v>0</v>
      </c>
      <c r="AC20" s="31">
        <v>40667</v>
      </c>
      <c r="AD20" s="33">
        <v>25520</v>
      </c>
      <c r="AE20" s="33"/>
      <c r="AF20" s="33">
        <v>29710</v>
      </c>
      <c r="AG20" s="31">
        <v>615</v>
      </c>
      <c r="AH20" s="36">
        <v>130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3827</v>
      </c>
      <c r="U21" s="32">
        <f>T21/215*25</f>
        <v>445</v>
      </c>
      <c r="V21" s="34"/>
      <c r="W21" s="32">
        <v>4632.4199999999846</v>
      </c>
      <c r="X21" s="34">
        <v>0</v>
      </c>
      <c r="Y21" s="32">
        <v>2156.6699999999842</v>
      </c>
      <c r="Z21" s="38">
        <v>1069</v>
      </c>
      <c r="AA21" s="38">
        <v>135</v>
      </c>
      <c r="AB21" s="34">
        <v>1111</v>
      </c>
      <c r="AC21" s="38">
        <v>23611</v>
      </c>
      <c r="AD21" s="34">
        <v>1103</v>
      </c>
      <c r="AE21" s="34"/>
      <c r="AF21" s="34">
        <v>6400</v>
      </c>
      <c r="AG21" s="38">
        <v>1030</v>
      </c>
      <c r="AH21" s="39">
        <v>128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108982</v>
      </c>
      <c r="U22" s="43">
        <f t="shared" si="1"/>
        <v>12672.325581395347</v>
      </c>
      <c r="V22" s="44" t="e">
        <f t="shared" si="1"/>
        <v>#REF!</v>
      </c>
      <c r="W22" s="45">
        <f t="shared" si="1"/>
        <v>63357.419999999984</v>
      </c>
      <c r="X22" s="44" t="e">
        <f t="shared" si="1"/>
        <v>#REF!</v>
      </c>
      <c r="Y22" s="43">
        <f>SUM(Y20:Y21)</f>
        <v>40807.669999999984</v>
      </c>
      <c r="Z22" s="42">
        <f t="shared" si="1"/>
        <v>8869</v>
      </c>
      <c r="AA22" s="42">
        <f t="shared" si="1"/>
        <v>285</v>
      </c>
      <c r="AB22" s="44">
        <f t="shared" si="1"/>
        <v>1111</v>
      </c>
      <c r="AC22" s="42">
        <f t="shared" si="1"/>
        <v>64278</v>
      </c>
      <c r="AD22" s="44">
        <f>SUM(AD20:AD21)</f>
        <v>26623</v>
      </c>
      <c r="AE22" s="44">
        <f t="shared" si="1"/>
        <v>0</v>
      </c>
      <c r="AF22" s="44">
        <f>SUM(AF20:AF21)</f>
        <v>36110</v>
      </c>
      <c r="AG22" s="42">
        <f t="shared" si="1"/>
        <v>1645</v>
      </c>
      <c r="AH22" s="46">
        <f t="shared" si="1"/>
        <v>258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108982</v>
      </c>
      <c r="U24" s="52">
        <f t="shared" si="2"/>
        <v>12672.325581395347</v>
      </c>
      <c r="V24" s="51" t="e">
        <f t="shared" si="2"/>
        <v>#REF!</v>
      </c>
      <c r="W24" s="52">
        <f t="shared" si="2"/>
        <v>63357.419999999984</v>
      </c>
      <c r="X24" s="51" t="e">
        <f t="shared" si="2"/>
        <v>#REF!</v>
      </c>
      <c r="Y24" s="52">
        <f t="shared" si="2"/>
        <v>40807.669999999984</v>
      </c>
      <c r="Z24" s="51">
        <f t="shared" si="2"/>
        <v>8869</v>
      </c>
      <c r="AA24" s="51">
        <f t="shared" si="2"/>
        <v>285</v>
      </c>
      <c r="AB24" s="51">
        <f t="shared" si="2"/>
        <v>1111</v>
      </c>
      <c r="AC24" s="51">
        <f t="shared" si="2"/>
        <v>64278</v>
      </c>
      <c r="AD24" s="51">
        <f t="shared" si="2"/>
        <v>26623</v>
      </c>
      <c r="AE24" s="51">
        <f t="shared" si="2"/>
        <v>0</v>
      </c>
      <c r="AF24" s="51">
        <f t="shared" si="2"/>
        <v>36110</v>
      </c>
      <c r="AG24" s="51">
        <f t="shared" si="2"/>
        <v>1645</v>
      </c>
      <c r="AH24" s="53">
        <f t="shared" si="2"/>
        <v>258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f>16977+'[1]5-4-10, 2025'!$F$15</f>
        <v>17617</v>
      </c>
      <c r="U25" s="32">
        <f>T25/215*25</f>
        <v>2048.4883720930229</v>
      </c>
      <c r="V25" s="47"/>
      <c r="W25" s="35">
        <f>6228.1+'[1]5-4-10, 2025'!$P$15</f>
        <v>6384.9000000000005</v>
      </c>
      <c r="X25" s="47"/>
      <c r="Y25" s="55">
        <f>2515.05+'[1]5-4-10, 2025'!$AE$15</f>
        <v>2612.25</v>
      </c>
      <c r="Z25" s="31">
        <f>1035+'[1]5-4-10, 2025'!$Y$15</f>
        <v>1075</v>
      </c>
      <c r="AA25" s="38"/>
      <c r="AB25" s="47"/>
      <c r="AC25" s="38">
        <v>7587</v>
      </c>
      <c r="AD25" s="47">
        <v>2126</v>
      </c>
      <c r="AE25" s="47"/>
      <c r="AF25" s="47">
        <v>3901</v>
      </c>
      <c r="AG25" s="38"/>
      <c r="AH25" s="56">
        <v>8</v>
      </c>
    </row>
    <row r="26" spans="1:36" s="4" customFormat="1" ht="100.5" customHeight="1" thickBot="1" x14ac:dyDescent="0.25">
      <c r="A26" s="57">
        <v>45781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91365</v>
      </c>
      <c r="U26" s="59">
        <f>U24-U25</f>
        <v>10623.837209302324</v>
      </c>
      <c r="V26" s="60" t="e">
        <f t="shared" ref="V26:AH26" si="4">V24-V25</f>
        <v>#REF!</v>
      </c>
      <c r="W26" s="59">
        <f t="shared" si="4"/>
        <v>56972.519999999982</v>
      </c>
      <c r="X26" s="60" t="e">
        <f t="shared" si="4"/>
        <v>#REF!</v>
      </c>
      <c r="Y26" s="61">
        <f t="shared" si="4"/>
        <v>38195.419999999984</v>
      </c>
      <c r="Z26" s="58">
        <f t="shared" si="4"/>
        <v>7794</v>
      </c>
      <c r="AA26" s="58">
        <f t="shared" si="4"/>
        <v>285</v>
      </c>
      <c r="AB26" s="60">
        <f t="shared" si="4"/>
        <v>1111</v>
      </c>
      <c r="AC26" s="58">
        <f t="shared" si="4"/>
        <v>56691</v>
      </c>
      <c r="AD26" s="60">
        <f t="shared" si="4"/>
        <v>24497</v>
      </c>
      <c r="AE26" s="60">
        <f t="shared" si="4"/>
        <v>0</v>
      </c>
      <c r="AF26" s="60">
        <f t="shared" si="4"/>
        <v>32209</v>
      </c>
      <c r="AG26" s="58">
        <f t="shared" si="4"/>
        <v>1645</v>
      </c>
      <c r="AH26" s="62">
        <f t="shared" si="4"/>
        <v>250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4" zoomScale="70" zoomScaleNormal="70" workbookViewId="0">
      <selection activeCell="AA25" sqref="AA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28515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201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202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203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45782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82655</v>
      </c>
      <c r="U20" s="34">
        <f>T20/215*25</f>
        <v>9611.0465116279065</v>
      </c>
      <c r="V20" s="33" t="e">
        <f>#REF!</f>
        <v>#REF!</v>
      </c>
      <c r="W20" s="33">
        <v>49350</v>
      </c>
      <c r="X20" s="33" t="e">
        <f>#REF!</f>
        <v>#REF!</v>
      </c>
      <c r="Y20" s="35">
        <v>35492</v>
      </c>
      <c r="Z20" s="31">
        <v>6500</v>
      </c>
      <c r="AA20" s="31">
        <v>150</v>
      </c>
      <c r="AB20" s="33">
        <v>0</v>
      </c>
      <c r="AC20" s="31">
        <v>36167</v>
      </c>
      <c r="AD20" s="33">
        <v>14000</v>
      </c>
      <c r="AE20" s="33"/>
      <c r="AF20" s="33">
        <v>18810</v>
      </c>
      <c r="AG20" s="31">
        <v>615</v>
      </c>
      <c r="AH20" s="36">
        <v>130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8710</v>
      </c>
      <c r="U21" s="32">
        <f>T21/215*25</f>
        <v>1012.7906976744185</v>
      </c>
      <c r="V21" s="34"/>
      <c r="W21" s="32">
        <v>7622.5199999999795</v>
      </c>
      <c r="X21" s="34">
        <v>0</v>
      </c>
      <c r="Y21" s="32">
        <v>2703.4199999999842</v>
      </c>
      <c r="Z21" s="38">
        <v>1294</v>
      </c>
      <c r="AA21" s="38">
        <v>135</v>
      </c>
      <c r="AB21" s="34">
        <v>1111</v>
      </c>
      <c r="AC21" s="38">
        <v>20524</v>
      </c>
      <c r="AD21" s="34">
        <v>10497</v>
      </c>
      <c r="AE21" s="34"/>
      <c r="AF21" s="34">
        <v>13399</v>
      </c>
      <c r="AG21" s="38">
        <v>1030</v>
      </c>
      <c r="AH21" s="39">
        <v>120</v>
      </c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91365</v>
      </c>
      <c r="U22" s="43">
        <f t="shared" si="1"/>
        <v>10623.837209302324</v>
      </c>
      <c r="V22" s="44" t="e">
        <f t="shared" si="1"/>
        <v>#REF!</v>
      </c>
      <c r="W22" s="45">
        <f t="shared" si="1"/>
        <v>56972.519999999982</v>
      </c>
      <c r="X22" s="44" t="e">
        <f t="shared" si="1"/>
        <v>#REF!</v>
      </c>
      <c r="Y22" s="43">
        <f>SUM(Y20:Y21)</f>
        <v>38195.419999999984</v>
      </c>
      <c r="Z22" s="42">
        <f t="shared" si="1"/>
        <v>7794</v>
      </c>
      <c r="AA22" s="42">
        <f t="shared" si="1"/>
        <v>285</v>
      </c>
      <c r="AB22" s="44">
        <f t="shared" si="1"/>
        <v>1111</v>
      </c>
      <c r="AC22" s="42">
        <f t="shared" si="1"/>
        <v>56691</v>
      </c>
      <c r="AD22" s="44">
        <f>SUM(AD20:AD21)</f>
        <v>24497</v>
      </c>
      <c r="AE22" s="44">
        <f t="shared" si="1"/>
        <v>0</v>
      </c>
      <c r="AF22" s="44">
        <f>SUM(AF20:AF21)</f>
        <v>32209</v>
      </c>
      <c r="AG22" s="42">
        <f t="shared" si="1"/>
        <v>1645</v>
      </c>
      <c r="AH22" s="46">
        <f t="shared" si="1"/>
        <v>250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12500</v>
      </c>
      <c r="X23" s="31"/>
      <c r="Y23" s="31">
        <v>3000</v>
      </c>
      <c r="Z23" s="31">
        <v>2000</v>
      </c>
      <c r="AA23" s="31"/>
      <c r="AB23" s="31"/>
      <c r="AC23" s="31">
        <v>11500</v>
      </c>
      <c r="AD23" s="31">
        <v>3240</v>
      </c>
      <c r="AE23" s="31">
        <v>20000</v>
      </c>
      <c r="AF23" s="48">
        <v>5700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112865</v>
      </c>
      <c r="U24" s="52">
        <f t="shared" si="2"/>
        <v>13123.837209302324</v>
      </c>
      <c r="V24" s="51" t="e">
        <f t="shared" si="2"/>
        <v>#REF!</v>
      </c>
      <c r="W24" s="52">
        <f t="shared" si="2"/>
        <v>69472.51999999999</v>
      </c>
      <c r="X24" s="51" t="e">
        <f t="shared" si="2"/>
        <v>#REF!</v>
      </c>
      <c r="Y24" s="52">
        <f t="shared" si="2"/>
        <v>41195.419999999984</v>
      </c>
      <c r="Z24" s="51">
        <f t="shared" si="2"/>
        <v>9794</v>
      </c>
      <c r="AA24" s="51">
        <f t="shared" si="2"/>
        <v>285</v>
      </c>
      <c r="AB24" s="51">
        <f t="shared" si="2"/>
        <v>1111</v>
      </c>
      <c r="AC24" s="51">
        <f t="shared" si="2"/>
        <v>68191</v>
      </c>
      <c r="AD24" s="51">
        <f t="shared" si="2"/>
        <v>27737</v>
      </c>
      <c r="AE24" s="51">
        <f t="shared" si="2"/>
        <v>20000</v>
      </c>
      <c r="AF24" s="51">
        <f t="shared" si="2"/>
        <v>37909</v>
      </c>
      <c r="AG24" s="51">
        <f t="shared" si="2"/>
        <v>1645</v>
      </c>
      <c r="AH24" s="53">
        <f t="shared" si="2"/>
        <v>250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19139</v>
      </c>
      <c r="U25" s="32">
        <f>T25/215*25</f>
        <v>2225.4651162790697</v>
      </c>
      <c r="V25" s="47"/>
      <c r="W25" s="35">
        <v>7334.4000000000005</v>
      </c>
      <c r="X25" s="47"/>
      <c r="Y25" s="55">
        <v>3107.97</v>
      </c>
      <c r="Z25" s="31">
        <v>1279</v>
      </c>
      <c r="AA25" s="38"/>
      <c r="AB25" s="47"/>
      <c r="AC25" s="38">
        <v>5536</v>
      </c>
      <c r="AD25" s="47">
        <v>5394</v>
      </c>
      <c r="AE25" s="47"/>
      <c r="AF25" s="47">
        <v>4428</v>
      </c>
      <c r="AG25" s="38"/>
      <c r="AH25" s="56">
        <v>6</v>
      </c>
    </row>
    <row r="26" spans="1:36" s="4" customFormat="1" ht="100.5" customHeight="1" thickBot="1" x14ac:dyDescent="0.25">
      <c r="A26" s="57">
        <v>45788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93726</v>
      </c>
      <c r="U26" s="59">
        <f>U24-U25</f>
        <v>10898.372093023256</v>
      </c>
      <c r="V26" s="60" t="e">
        <f t="shared" ref="V26:AH26" si="4">V24-V25</f>
        <v>#REF!</v>
      </c>
      <c r="W26" s="59">
        <f t="shared" si="4"/>
        <v>62138.119999999988</v>
      </c>
      <c r="X26" s="60" t="e">
        <f t="shared" si="4"/>
        <v>#REF!</v>
      </c>
      <c r="Y26" s="61">
        <f t="shared" si="4"/>
        <v>38087.449999999983</v>
      </c>
      <c r="Z26" s="58">
        <f t="shared" si="4"/>
        <v>8515</v>
      </c>
      <c r="AA26" s="58">
        <f t="shared" si="4"/>
        <v>285</v>
      </c>
      <c r="AB26" s="60">
        <f t="shared" si="4"/>
        <v>1111</v>
      </c>
      <c r="AC26" s="58">
        <f t="shared" si="4"/>
        <v>62655</v>
      </c>
      <c r="AD26" s="60">
        <f t="shared" si="4"/>
        <v>22343</v>
      </c>
      <c r="AE26" s="60">
        <f t="shared" si="4"/>
        <v>20000</v>
      </c>
      <c r="AF26" s="60">
        <f t="shared" si="4"/>
        <v>33481</v>
      </c>
      <c r="AG26" s="58">
        <f t="shared" si="4"/>
        <v>1645</v>
      </c>
      <c r="AH26" s="62">
        <f t="shared" si="4"/>
        <v>244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0" zoomScale="70" zoomScaleNormal="70" workbookViewId="0">
      <selection activeCell="Y25" sqref="Y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28515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204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202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203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45789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77405</v>
      </c>
      <c r="U20" s="34">
        <f>T20/215*25</f>
        <v>9000.5813953488378</v>
      </c>
      <c r="V20" s="33" t="e">
        <f>#REF!</f>
        <v>#REF!</v>
      </c>
      <c r="W20" s="33">
        <v>56850</v>
      </c>
      <c r="X20" s="33" t="e">
        <f>#REF!</f>
        <v>#REF!</v>
      </c>
      <c r="Y20" s="35">
        <v>36000</v>
      </c>
      <c r="Z20" s="31">
        <v>7050</v>
      </c>
      <c r="AA20" s="31">
        <v>150</v>
      </c>
      <c r="AB20" s="33">
        <v>0</v>
      </c>
      <c r="AC20" s="31">
        <v>39167</v>
      </c>
      <c r="AD20" s="33">
        <v>17240</v>
      </c>
      <c r="AE20" s="33">
        <v>20000</v>
      </c>
      <c r="AF20" s="33">
        <v>22710</v>
      </c>
      <c r="AG20" s="31">
        <v>615</v>
      </c>
      <c r="AH20" s="36">
        <v>130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f>321+16000</f>
        <v>16321</v>
      </c>
      <c r="U21" s="32">
        <f>T21/215*25</f>
        <v>1897.7906976744187</v>
      </c>
      <c r="V21" s="34"/>
      <c r="W21" s="32">
        <v>5288.1199999999799</v>
      </c>
      <c r="X21" s="34">
        <v>0</v>
      </c>
      <c r="Y21" s="32">
        <v>2087.4499999999998</v>
      </c>
      <c r="Z21" s="38">
        <v>1465</v>
      </c>
      <c r="AA21" s="38">
        <v>135</v>
      </c>
      <c r="AB21" s="34">
        <v>1111</v>
      </c>
      <c r="AC21" s="38">
        <v>23488</v>
      </c>
      <c r="AD21" s="34">
        <v>5103</v>
      </c>
      <c r="AE21" s="34"/>
      <c r="AF21" s="34">
        <v>10771</v>
      </c>
      <c r="AG21" s="38">
        <v>1030</v>
      </c>
      <c r="AH21" s="39">
        <v>114</v>
      </c>
      <c r="AI21" s="40"/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93726</v>
      </c>
      <c r="U22" s="43">
        <f t="shared" si="1"/>
        <v>10898.372093023256</v>
      </c>
      <c r="V22" s="44" t="e">
        <f t="shared" si="1"/>
        <v>#REF!</v>
      </c>
      <c r="W22" s="45">
        <f t="shared" si="1"/>
        <v>62138.119999999981</v>
      </c>
      <c r="X22" s="44" t="e">
        <f t="shared" si="1"/>
        <v>#REF!</v>
      </c>
      <c r="Y22" s="43">
        <f>SUM(Y20:Y21)</f>
        <v>38087.449999999997</v>
      </c>
      <c r="Z22" s="42">
        <f t="shared" si="1"/>
        <v>8515</v>
      </c>
      <c r="AA22" s="42">
        <f t="shared" si="1"/>
        <v>285</v>
      </c>
      <c r="AB22" s="44">
        <f t="shared" si="1"/>
        <v>1111</v>
      </c>
      <c r="AC22" s="42">
        <f t="shared" si="1"/>
        <v>62655</v>
      </c>
      <c r="AD22" s="44">
        <f>SUM(AD20:AD21)</f>
        <v>22343</v>
      </c>
      <c r="AE22" s="44">
        <f t="shared" si="1"/>
        <v>20000</v>
      </c>
      <c r="AF22" s="44">
        <f>SUM(AF20:AF21)</f>
        <v>33481</v>
      </c>
      <c r="AG22" s="42">
        <f t="shared" si="1"/>
        <v>1645</v>
      </c>
      <c r="AH22" s="46">
        <f t="shared" si="1"/>
        <v>244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93726</v>
      </c>
      <c r="U24" s="52">
        <f t="shared" si="2"/>
        <v>10898.372093023256</v>
      </c>
      <c r="V24" s="51" t="e">
        <f t="shared" si="2"/>
        <v>#REF!</v>
      </c>
      <c r="W24" s="52">
        <f t="shared" si="2"/>
        <v>62138.119999999981</v>
      </c>
      <c r="X24" s="51" t="e">
        <f t="shared" si="2"/>
        <v>#REF!</v>
      </c>
      <c r="Y24" s="52">
        <f t="shared" si="2"/>
        <v>38087.449999999997</v>
      </c>
      <c r="Z24" s="51">
        <f t="shared" si="2"/>
        <v>8515</v>
      </c>
      <c r="AA24" s="51">
        <f t="shared" si="2"/>
        <v>285</v>
      </c>
      <c r="AB24" s="51">
        <f t="shared" si="2"/>
        <v>1111</v>
      </c>
      <c r="AC24" s="51">
        <f t="shared" si="2"/>
        <v>62655</v>
      </c>
      <c r="AD24" s="51">
        <f t="shared" si="2"/>
        <v>22343</v>
      </c>
      <c r="AE24" s="51">
        <f t="shared" si="2"/>
        <v>20000</v>
      </c>
      <c r="AF24" s="51">
        <f t="shared" si="2"/>
        <v>33481</v>
      </c>
      <c r="AG24" s="51">
        <f t="shared" si="2"/>
        <v>1645</v>
      </c>
      <c r="AH24" s="53">
        <f t="shared" si="2"/>
        <v>244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15455</v>
      </c>
      <c r="U25" s="32">
        <f>T25/215*25</f>
        <v>1797.0930232558139</v>
      </c>
      <c r="V25" s="47"/>
      <c r="W25" s="35">
        <v>5327</v>
      </c>
      <c r="X25" s="47"/>
      <c r="Y25" s="55">
        <v>2194.29</v>
      </c>
      <c r="Z25" s="31">
        <v>903</v>
      </c>
      <c r="AA25" s="38"/>
      <c r="AB25" s="47"/>
      <c r="AC25" s="38">
        <v>3914</v>
      </c>
      <c r="AD25" s="47">
        <v>4346</v>
      </c>
      <c r="AE25" s="47"/>
      <c r="AF25" s="47">
        <v>3335</v>
      </c>
      <c r="AG25" s="38"/>
      <c r="AH25" s="56"/>
    </row>
    <row r="26" spans="1:36" s="4" customFormat="1" ht="100.5" customHeight="1" thickBot="1" x14ac:dyDescent="0.25">
      <c r="A26" s="57">
        <v>45795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78271</v>
      </c>
      <c r="U26" s="59">
        <f>U24-U25</f>
        <v>9101.2790697674427</v>
      </c>
      <c r="V26" s="60" t="e">
        <f t="shared" ref="V26:AH26" si="4">V24-V25</f>
        <v>#REF!</v>
      </c>
      <c r="W26" s="59">
        <f t="shared" si="4"/>
        <v>56811.119999999981</v>
      </c>
      <c r="X26" s="60" t="e">
        <f t="shared" si="4"/>
        <v>#REF!</v>
      </c>
      <c r="Y26" s="61">
        <f t="shared" si="4"/>
        <v>35893.159999999996</v>
      </c>
      <c r="Z26" s="58">
        <f t="shared" si="4"/>
        <v>7612</v>
      </c>
      <c r="AA26" s="58">
        <f t="shared" si="4"/>
        <v>285</v>
      </c>
      <c r="AB26" s="60">
        <f t="shared" si="4"/>
        <v>1111</v>
      </c>
      <c r="AC26" s="58">
        <f t="shared" si="4"/>
        <v>58741</v>
      </c>
      <c r="AD26" s="60">
        <f t="shared" si="4"/>
        <v>17997</v>
      </c>
      <c r="AE26" s="60">
        <f t="shared" si="4"/>
        <v>20000</v>
      </c>
      <c r="AF26" s="60">
        <f t="shared" si="4"/>
        <v>30146</v>
      </c>
      <c r="AG26" s="58">
        <f t="shared" si="4"/>
        <v>1645</v>
      </c>
      <c r="AH26" s="62">
        <f t="shared" si="4"/>
        <v>244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67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4" zoomScale="70" zoomScaleNormal="70" workbookViewId="0">
      <selection activeCell="AA24" sqref="AA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28515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205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202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203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45796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55355</v>
      </c>
      <c r="U20" s="34">
        <f>T20/215*25</f>
        <v>6436.6279069767443</v>
      </c>
      <c r="V20" s="33" t="e">
        <f>#REF!</f>
        <v>#REF!</v>
      </c>
      <c r="W20" s="33">
        <v>47975</v>
      </c>
      <c r="X20" s="33" t="e">
        <f>#REF!</f>
        <v>#REF!</v>
      </c>
      <c r="Y20" s="35">
        <v>32570</v>
      </c>
      <c r="Z20" s="31">
        <v>6050</v>
      </c>
      <c r="AA20" s="31">
        <v>150</v>
      </c>
      <c r="AB20" s="33">
        <v>0</v>
      </c>
      <c r="AC20" s="31">
        <v>22167</v>
      </c>
      <c r="AD20" s="33">
        <v>14520</v>
      </c>
      <c r="AE20" s="33">
        <v>20000</v>
      </c>
      <c r="AF20" s="33">
        <v>19710</v>
      </c>
      <c r="AG20" s="31">
        <v>615</v>
      </c>
      <c r="AH20" s="36">
        <v>130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22916</v>
      </c>
      <c r="U21" s="32">
        <f>T21/215*25</f>
        <v>2664.651162790698</v>
      </c>
      <c r="V21" s="34"/>
      <c r="W21" s="32">
        <v>8836.1200000000008</v>
      </c>
      <c r="X21" s="34">
        <v>0</v>
      </c>
      <c r="Y21" s="32">
        <v>3323.16</v>
      </c>
      <c r="Z21" s="38">
        <v>1562</v>
      </c>
      <c r="AA21" s="38">
        <v>135</v>
      </c>
      <c r="AB21" s="34">
        <v>1111</v>
      </c>
      <c r="AC21" s="38">
        <v>36574</v>
      </c>
      <c r="AD21" s="34">
        <v>3477</v>
      </c>
      <c r="AE21" s="34"/>
      <c r="AF21" s="34">
        <v>10436</v>
      </c>
      <c r="AG21" s="38">
        <v>1030</v>
      </c>
      <c r="AH21" s="39">
        <v>114</v>
      </c>
      <c r="AI21" s="40"/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78271</v>
      </c>
      <c r="U22" s="43">
        <f t="shared" si="1"/>
        <v>9101.2790697674427</v>
      </c>
      <c r="V22" s="44" t="e">
        <f t="shared" si="1"/>
        <v>#REF!</v>
      </c>
      <c r="W22" s="45">
        <f t="shared" si="1"/>
        <v>56811.12</v>
      </c>
      <c r="X22" s="44" t="e">
        <f t="shared" si="1"/>
        <v>#REF!</v>
      </c>
      <c r="Y22" s="43">
        <f>SUM(Y20:Y21)</f>
        <v>35893.160000000003</v>
      </c>
      <c r="Z22" s="42">
        <f t="shared" si="1"/>
        <v>7612</v>
      </c>
      <c r="AA22" s="42">
        <f t="shared" si="1"/>
        <v>285</v>
      </c>
      <c r="AB22" s="44">
        <f t="shared" si="1"/>
        <v>1111</v>
      </c>
      <c r="AC22" s="42">
        <f t="shared" si="1"/>
        <v>58741</v>
      </c>
      <c r="AD22" s="44">
        <f>SUM(AD20:AD21)</f>
        <v>17997</v>
      </c>
      <c r="AE22" s="44">
        <f t="shared" si="1"/>
        <v>20000</v>
      </c>
      <c r="AF22" s="44">
        <f>SUM(AF20:AF21)</f>
        <v>30146</v>
      </c>
      <c r="AG22" s="42">
        <f t="shared" si="1"/>
        <v>1645</v>
      </c>
      <c r="AH22" s="46">
        <f t="shared" si="1"/>
        <v>244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32250</v>
      </c>
      <c r="U23" s="32">
        <f>T23/215*25</f>
        <v>3750</v>
      </c>
      <c r="V23" s="31"/>
      <c r="W23" s="31">
        <v>10000</v>
      </c>
      <c r="X23" s="31"/>
      <c r="Y23" s="31">
        <v>3000</v>
      </c>
      <c r="Z23" s="31">
        <v>2000</v>
      </c>
      <c r="AA23" s="31"/>
      <c r="AB23" s="31"/>
      <c r="AC23" s="31">
        <v>22750</v>
      </c>
      <c r="AD23" s="31">
        <v>720</v>
      </c>
      <c r="AE23" s="31"/>
      <c r="AF23" s="48">
        <v>3800</v>
      </c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110521</v>
      </c>
      <c r="U24" s="52">
        <f t="shared" si="2"/>
        <v>12851.279069767443</v>
      </c>
      <c r="V24" s="51" t="e">
        <f t="shared" si="2"/>
        <v>#REF!</v>
      </c>
      <c r="W24" s="52">
        <f t="shared" si="2"/>
        <v>66811.12</v>
      </c>
      <c r="X24" s="51" t="e">
        <f t="shared" si="2"/>
        <v>#REF!</v>
      </c>
      <c r="Y24" s="52">
        <f t="shared" si="2"/>
        <v>38893.160000000003</v>
      </c>
      <c r="Z24" s="51">
        <f t="shared" si="2"/>
        <v>9612</v>
      </c>
      <c r="AA24" s="51">
        <f t="shared" si="2"/>
        <v>285</v>
      </c>
      <c r="AB24" s="51">
        <f t="shared" si="2"/>
        <v>1111</v>
      </c>
      <c r="AC24" s="51">
        <f t="shared" si="2"/>
        <v>81491</v>
      </c>
      <c r="AD24" s="51">
        <f t="shared" si="2"/>
        <v>18717</v>
      </c>
      <c r="AE24" s="51">
        <f t="shared" si="2"/>
        <v>20000</v>
      </c>
      <c r="AF24" s="51">
        <f t="shared" si="2"/>
        <v>33946</v>
      </c>
      <c r="AG24" s="51">
        <f t="shared" si="2"/>
        <v>1645</v>
      </c>
      <c r="AH24" s="53">
        <f t="shared" si="2"/>
        <v>244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22158</v>
      </c>
      <c r="U25" s="32">
        <f>T25/215*25</f>
        <v>2576.5116279069771</v>
      </c>
      <c r="V25" s="47"/>
      <c r="W25" s="35">
        <v>8101.4</v>
      </c>
      <c r="X25" s="47"/>
      <c r="Y25" s="55">
        <v>3292.6500000000005</v>
      </c>
      <c r="Z25" s="31">
        <v>1355</v>
      </c>
      <c r="AA25" s="38"/>
      <c r="AB25" s="47"/>
      <c r="AC25" s="38">
        <v>9881</v>
      </c>
      <c r="AD25" s="47">
        <v>2357</v>
      </c>
      <c r="AE25" s="47"/>
      <c r="AF25" s="47">
        <v>4810</v>
      </c>
      <c r="AG25" s="38"/>
      <c r="AH25" s="56"/>
    </row>
    <row r="26" spans="1:36" s="4" customFormat="1" ht="100.5" customHeight="1" thickBot="1" x14ac:dyDescent="0.25">
      <c r="A26" s="57">
        <v>45802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88363</v>
      </c>
      <c r="U26" s="59">
        <f>U24-U25</f>
        <v>10274.767441860466</v>
      </c>
      <c r="V26" s="60" t="e">
        <f t="shared" ref="V26:AH26" si="4">V24-V25</f>
        <v>#REF!</v>
      </c>
      <c r="W26" s="59">
        <f t="shared" si="4"/>
        <v>58709.719999999994</v>
      </c>
      <c r="X26" s="60" t="e">
        <f t="shared" si="4"/>
        <v>#REF!</v>
      </c>
      <c r="Y26" s="61">
        <f t="shared" si="4"/>
        <v>35600.51</v>
      </c>
      <c r="Z26" s="58">
        <f t="shared" si="4"/>
        <v>8257</v>
      </c>
      <c r="AA26" s="58">
        <f t="shared" si="4"/>
        <v>285</v>
      </c>
      <c r="AB26" s="60">
        <f t="shared" si="4"/>
        <v>1111</v>
      </c>
      <c r="AC26" s="58">
        <f t="shared" si="4"/>
        <v>71610</v>
      </c>
      <c r="AD26" s="60">
        <f t="shared" si="4"/>
        <v>16360</v>
      </c>
      <c r="AE26" s="60">
        <f t="shared" si="4"/>
        <v>20000</v>
      </c>
      <c r="AF26" s="60">
        <f t="shared" si="4"/>
        <v>29136</v>
      </c>
      <c r="AG26" s="58">
        <f t="shared" si="4"/>
        <v>1645</v>
      </c>
      <c r="AH26" s="62">
        <f t="shared" si="4"/>
        <v>244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13" zoomScale="70" zoomScaleNormal="70" workbookViewId="0">
      <selection activeCell="AB33" sqref="AB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28515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5" width="14.28515625" style="1" bestFit="1" customWidth="1"/>
    <col min="36" max="36" width="10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206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202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203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45803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68005</v>
      </c>
      <c r="U20" s="34">
        <f>T20/215*25</f>
        <v>7907.5581395348836</v>
      </c>
      <c r="V20" s="33" t="e">
        <f>#REF!</f>
        <v>#REF!</v>
      </c>
      <c r="W20" s="33">
        <v>50225</v>
      </c>
      <c r="X20" s="33" t="e">
        <f>#REF!</f>
        <v>#REF!</v>
      </c>
      <c r="Y20" s="35">
        <v>30504</v>
      </c>
      <c r="Z20" s="31">
        <v>7000</v>
      </c>
      <c r="AA20" s="31">
        <v>150</v>
      </c>
      <c r="AB20" s="33">
        <v>0</v>
      </c>
      <c r="AC20" s="31">
        <v>38417</v>
      </c>
      <c r="AD20" s="33">
        <v>15240</v>
      </c>
      <c r="AE20" s="33">
        <v>20000</v>
      </c>
      <c r="AF20" s="33">
        <v>19010</v>
      </c>
      <c r="AG20" s="31">
        <v>615</v>
      </c>
      <c r="AH20" s="36">
        <v>130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20358</v>
      </c>
      <c r="U21" s="32">
        <f>T21/215*25</f>
        <v>2367.2093023255816</v>
      </c>
      <c r="V21" s="34"/>
      <c r="W21" s="32">
        <v>8484.7199999999993</v>
      </c>
      <c r="X21" s="34">
        <v>0</v>
      </c>
      <c r="Y21" s="32">
        <v>5096.51</v>
      </c>
      <c r="Z21" s="38">
        <v>1257</v>
      </c>
      <c r="AA21" s="38">
        <v>135</v>
      </c>
      <c r="AB21" s="34">
        <v>1111</v>
      </c>
      <c r="AC21" s="38">
        <v>33193</v>
      </c>
      <c r="AD21" s="34">
        <v>1120</v>
      </c>
      <c r="AE21" s="34"/>
      <c r="AF21" s="34">
        <v>10126</v>
      </c>
      <c r="AG21" s="38">
        <v>1030</v>
      </c>
      <c r="AH21" s="39">
        <v>114</v>
      </c>
      <c r="AI21" s="40"/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88363</v>
      </c>
      <c r="U22" s="43">
        <f t="shared" si="1"/>
        <v>10274.767441860466</v>
      </c>
      <c r="V22" s="44" t="e">
        <f t="shared" si="1"/>
        <v>#REF!</v>
      </c>
      <c r="W22" s="45">
        <f t="shared" si="1"/>
        <v>58709.72</v>
      </c>
      <c r="X22" s="44" t="e">
        <f t="shared" si="1"/>
        <v>#REF!</v>
      </c>
      <c r="Y22" s="43">
        <f>SUM(Y20:Y21)</f>
        <v>35600.51</v>
      </c>
      <c r="Z22" s="42">
        <f t="shared" si="1"/>
        <v>8257</v>
      </c>
      <c r="AA22" s="42">
        <f t="shared" si="1"/>
        <v>285</v>
      </c>
      <c r="AB22" s="44">
        <f t="shared" si="1"/>
        <v>1111</v>
      </c>
      <c r="AC22" s="42">
        <f t="shared" si="1"/>
        <v>71610</v>
      </c>
      <c r="AD22" s="44">
        <f>SUM(AD20:AD21)</f>
        <v>16360</v>
      </c>
      <c r="AE22" s="44">
        <f t="shared" si="1"/>
        <v>20000</v>
      </c>
      <c r="AF22" s="44">
        <f>SUM(AF20:AF21)</f>
        <v>29136</v>
      </c>
      <c r="AG22" s="42">
        <f t="shared" si="1"/>
        <v>1645</v>
      </c>
      <c r="AH22" s="46">
        <f t="shared" si="1"/>
        <v>244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88363</v>
      </c>
      <c r="U24" s="52">
        <f t="shared" si="2"/>
        <v>10274.767441860466</v>
      </c>
      <c r="V24" s="51" t="e">
        <f t="shared" si="2"/>
        <v>#REF!</v>
      </c>
      <c r="W24" s="52">
        <f t="shared" si="2"/>
        <v>58709.72</v>
      </c>
      <c r="X24" s="51" t="e">
        <f t="shared" si="2"/>
        <v>#REF!</v>
      </c>
      <c r="Y24" s="52">
        <f t="shared" si="2"/>
        <v>35600.51</v>
      </c>
      <c r="Z24" s="51">
        <f t="shared" si="2"/>
        <v>8257</v>
      </c>
      <c r="AA24" s="51">
        <f t="shared" si="2"/>
        <v>285</v>
      </c>
      <c r="AB24" s="51">
        <f t="shared" si="2"/>
        <v>1111</v>
      </c>
      <c r="AC24" s="51">
        <f t="shared" si="2"/>
        <v>71610</v>
      </c>
      <c r="AD24" s="51">
        <f t="shared" si="2"/>
        <v>16360</v>
      </c>
      <c r="AE24" s="51">
        <f t="shared" si="2"/>
        <v>20000</v>
      </c>
      <c r="AF24" s="51">
        <f t="shared" si="2"/>
        <v>29136</v>
      </c>
      <c r="AG24" s="51">
        <f t="shared" si="2"/>
        <v>1645</v>
      </c>
      <c r="AH24" s="53">
        <f t="shared" si="2"/>
        <v>244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19390</v>
      </c>
      <c r="U25" s="32">
        <f>T25/215*25</f>
        <v>2254.6511627906975</v>
      </c>
      <c r="V25" s="47"/>
      <c r="W25" s="35">
        <v>7323.1999999999989</v>
      </c>
      <c r="X25" s="47"/>
      <c r="Y25" s="55">
        <v>2884.4100000000003</v>
      </c>
      <c r="Z25" s="31">
        <v>1187</v>
      </c>
      <c r="AA25" s="38">
        <v>1</v>
      </c>
      <c r="AB25" s="47"/>
      <c r="AC25" s="38">
        <v>10883</v>
      </c>
      <c r="AD25" s="47"/>
      <c r="AE25" s="47"/>
      <c r="AF25" s="47">
        <v>4547</v>
      </c>
      <c r="AG25" s="38"/>
      <c r="AH25" s="56">
        <v>2</v>
      </c>
    </row>
    <row r="26" spans="1:36" s="4" customFormat="1" ht="100.5" customHeight="1" thickBot="1" x14ac:dyDescent="0.25">
      <c r="A26" s="57">
        <v>45809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68973</v>
      </c>
      <c r="U26" s="59">
        <f>U24-U25</f>
        <v>8020.1162790697681</v>
      </c>
      <c r="V26" s="60" t="e">
        <f t="shared" ref="V26:AH26" si="4">V24-V25</f>
        <v>#REF!</v>
      </c>
      <c r="W26" s="59">
        <f t="shared" si="4"/>
        <v>51386.520000000004</v>
      </c>
      <c r="X26" s="60" t="e">
        <f t="shared" si="4"/>
        <v>#REF!</v>
      </c>
      <c r="Y26" s="61">
        <f t="shared" si="4"/>
        <v>32716.100000000002</v>
      </c>
      <c r="Z26" s="58">
        <f t="shared" si="4"/>
        <v>7070</v>
      </c>
      <c r="AA26" s="58">
        <f t="shared" si="4"/>
        <v>284</v>
      </c>
      <c r="AB26" s="60">
        <f t="shared" si="4"/>
        <v>1111</v>
      </c>
      <c r="AC26" s="58">
        <f t="shared" si="4"/>
        <v>60727</v>
      </c>
      <c r="AD26" s="60">
        <f t="shared" si="4"/>
        <v>16360</v>
      </c>
      <c r="AE26" s="60">
        <f t="shared" si="4"/>
        <v>20000</v>
      </c>
      <c r="AF26" s="60">
        <f t="shared" si="4"/>
        <v>24589</v>
      </c>
      <c r="AG26" s="58">
        <f t="shared" si="4"/>
        <v>1645</v>
      </c>
      <c r="AH26" s="62">
        <f t="shared" si="4"/>
        <v>242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50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56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60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J53"/>
  <sheetViews>
    <sheetView topLeftCell="A8" zoomScale="70" zoomScaleNormal="70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28515625" style="1" customWidth="1"/>
    <col min="32" max="32" width="15.140625" style="1" bestFit="1" customWidth="1"/>
    <col min="33" max="33" width="12.42578125" style="1" bestFit="1" customWidth="1"/>
    <col min="34" max="34" width="9.140625" style="1" bestFit="1" customWidth="1"/>
    <col min="35" max="36" width="14.28515625" style="1" bestFit="1" customWidth="1"/>
    <col min="37" max="37" width="9.140625" style="1"/>
    <col min="38" max="38" width="10.7109375" style="1" bestFit="1" customWidth="1"/>
    <col min="39" max="16384" width="9.140625" style="1"/>
  </cols>
  <sheetData>
    <row r="10" spans="1:35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</row>
    <row r="11" spans="1:35" ht="34.5" x14ac:dyDescent="0.45">
      <c r="A11" s="190" t="s">
        <v>207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2.5" thickBot="1" x14ac:dyDescent="0.35"/>
    <row r="14" spans="1:35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4"/>
      <c r="AF14" s="205"/>
      <c r="AG14" s="212" t="s">
        <v>6</v>
      </c>
      <c r="AH14" s="213"/>
    </row>
    <row r="15" spans="1:35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7"/>
      <c r="AF15" s="208"/>
      <c r="AG15" s="214"/>
      <c r="AH15" s="215"/>
    </row>
    <row r="16" spans="1:35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92" t="s">
        <v>202</v>
      </c>
      <c r="AF16" s="10" t="s">
        <v>20</v>
      </c>
      <c r="AG16" s="12" t="s">
        <v>21</v>
      </c>
      <c r="AH16" s="13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8" t="s">
        <v>203</v>
      </c>
      <c r="AF17" s="19" t="s">
        <v>158</v>
      </c>
      <c r="AG17" s="19"/>
      <c r="AH17" s="19"/>
    </row>
    <row r="18" spans="1:36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21"/>
      <c r="AF18" s="16"/>
      <c r="AG18" s="16"/>
      <c r="AH18" s="16"/>
    </row>
    <row r="19" spans="1:36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9" t="s">
        <v>34</v>
      </c>
      <c r="AF19" s="27" t="s">
        <v>36</v>
      </c>
      <c r="AG19" s="27" t="s">
        <v>36</v>
      </c>
      <c r="AH19" s="27" t="s">
        <v>34</v>
      </c>
    </row>
    <row r="20" spans="1:36" ht="54" customHeight="1" x14ac:dyDescent="0.3">
      <c r="A20" s="165">
        <v>45810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47180</v>
      </c>
      <c r="U20" s="34">
        <f>T20/215*25</f>
        <v>5486.0465116279074</v>
      </c>
      <c r="V20" s="33" t="e">
        <f>#REF!</f>
        <v>#REF!</v>
      </c>
      <c r="W20" s="33">
        <v>42100</v>
      </c>
      <c r="X20" s="33" t="e">
        <f>#REF!</f>
        <v>#REF!</v>
      </c>
      <c r="Y20" s="35">
        <v>26494</v>
      </c>
      <c r="Z20" s="31">
        <v>5350</v>
      </c>
      <c r="AA20" s="31">
        <v>150</v>
      </c>
      <c r="AB20" s="33">
        <v>0</v>
      </c>
      <c r="AC20" s="31">
        <v>28167</v>
      </c>
      <c r="AD20" s="33">
        <v>15240</v>
      </c>
      <c r="AE20" s="33"/>
      <c r="AF20" s="33">
        <v>14010</v>
      </c>
      <c r="AG20" s="31">
        <v>615</v>
      </c>
      <c r="AH20" s="36">
        <v>120</v>
      </c>
      <c r="AI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21793</v>
      </c>
      <c r="U21" s="32">
        <f>T21/215*25</f>
        <v>2534.0697674418602</v>
      </c>
      <c r="V21" s="34"/>
      <c r="W21" s="32">
        <v>9286.5199999999986</v>
      </c>
      <c r="X21" s="34">
        <v>0</v>
      </c>
      <c r="Y21" s="32">
        <v>6222.1</v>
      </c>
      <c r="Z21" s="38">
        <v>1720</v>
      </c>
      <c r="AA21" s="38">
        <v>134</v>
      </c>
      <c r="AB21" s="34">
        <v>1111</v>
      </c>
      <c r="AC21" s="38">
        <v>32560</v>
      </c>
      <c r="AD21" s="34">
        <v>1120</v>
      </c>
      <c r="AE21" s="34">
        <v>20000</v>
      </c>
      <c r="AF21" s="34">
        <v>10579</v>
      </c>
      <c r="AG21" s="38">
        <v>1030</v>
      </c>
      <c r="AH21" s="39">
        <v>122</v>
      </c>
      <c r="AI21" s="40"/>
      <c r="AJ21" s="40"/>
    </row>
    <row r="22" spans="1:36" ht="61.5" customHeight="1" x14ac:dyDescent="0.3">
      <c r="A22" s="167"/>
      <c r="B22" s="170"/>
      <c r="C22" s="41" t="s">
        <v>41</v>
      </c>
      <c r="D22" s="42">
        <f t="shared" ref="D22:AH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68973</v>
      </c>
      <c r="U22" s="43">
        <f t="shared" si="1"/>
        <v>8020.1162790697672</v>
      </c>
      <c r="V22" s="44" t="e">
        <f t="shared" si="1"/>
        <v>#REF!</v>
      </c>
      <c r="W22" s="45">
        <f t="shared" si="1"/>
        <v>51386.52</v>
      </c>
      <c r="X22" s="44" t="e">
        <f t="shared" si="1"/>
        <v>#REF!</v>
      </c>
      <c r="Y22" s="43">
        <f>SUM(Y20:Y21)</f>
        <v>32716.1</v>
      </c>
      <c r="Z22" s="42">
        <f t="shared" si="1"/>
        <v>7070</v>
      </c>
      <c r="AA22" s="42">
        <f t="shared" si="1"/>
        <v>284</v>
      </c>
      <c r="AB22" s="44">
        <f t="shared" si="1"/>
        <v>1111</v>
      </c>
      <c r="AC22" s="42">
        <f t="shared" si="1"/>
        <v>60727</v>
      </c>
      <c r="AD22" s="44">
        <f>SUM(AD20:AD21)</f>
        <v>16360</v>
      </c>
      <c r="AE22" s="44">
        <f t="shared" si="1"/>
        <v>20000</v>
      </c>
      <c r="AF22" s="44">
        <f>SUM(AF20:AF21)</f>
        <v>24589</v>
      </c>
      <c r="AG22" s="42">
        <f t="shared" si="1"/>
        <v>1645</v>
      </c>
      <c r="AH22" s="46">
        <f t="shared" si="1"/>
        <v>242</v>
      </c>
      <c r="AI22" s="63"/>
    </row>
    <row r="23" spans="1:36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8"/>
      <c r="AG23" s="31"/>
      <c r="AH23" s="49"/>
      <c r="AJ23" s="50"/>
    </row>
    <row r="24" spans="1:36" ht="54" customHeight="1" x14ac:dyDescent="0.3">
      <c r="A24" s="174" t="s">
        <v>43</v>
      </c>
      <c r="B24" s="175"/>
      <c r="C24" s="176"/>
      <c r="D24" s="51">
        <f t="shared" ref="D24:AH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68973</v>
      </c>
      <c r="U24" s="52">
        <f t="shared" si="2"/>
        <v>8020.1162790697672</v>
      </c>
      <c r="V24" s="51" t="e">
        <f t="shared" si="2"/>
        <v>#REF!</v>
      </c>
      <c r="W24" s="52">
        <f t="shared" si="2"/>
        <v>51386.52</v>
      </c>
      <c r="X24" s="51" t="e">
        <f t="shared" si="2"/>
        <v>#REF!</v>
      </c>
      <c r="Y24" s="52">
        <f t="shared" si="2"/>
        <v>32716.1</v>
      </c>
      <c r="Z24" s="51">
        <f t="shared" si="2"/>
        <v>7070</v>
      </c>
      <c r="AA24" s="51">
        <f t="shared" si="2"/>
        <v>284</v>
      </c>
      <c r="AB24" s="51">
        <f t="shared" si="2"/>
        <v>1111</v>
      </c>
      <c r="AC24" s="51">
        <f t="shared" si="2"/>
        <v>60727</v>
      </c>
      <c r="AD24" s="51">
        <f t="shared" si="2"/>
        <v>16360</v>
      </c>
      <c r="AE24" s="51">
        <f t="shared" si="2"/>
        <v>20000</v>
      </c>
      <c r="AF24" s="51">
        <f t="shared" si="2"/>
        <v>24589</v>
      </c>
      <c r="AG24" s="51">
        <f t="shared" si="2"/>
        <v>1645</v>
      </c>
      <c r="AH24" s="53">
        <f t="shared" si="2"/>
        <v>242</v>
      </c>
    </row>
    <row r="25" spans="1:36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20991</v>
      </c>
      <c r="U25" s="32">
        <f>T25/215*25</f>
        <v>2440.8139534883721</v>
      </c>
      <c r="V25" s="47"/>
      <c r="W25" s="35">
        <v>7345</v>
      </c>
      <c r="X25" s="47"/>
      <c r="Y25" s="55">
        <v>3008.34</v>
      </c>
      <c r="Z25" s="31">
        <v>1238</v>
      </c>
      <c r="AA25" s="38">
        <v>1</v>
      </c>
      <c r="AB25" s="47"/>
      <c r="AC25" s="38">
        <v>11123</v>
      </c>
      <c r="AD25" s="47"/>
      <c r="AE25" s="47"/>
      <c r="AF25" s="47">
        <v>4626</v>
      </c>
      <c r="AG25" s="38"/>
      <c r="AH25" s="56">
        <v>6</v>
      </c>
    </row>
    <row r="26" spans="1:36" s="4" customFormat="1" ht="100.5" customHeight="1" thickBot="1" x14ac:dyDescent="0.25">
      <c r="A26" s="57">
        <v>45816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47982</v>
      </c>
      <c r="U26" s="59">
        <f>U24-U25</f>
        <v>5579.3023255813951</v>
      </c>
      <c r="V26" s="60" t="e">
        <f t="shared" ref="V26:AH26" si="4">V24-V25</f>
        <v>#REF!</v>
      </c>
      <c r="W26" s="59">
        <f t="shared" si="4"/>
        <v>44041.52</v>
      </c>
      <c r="X26" s="60" t="e">
        <f t="shared" si="4"/>
        <v>#REF!</v>
      </c>
      <c r="Y26" s="61">
        <f t="shared" si="4"/>
        <v>29707.759999999998</v>
      </c>
      <c r="Z26" s="58">
        <f t="shared" si="4"/>
        <v>5832</v>
      </c>
      <c r="AA26" s="58">
        <f t="shared" si="4"/>
        <v>283</v>
      </c>
      <c r="AB26" s="60">
        <f t="shared" si="4"/>
        <v>1111</v>
      </c>
      <c r="AC26" s="58">
        <f t="shared" si="4"/>
        <v>49604</v>
      </c>
      <c r="AD26" s="60">
        <f t="shared" si="4"/>
        <v>16360</v>
      </c>
      <c r="AE26" s="60">
        <f t="shared" si="4"/>
        <v>20000</v>
      </c>
      <c r="AF26" s="60">
        <f t="shared" si="4"/>
        <v>19963</v>
      </c>
      <c r="AG26" s="58">
        <f t="shared" si="4"/>
        <v>1645</v>
      </c>
      <c r="AH26" s="62">
        <f t="shared" si="4"/>
        <v>236</v>
      </c>
    </row>
    <row r="27" spans="1:36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  <c r="AH27" s="63"/>
    </row>
    <row r="28" spans="1:36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F29" s="67"/>
      <c r="AG29" s="65"/>
      <c r="AH29" s="65"/>
    </row>
    <row r="30" spans="1:36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F30" s="69"/>
      <c r="AG30" s="69"/>
      <c r="AH30" s="69"/>
      <c r="AI30" s="65"/>
    </row>
    <row r="31" spans="1:36" s="64" customFormat="1" ht="24" customHeight="1" x14ac:dyDescent="0.35">
      <c r="A31" s="70" t="s">
        <v>209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I31" s="65"/>
    </row>
    <row r="32" spans="1:36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149</v>
      </c>
      <c r="AF32" s="65"/>
      <c r="AG32" s="65"/>
      <c r="AH32" s="65"/>
    </row>
    <row r="33" spans="1:35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73"/>
      <c r="AF33" s="65"/>
      <c r="AG33" s="73"/>
      <c r="AH33" s="73"/>
    </row>
    <row r="34" spans="1:35" s="65" customFormat="1" ht="24" customHeight="1" x14ac:dyDescent="0.35">
      <c r="A34" s="68"/>
      <c r="W34" s="74"/>
      <c r="AC34" s="75"/>
    </row>
    <row r="35" spans="1:35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3"/>
    </row>
    <row r="36" spans="1:35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76"/>
      <c r="AF36" s="64"/>
      <c r="AG36" s="64"/>
      <c r="AH36" s="64"/>
    </row>
    <row r="37" spans="1:35" s="64" customFormat="1" ht="24" customHeight="1" x14ac:dyDescent="0.3">
      <c r="A37" s="68" t="s">
        <v>62</v>
      </c>
    </row>
    <row r="38" spans="1:35" s="64" customFormat="1" ht="25.5" customHeight="1" x14ac:dyDescent="0.3">
      <c r="A38" s="68" t="s">
        <v>63</v>
      </c>
    </row>
    <row r="39" spans="1:35" ht="13.5" customHeight="1" x14ac:dyDescent="0.3"/>
    <row r="40" spans="1:35" ht="13.5" customHeight="1" x14ac:dyDescent="0.35">
      <c r="B40" s="77"/>
      <c r="C40" s="77"/>
      <c r="D40" s="77"/>
      <c r="E40" s="77"/>
    </row>
    <row r="42" spans="1:35" ht="22.5" x14ac:dyDescent="0.35">
      <c r="B42" s="77"/>
      <c r="C42" s="77"/>
      <c r="D42" s="77"/>
      <c r="E42" s="77"/>
    </row>
    <row r="43" spans="1:35" ht="15.75" customHeight="1" x14ac:dyDescent="0.3"/>
    <row r="46" spans="1:35" ht="15.75" customHeight="1" x14ac:dyDescent="0.3"/>
    <row r="48" spans="1:35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50" spans="1:34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3" spans="1:34" ht="22.5" x14ac:dyDescent="0.35">
      <c r="A53" s="77"/>
    </row>
  </sheetData>
  <mergeCells count="45">
    <mergeCell ref="A10:AI10"/>
    <mergeCell ref="A11:AI11"/>
    <mergeCell ref="A14:C15"/>
    <mergeCell ref="D14:M15"/>
    <mergeCell ref="P14:V15"/>
    <mergeCell ref="W14:Z14"/>
    <mergeCell ref="AA14:AA15"/>
    <mergeCell ref="AB14:AF15"/>
    <mergeCell ref="AG14:AH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zoomScale="70" zoomScaleNormal="70" workbookViewId="0">
      <selection activeCell="U23" sqref="U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210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45817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40730</v>
      </c>
      <c r="U20" s="34">
        <f>T20/215*25</f>
        <v>4736.0465116279074</v>
      </c>
      <c r="V20" s="33" t="e">
        <f>#REF!</f>
        <v>#REF!</v>
      </c>
      <c r="W20" s="33">
        <v>35600</v>
      </c>
      <c r="X20" s="33" t="e">
        <f>#REF!</f>
        <v>#REF!</v>
      </c>
      <c r="Y20" s="35">
        <v>22849</v>
      </c>
      <c r="Z20" s="31">
        <v>3850</v>
      </c>
      <c r="AA20" s="31">
        <v>150</v>
      </c>
      <c r="AB20" s="33">
        <v>0</v>
      </c>
      <c r="AC20" s="31">
        <v>22167</v>
      </c>
      <c r="AD20" s="33">
        <v>15240</v>
      </c>
      <c r="AE20" s="33">
        <v>9510</v>
      </c>
      <c r="AF20" s="31">
        <v>615</v>
      </c>
      <c r="AG20" s="36">
        <v>120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7252</v>
      </c>
      <c r="U21" s="32">
        <f>T21/215*25</f>
        <v>843.25581395348831</v>
      </c>
      <c r="V21" s="34"/>
      <c r="W21" s="32">
        <v>8441.5199999999968</v>
      </c>
      <c r="X21" s="34">
        <v>0</v>
      </c>
      <c r="Y21" s="32">
        <v>6858.7599999999993</v>
      </c>
      <c r="Z21" s="38">
        <v>1982</v>
      </c>
      <c r="AA21" s="38">
        <v>133</v>
      </c>
      <c r="AB21" s="34">
        <v>1111</v>
      </c>
      <c r="AC21" s="38">
        <v>27437</v>
      </c>
      <c r="AD21" s="34">
        <v>1120</v>
      </c>
      <c r="AE21" s="34">
        <v>10453</v>
      </c>
      <c r="AF21" s="38">
        <v>1030</v>
      </c>
      <c r="AG21" s="39">
        <v>116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47982</v>
      </c>
      <c r="U22" s="43">
        <f t="shared" si="1"/>
        <v>5579.302325581396</v>
      </c>
      <c r="V22" s="44" t="e">
        <f t="shared" si="1"/>
        <v>#REF!</v>
      </c>
      <c r="W22" s="45">
        <f t="shared" si="1"/>
        <v>44041.52</v>
      </c>
      <c r="X22" s="44" t="e">
        <f t="shared" si="1"/>
        <v>#REF!</v>
      </c>
      <c r="Y22" s="43">
        <f>SUM(Y20:Y21)</f>
        <v>29707.759999999998</v>
      </c>
      <c r="Z22" s="42">
        <f t="shared" si="1"/>
        <v>5832</v>
      </c>
      <c r="AA22" s="42">
        <f t="shared" si="1"/>
        <v>283</v>
      </c>
      <c r="AB22" s="44">
        <f t="shared" si="1"/>
        <v>1111</v>
      </c>
      <c r="AC22" s="42">
        <f t="shared" si="1"/>
        <v>49604</v>
      </c>
      <c r="AD22" s="44">
        <f>SUM(AD20:AD21)</f>
        <v>16360</v>
      </c>
      <c r="AE22" s="44">
        <f>SUM(AE20:AE21)</f>
        <v>19963</v>
      </c>
      <c r="AF22" s="42">
        <f t="shared" si="1"/>
        <v>1645</v>
      </c>
      <c r="AG22" s="46">
        <f t="shared" si="1"/>
        <v>236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f>200*215</f>
        <v>43000</v>
      </c>
      <c r="U23" s="32">
        <f>T23/215*25</f>
        <v>5000</v>
      </c>
      <c r="V23" s="31"/>
      <c r="W23" s="31">
        <f>600*25</f>
        <v>15000</v>
      </c>
      <c r="X23" s="31"/>
      <c r="Y23" s="31">
        <v>6000</v>
      </c>
      <c r="Z23" s="31">
        <v>4000</v>
      </c>
      <c r="AA23" s="31"/>
      <c r="AB23" s="31"/>
      <c r="AC23" s="31">
        <f>17500+17380</f>
        <v>34880</v>
      </c>
      <c r="AD23" s="31"/>
      <c r="AE23" s="48">
        <f>7200+7000</f>
        <v>14200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90982</v>
      </c>
      <c r="U24" s="52">
        <f t="shared" si="2"/>
        <v>10579.302325581397</v>
      </c>
      <c r="V24" s="51" t="e">
        <f t="shared" si="2"/>
        <v>#REF!</v>
      </c>
      <c r="W24" s="52">
        <f t="shared" si="2"/>
        <v>59041.52</v>
      </c>
      <c r="X24" s="51" t="e">
        <f t="shared" si="2"/>
        <v>#REF!</v>
      </c>
      <c r="Y24" s="52">
        <f t="shared" si="2"/>
        <v>35707.759999999995</v>
      </c>
      <c r="Z24" s="51">
        <f t="shared" si="2"/>
        <v>9832</v>
      </c>
      <c r="AA24" s="51">
        <f t="shared" si="2"/>
        <v>283</v>
      </c>
      <c r="AB24" s="51">
        <f t="shared" si="2"/>
        <v>1111</v>
      </c>
      <c r="AC24" s="51">
        <f t="shared" si="2"/>
        <v>84484</v>
      </c>
      <c r="AD24" s="51">
        <f t="shared" si="2"/>
        <v>16360</v>
      </c>
      <c r="AE24" s="51">
        <f t="shared" si="2"/>
        <v>34163</v>
      </c>
      <c r="AF24" s="51">
        <f t="shared" si="2"/>
        <v>1645</v>
      </c>
      <c r="AG24" s="53">
        <f t="shared" si="2"/>
        <v>236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6306</v>
      </c>
      <c r="U25" s="32">
        <f>T25/215*25</f>
        <v>733.25581395348843</v>
      </c>
      <c r="V25" s="47"/>
      <c r="W25" s="35">
        <v>5408</v>
      </c>
      <c r="X25" s="47"/>
      <c r="Y25" s="55">
        <f>Z25*2.43</f>
        <v>2242.8900000000003</v>
      </c>
      <c r="Z25" s="31">
        <v>923</v>
      </c>
      <c r="AA25" s="38"/>
      <c r="AB25" s="47"/>
      <c r="AC25" s="38">
        <f>244+8021</f>
        <v>8265</v>
      </c>
      <c r="AD25" s="47">
        <v>0</v>
      </c>
      <c r="AE25" s="47">
        <f>1654+1811</f>
        <v>3465</v>
      </c>
      <c r="AF25" s="38"/>
      <c r="AG25" s="56">
        <v>4</v>
      </c>
    </row>
    <row r="26" spans="1:35" s="4" customFormat="1" ht="100.5" customHeight="1" thickBot="1" x14ac:dyDescent="0.25">
      <c r="A26" s="57">
        <v>45823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84676</v>
      </c>
      <c r="U26" s="59">
        <f>U24-U25</f>
        <v>9846.0465116279083</v>
      </c>
      <c r="V26" s="60" t="e">
        <f t="shared" ref="V26:AG26" si="4">V24-V25</f>
        <v>#REF!</v>
      </c>
      <c r="W26" s="59">
        <f t="shared" si="4"/>
        <v>53633.52</v>
      </c>
      <c r="X26" s="60" t="e">
        <f t="shared" si="4"/>
        <v>#REF!</v>
      </c>
      <c r="Y26" s="61">
        <f t="shared" si="4"/>
        <v>33464.869999999995</v>
      </c>
      <c r="Z26" s="58">
        <f t="shared" si="4"/>
        <v>8909</v>
      </c>
      <c r="AA26" s="58">
        <f t="shared" si="4"/>
        <v>283</v>
      </c>
      <c r="AB26" s="60">
        <f t="shared" si="4"/>
        <v>1111</v>
      </c>
      <c r="AC26" s="58">
        <f t="shared" si="4"/>
        <v>76219</v>
      </c>
      <c r="AD26" s="60">
        <f t="shared" si="4"/>
        <v>16360</v>
      </c>
      <c r="AE26" s="60">
        <f t="shared" si="4"/>
        <v>30698</v>
      </c>
      <c r="AF26" s="58">
        <f t="shared" si="4"/>
        <v>1645</v>
      </c>
      <c r="AG26" s="62">
        <f t="shared" si="4"/>
        <v>232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8" zoomScale="70" zoomScaleNormal="70" workbookViewId="0">
      <selection activeCell="U23" sqref="U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213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45824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60080</v>
      </c>
      <c r="U20" s="34">
        <f>T20/215*25</f>
        <v>6986.0465116279074</v>
      </c>
      <c r="V20" s="33" t="e">
        <f>#REF!</f>
        <v>#REF!</v>
      </c>
      <c r="W20" s="33">
        <v>43225</v>
      </c>
      <c r="X20" s="33" t="e">
        <f>#REF!</f>
        <v>#REF!</v>
      </c>
      <c r="Y20" s="35">
        <v>26176</v>
      </c>
      <c r="Z20" s="31">
        <v>6750</v>
      </c>
      <c r="AA20" s="31">
        <v>150</v>
      </c>
      <c r="AB20" s="33">
        <v>0</v>
      </c>
      <c r="AC20" s="31">
        <v>39947</v>
      </c>
      <c r="AD20" s="33">
        <v>15240</v>
      </c>
      <c r="AE20" s="33">
        <v>18810</v>
      </c>
      <c r="AF20" s="31">
        <v>615</v>
      </c>
      <c r="AG20" s="36">
        <v>110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24596</v>
      </c>
      <c r="U21" s="32">
        <f>T21/215*25</f>
        <v>2860</v>
      </c>
      <c r="V21" s="34"/>
      <c r="W21" s="32">
        <v>10408.119999999995</v>
      </c>
      <c r="X21" s="34">
        <v>0</v>
      </c>
      <c r="Y21" s="32">
        <v>7288.869999999999</v>
      </c>
      <c r="Z21" s="38">
        <v>2159</v>
      </c>
      <c r="AA21" s="38">
        <v>133</v>
      </c>
      <c r="AB21" s="34">
        <v>1111</v>
      </c>
      <c r="AC21" s="38">
        <v>36272</v>
      </c>
      <c r="AD21" s="34">
        <v>1120</v>
      </c>
      <c r="AE21" s="34">
        <v>11888</v>
      </c>
      <c r="AF21" s="38">
        <v>1030</v>
      </c>
      <c r="AG21" s="39">
        <v>122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84676</v>
      </c>
      <c r="U22" s="43">
        <f t="shared" si="1"/>
        <v>9846.0465116279083</v>
      </c>
      <c r="V22" s="44" t="e">
        <f t="shared" si="1"/>
        <v>#REF!</v>
      </c>
      <c r="W22" s="45">
        <f t="shared" si="1"/>
        <v>53633.119999999995</v>
      </c>
      <c r="X22" s="44" t="e">
        <f t="shared" si="1"/>
        <v>#REF!</v>
      </c>
      <c r="Y22" s="43">
        <f>SUM(Y20:Y21)</f>
        <v>33464.869999999995</v>
      </c>
      <c r="Z22" s="42">
        <f t="shared" si="1"/>
        <v>8909</v>
      </c>
      <c r="AA22" s="42">
        <f t="shared" si="1"/>
        <v>283</v>
      </c>
      <c r="AB22" s="44">
        <f t="shared" si="1"/>
        <v>1111</v>
      </c>
      <c r="AC22" s="42">
        <f t="shared" si="1"/>
        <v>76219</v>
      </c>
      <c r="AD22" s="44">
        <f>SUM(AD20:AD21)</f>
        <v>16360</v>
      </c>
      <c r="AE22" s="44">
        <f>SUM(AE20:AE21)</f>
        <v>30698</v>
      </c>
      <c r="AF22" s="42">
        <f t="shared" si="1"/>
        <v>1645</v>
      </c>
      <c r="AG22" s="46">
        <f t="shared" si="1"/>
        <v>232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84676</v>
      </c>
      <c r="U24" s="52">
        <f t="shared" si="2"/>
        <v>9846.0465116279083</v>
      </c>
      <c r="V24" s="51" t="e">
        <f t="shared" si="2"/>
        <v>#REF!</v>
      </c>
      <c r="W24" s="52">
        <f t="shared" si="2"/>
        <v>53633.119999999995</v>
      </c>
      <c r="X24" s="51" t="e">
        <f t="shared" si="2"/>
        <v>#REF!</v>
      </c>
      <c r="Y24" s="52">
        <f t="shared" si="2"/>
        <v>33464.869999999995</v>
      </c>
      <c r="Z24" s="51">
        <f t="shared" si="2"/>
        <v>8909</v>
      </c>
      <c r="AA24" s="51">
        <f t="shared" si="2"/>
        <v>283</v>
      </c>
      <c r="AB24" s="51">
        <f t="shared" si="2"/>
        <v>1111</v>
      </c>
      <c r="AC24" s="51">
        <f t="shared" si="2"/>
        <v>76219</v>
      </c>
      <c r="AD24" s="51">
        <f t="shared" si="2"/>
        <v>16360</v>
      </c>
      <c r="AE24" s="51">
        <f t="shared" si="2"/>
        <v>30698</v>
      </c>
      <c r="AF24" s="51">
        <f t="shared" si="2"/>
        <v>1645</v>
      </c>
      <c r="AG24" s="53">
        <f t="shared" si="2"/>
        <v>232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17449</v>
      </c>
      <c r="U25" s="32">
        <f>T25/215*25</f>
        <v>2028.9534883720928</v>
      </c>
      <c r="V25" s="47"/>
      <c r="W25" s="35">
        <v>6784.5</v>
      </c>
      <c r="X25" s="47"/>
      <c r="Y25" s="55">
        <f>Z25*2.43</f>
        <v>3005.9100000000003</v>
      </c>
      <c r="Z25" s="31">
        <v>1237</v>
      </c>
      <c r="AA25" s="38"/>
      <c r="AB25" s="47"/>
      <c r="AC25" s="38">
        <v>10999</v>
      </c>
      <c r="AD25" s="47">
        <v>0</v>
      </c>
      <c r="AE25" s="47">
        <v>4538</v>
      </c>
      <c r="AF25" s="38"/>
      <c r="AG25" s="56">
        <v>6</v>
      </c>
    </row>
    <row r="26" spans="1:35" s="4" customFormat="1" ht="100.5" customHeight="1" thickBot="1" x14ac:dyDescent="0.25">
      <c r="A26" s="57">
        <v>45830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67227</v>
      </c>
      <c r="U26" s="59">
        <f>U24-U25</f>
        <v>7817.0930232558158</v>
      </c>
      <c r="V26" s="60" t="e">
        <f t="shared" ref="V26:AG26" si="4">V24-V25</f>
        <v>#REF!</v>
      </c>
      <c r="W26" s="59">
        <f t="shared" si="4"/>
        <v>46848.619999999995</v>
      </c>
      <c r="X26" s="60" t="e">
        <f t="shared" si="4"/>
        <v>#REF!</v>
      </c>
      <c r="Y26" s="61">
        <f t="shared" si="4"/>
        <v>30458.959999999995</v>
      </c>
      <c r="Z26" s="58">
        <f t="shared" si="4"/>
        <v>7672</v>
      </c>
      <c r="AA26" s="58">
        <f t="shared" si="4"/>
        <v>283</v>
      </c>
      <c r="AB26" s="60">
        <f t="shared" si="4"/>
        <v>1111</v>
      </c>
      <c r="AC26" s="58">
        <f t="shared" si="4"/>
        <v>65220</v>
      </c>
      <c r="AD26" s="60">
        <f t="shared" si="4"/>
        <v>16360</v>
      </c>
      <c r="AE26" s="60">
        <f t="shared" si="4"/>
        <v>26160</v>
      </c>
      <c r="AF26" s="58">
        <f t="shared" si="4"/>
        <v>1645</v>
      </c>
      <c r="AG26" s="62">
        <f t="shared" si="4"/>
        <v>226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9" zoomScale="70" zoomScaleNormal="70" workbookViewId="0">
      <selection activeCell="W29" sqref="W29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214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45831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38580</v>
      </c>
      <c r="U20" s="34">
        <f>T20/215*25</f>
        <v>4486.0465116279074</v>
      </c>
      <c r="V20" s="33" t="e">
        <f>#REF!</f>
        <v>#REF!</v>
      </c>
      <c r="W20" s="33">
        <f>38725-5000</f>
        <v>33725</v>
      </c>
      <c r="X20" s="33" t="e">
        <f>#REF!</f>
        <v>#REF!</v>
      </c>
      <c r="Y20" s="35">
        <f>24475-12000</f>
        <v>12475</v>
      </c>
      <c r="Z20" s="31">
        <v>6050</v>
      </c>
      <c r="AA20" s="31">
        <v>150</v>
      </c>
      <c r="AB20" s="33">
        <v>0</v>
      </c>
      <c r="AC20" s="31">
        <v>36647</v>
      </c>
      <c r="AD20" s="33">
        <v>15240</v>
      </c>
      <c r="AE20" s="33">
        <v>16110</v>
      </c>
      <c r="AF20" s="31">
        <v>615</v>
      </c>
      <c r="AG20" s="36">
        <v>110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</v>
      </c>
      <c r="G21" s="32">
        <f>F21/208*25</f>
        <v>30.408653846153843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28647</v>
      </c>
      <c r="U21" s="32">
        <f>T21/215*25</f>
        <v>3331.046511627907</v>
      </c>
      <c r="V21" s="34"/>
      <c r="W21" s="32">
        <v>8123.6199999999963</v>
      </c>
      <c r="X21" s="34">
        <v>0</v>
      </c>
      <c r="Y21" s="32">
        <v>5983.9599999999982</v>
      </c>
      <c r="Z21" s="38">
        <v>1622</v>
      </c>
      <c r="AA21" s="38">
        <v>133</v>
      </c>
      <c r="AB21" s="34">
        <v>1111</v>
      </c>
      <c r="AC21" s="38">
        <v>28573</v>
      </c>
      <c r="AD21" s="34">
        <v>1120</v>
      </c>
      <c r="AE21" s="34">
        <v>10050</v>
      </c>
      <c r="AF21" s="38">
        <v>1030</v>
      </c>
      <c r="AG21" s="39">
        <v>116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253</v>
      </c>
      <c r="G22" s="43">
        <f t="shared" si="1"/>
        <v>30.408653846153843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67227</v>
      </c>
      <c r="U22" s="43">
        <f t="shared" si="1"/>
        <v>7817.0930232558148</v>
      </c>
      <c r="V22" s="44" t="e">
        <f t="shared" si="1"/>
        <v>#REF!</v>
      </c>
      <c r="W22" s="45">
        <f t="shared" si="1"/>
        <v>41848.619999999995</v>
      </c>
      <c r="X22" s="44" t="e">
        <f t="shared" si="1"/>
        <v>#REF!</v>
      </c>
      <c r="Y22" s="43">
        <f>SUM(Y20:Y21)</f>
        <v>18458.96</v>
      </c>
      <c r="Z22" s="42">
        <f t="shared" si="1"/>
        <v>7672</v>
      </c>
      <c r="AA22" s="42">
        <f t="shared" si="1"/>
        <v>283</v>
      </c>
      <c r="AB22" s="44">
        <f t="shared" si="1"/>
        <v>1111</v>
      </c>
      <c r="AC22" s="42">
        <f t="shared" si="1"/>
        <v>65220</v>
      </c>
      <c r="AD22" s="44">
        <f>SUM(AD20:AD21)</f>
        <v>16360</v>
      </c>
      <c r="AE22" s="44">
        <f>SUM(AE20:AE21)</f>
        <v>26160</v>
      </c>
      <c r="AF22" s="42">
        <f t="shared" si="1"/>
        <v>1645</v>
      </c>
      <c r="AG22" s="46">
        <f t="shared" si="1"/>
        <v>226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F23/208*25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75250</v>
      </c>
      <c r="U23" s="32">
        <f>T23/215*25</f>
        <v>8750</v>
      </c>
      <c r="V23" s="31"/>
      <c r="W23" s="31">
        <v>5000</v>
      </c>
      <c r="X23" s="31"/>
      <c r="Y23" s="31"/>
      <c r="Z23" s="31">
        <v>2000</v>
      </c>
      <c r="AA23" s="31"/>
      <c r="AB23" s="31"/>
      <c r="AC23" s="31">
        <v>19250</v>
      </c>
      <c r="AD23" s="31"/>
      <c r="AE23" s="48">
        <v>7600</v>
      </c>
      <c r="AF23" s="31"/>
      <c r="AG23" s="49">
        <v>40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253</v>
      </c>
      <c r="G24" s="52">
        <f t="shared" si="2"/>
        <v>30.408653846153843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142477</v>
      </c>
      <c r="U24" s="52">
        <f t="shared" si="2"/>
        <v>16567.093023255817</v>
      </c>
      <c r="V24" s="51" t="e">
        <f t="shared" si="2"/>
        <v>#REF!</v>
      </c>
      <c r="W24" s="52">
        <f t="shared" si="2"/>
        <v>46848.619999999995</v>
      </c>
      <c r="X24" s="51" t="e">
        <f t="shared" si="2"/>
        <v>#REF!</v>
      </c>
      <c r="Y24" s="52">
        <f t="shared" si="2"/>
        <v>18458.96</v>
      </c>
      <c r="Z24" s="51">
        <f t="shared" si="2"/>
        <v>9672</v>
      </c>
      <c r="AA24" s="51">
        <f t="shared" si="2"/>
        <v>283</v>
      </c>
      <c r="AB24" s="51">
        <f t="shared" si="2"/>
        <v>1111</v>
      </c>
      <c r="AC24" s="51">
        <f t="shared" si="2"/>
        <v>84470</v>
      </c>
      <c r="AD24" s="51">
        <f t="shared" si="2"/>
        <v>16360</v>
      </c>
      <c r="AE24" s="51">
        <f t="shared" si="2"/>
        <v>33760</v>
      </c>
      <c r="AF24" s="51">
        <f t="shared" si="2"/>
        <v>1645</v>
      </c>
      <c r="AG24" s="53">
        <f t="shared" si="2"/>
        <v>266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F25/208*25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23924</v>
      </c>
      <c r="U25" s="32">
        <f>T25/215*25</f>
        <v>2781.8604651162791</v>
      </c>
      <c r="V25" s="47"/>
      <c r="W25" s="35">
        <v>6555.2000000000007</v>
      </c>
      <c r="X25" s="47"/>
      <c r="Y25" s="55">
        <v>3013.2000000000003</v>
      </c>
      <c r="Z25" s="31">
        <v>1240</v>
      </c>
      <c r="AA25" s="38"/>
      <c r="AB25" s="47"/>
      <c r="AC25" s="38">
        <v>10807</v>
      </c>
      <c r="AD25" s="47"/>
      <c r="AE25" s="47">
        <v>4348</v>
      </c>
      <c r="AF25" s="38"/>
      <c r="AG25" s="56">
        <v>4</v>
      </c>
    </row>
    <row r="26" spans="1:35" s="4" customFormat="1" ht="100.5" customHeight="1" thickBot="1" x14ac:dyDescent="0.25">
      <c r="A26" s="57">
        <v>45837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253</v>
      </c>
      <c r="G26" s="59">
        <f t="shared" si="3"/>
        <v>30.408653846153843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118553</v>
      </c>
      <c r="U26" s="59">
        <f>U24-U25</f>
        <v>13785.232558139538</v>
      </c>
      <c r="V26" s="60" t="e">
        <f t="shared" ref="V26:AG26" si="4">V24-V25</f>
        <v>#REF!</v>
      </c>
      <c r="W26" s="59">
        <f t="shared" si="4"/>
        <v>40293.42</v>
      </c>
      <c r="X26" s="60" t="e">
        <f t="shared" si="4"/>
        <v>#REF!</v>
      </c>
      <c r="Y26" s="61">
        <f t="shared" si="4"/>
        <v>15445.759999999998</v>
      </c>
      <c r="Z26" s="58">
        <f t="shared" si="4"/>
        <v>8432</v>
      </c>
      <c r="AA26" s="58">
        <f t="shared" si="4"/>
        <v>283</v>
      </c>
      <c r="AB26" s="60">
        <f t="shared" si="4"/>
        <v>1111</v>
      </c>
      <c r="AC26" s="58">
        <f t="shared" si="4"/>
        <v>73663</v>
      </c>
      <c r="AD26" s="60">
        <f t="shared" si="4"/>
        <v>16360</v>
      </c>
      <c r="AE26" s="60">
        <f t="shared" si="4"/>
        <v>29412</v>
      </c>
      <c r="AF26" s="58">
        <f t="shared" si="4"/>
        <v>1645</v>
      </c>
      <c r="AG26" s="62">
        <f t="shared" si="4"/>
        <v>262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91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215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W26" sqref="W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216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45838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75130</v>
      </c>
      <c r="U20" s="34">
        <f>T20/215*25</f>
        <v>8736.0465116279065</v>
      </c>
      <c r="V20" s="33" t="e">
        <f>#REF!</f>
        <v>#REF!</v>
      </c>
      <c r="W20" s="33">
        <v>32225</v>
      </c>
      <c r="X20" s="33" t="e">
        <f>#REF!</f>
        <v>#REF!</v>
      </c>
      <c r="Y20" s="35">
        <v>9559</v>
      </c>
      <c r="Z20" s="31">
        <v>6850</v>
      </c>
      <c r="AA20" s="31">
        <v>150</v>
      </c>
      <c r="AB20" s="33">
        <v>0</v>
      </c>
      <c r="AC20" s="31">
        <v>41397</v>
      </c>
      <c r="AD20" s="33">
        <v>15240</v>
      </c>
      <c r="AE20" s="33">
        <v>19710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/>
      <c r="G21" s="32"/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f>43423+276</f>
        <v>43699</v>
      </c>
      <c r="U21" s="32">
        <f>T21/215*25</f>
        <v>5081.2790697674418</v>
      </c>
      <c r="V21" s="34"/>
      <c r="W21" s="32">
        <f>8068.41999999999+194.18</f>
        <v>8262.5999999999894</v>
      </c>
      <c r="X21" s="34">
        <v>0</v>
      </c>
      <c r="Y21" s="32">
        <f>5886.76+282.8</f>
        <v>6169.56</v>
      </c>
      <c r="Z21" s="38">
        <f>1582+160</f>
        <v>1742</v>
      </c>
      <c r="AA21" s="38">
        <f>133+7</f>
        <v>140</v>
      </c>
      <c r="AB21" s="34">
        <v>1111</v>
      </c>
      <c r="AC21" s="38">
        <f>32266+85</f>
        <v>32351</v>
      </c>
      <c r="AD21" s="34">
        <f>1120+4</f>
        <v>1124</v>
      </c>
      <c r="AE21" s="34">
        <f>9702+342</f>
        <v>10044</v>
      </c>
      <c r="AF21" s="38">
        <v>1030</v>
      </c>
      <c r="AG21" s="39">
        <v>132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118829</v>
      </c>
      <c r="U22" s="43">
        <f t="shared" si="1"/>
        <v>13817.325581395347</v>
      </c>
      <c r="V22" s="44" t="e">
        <f t="shared" si="1"/>
        <v>#REF!</v>
      </c>
      <c r="W22" s="45">
        <f t="shared" si="1"/>
        <v>40487.599999999991</v>
      </c>
      <c r="X22" s="44" t="e">
        <f t="shared" si="1"/>
        <v>#REF!</v>
      </c>
      <c r="Y22" s="43">
        <f>SUM(Y20:Y21)</f>
        <v>15728.560000000001</v>
      </c>
      <c r="Z22" s="42">
        <f t="shared" si="1"/>
        <v>8592</v>
      </c>
      <c r="AA22" s="42">
        <f t="shared" si="1"/>
        <v>290</v>
      </c>
      <c r="AB22" s="44">
        <f t="shared" si="1"/>
        <v>1111</v>
      </c>
      <c r="AC22" s="42">
        <f t="shared" si="1"/>
        <v>73748</v>
      </c>
      <c r="AD22" s="44">
        <f>SUM(AD20:AD21)</f>
        <v>16364</v>
      </c>
      <c r="AE22" s="44">
        <f>SUM(AE20:AE21)</f>
        <v>29754</v>
      </c>
      <c r="AF22" s="42">
        <f t="shared" si="1"/>
        <v>1645</v>
      </c>
      <c r="AG22" s="46">
        <f t="shared" si="1"/>
        <v>262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118829</v>
      </c>
      <c r="U24" s="52">
        <f t="shared" si="2"/>
        <v>13817.325581395347</v>
      </c>
      <c r="V24" s="51" t="e">
        <f t="shared" si="2"/>
        <v>#REF!</v>
      </c>
      <c r="W24" s="52">
        <f t="shared" si="2"/>
        <v>40487.599999999991</v>
      </c>
      <c r="X24" s="51" t="e">
        <f t="shared" si="2"/>
        <v>#REF!</v>
      </c>
      <c r="Y24" s="52">
        <f t="shared" si="2"/>
        <v>15728.560000000001</v>
      </c>
      <c r="Z24" s="51">
        <f t="shared" si="2"/>
        <v>8592</v>
      </c>
      <c r="AA24" s="51">
        <f t="shared" si="2"/>
        <v>290</v>
      </c>
      <c r="AB24" s="51">
        <f t="shared" si="2"/>
        <v>1111</v>
      </c>
      <c r="AC24" s="51">
        <f t="shared" si="2"/>
        <v>73748</v>
      </c>
      <c r="AD24" s="51">
        <f t="shared" si="2"/>
        <v>16364</v>
      </c>
      <c r="AE24" s="51">
        <f t="shared" si="2"/>
        <v>29754</v>
      </c>
      <c r="AF24" s="51">
        <f t="shared" si="2"/>
        <v>1645</v>
      </c>
      <c r="AG24" s="53">
        <f t="shared" si="2"/>
        <v>262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/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22369</v>
      </c>
      <c r="U25" s="32">
        <f>T25/215*25</f>
        <v>2601.046511627907</v>
      </c>
      <c r="V25" s="47"/>
      <c r="W25" s="35">
        <v>6201.6</v>
      </c>
      <c r="X25" s="47"/>
      <c r="Y25" s="55">
        <v>2704.59</v>
      </c>
      <c r="Z25" s="31">
        <v>1113</v>
      </c>
      <c r="AA25" s="38"/>
      <c r="AB25" s="47"/>
      <c r="AC25" s="38">
        <v>10384</v>
      </c>
      <c r="AD25" s="47"/>
      <c r="AE25" s="47">
        <v>4070</v>
      </c>
      <c r="AF25" s="38"/>
      <c r="AG25" s="56">
        <v>2</v>
      </c>
    </row>
    <row r="26" spans="1:35" s="4" customFormat="1" ht="100.5" customHeight="1" thickBot="1" x14ac:dyDescent="0.25">
      <c r="A26" s="57">
        <v>45844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96460</v>
      </c>
      <c r="U26" s="59">
        <f>U24-U25</f>
        <v>11216.279069767441</v>
      </c>
      <c r="V26" s="60" t="e">
        <f t="shared" ref="V26:AG26" si="4">V24-V25</f>
        <v>#REF!</v>
      </c>
      <c r="W26" s="59">
        <f t="shared" si="4"/>
        <v>34285.999999999993</v>
      </c>
      <c r="X26" s="60" t="e">
        <f t="shared" si="4"/>
        <v>#REF!</v>
      </c>
      <c r="Y26" s="61">
        <f t="shared" si="4"/>
        <v>13023.970000000001</v>
      </c>
      <c r="Z26" s="58">
        <f t="shared" si="4"/>
        <v>7479</v>
      </c>
      <c r="AA26" s="58">
        <f t="shared" si="4"/>
        <v>290</v>
      </c>
      <c r="AB26" s="60">
        <f t="shared" si="4"/>
        <v>1111</v>
      </c>
      <c r="AC26" s="58">
        <f t="shared" si="4"/>
        <v>63364</v>
      </c>
      <c r="AD26" s="60">
        <f t="shared" si="4"/>
        <v>16364</v>
      </c>
      <c r="AE26" s="60">
        <f t="shared" si="4"/>
        <v>25684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6" zoomScale="70" zoomScaleNormal="70" workbookViewId="0">
      <selection activeCell="Z33" sqref="Z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217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45845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62230</v>
      </c>
      <c r="U20" s="34">
        <f>T20/215*25</f>
        <v>7236.0465116279074</v>
      </c>
      <c r="V20" s="33" t="e">
        <f>#REF!</f>
        <v>#REF!</v>
      </c>
      <c r="W20" s="33">
        <v>27225</v>
      </c>
      <c r="X20" s="33" t="e">
        <f>#REF!</f>
        <v>#REF!</v>
      </c>
      <c r="Y20" s="35">
        <v>7858</v>
      </c>
      <c r="Z20" s="31">
        <v>6150</v>
      </c>
      <c r="AA20" s="31">
        <v>150</v>
      </c>
      <c r="AB20" s="33">
        <v>0</v>
      </c>
      <c r="AC20" s="31">
        <v>32647</v>
      </c>
      <c r="AD20" s="33">
        <v>15240</v>
      </c>
      <c r="AE20" s="33">
        <v>17910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/>
      <c r="G21" s="32"/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34230</v>
      </c>
      <c r="U21" s="32">
        <f>T21/215*25</f>
        <v>3980.2325581395353</v>
      </c>
      <c r="V21" s="34"/>
      <c r="W21" s="32">
        <v>7060.9999999999891</v>
      </c>
      <c r="X21" s="34">
        <v>0</v>
      </c>
      <c r="Y21" s="32">
        <v>5190.2700000000004</v>
      </c>
      <c r="Z21" s="38">
        <v>1339</v>
      </c>
      <c r="AA21" s="38">
        <f>133+7</f>
        <v>140</v>
      </c>
      <c r="AB21" s="34">
        <v>1111</v>
      </c>
      <c r="AC21" s="38">
        <v>30717</v>
      </c>
      <c r="AD21" s="34">
        <v>1124</v>
      </c>
      <c r="AE21" s="34">
        <v>7774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96460</v>
      </c>
      <c r="U22" s="43">
        <f t="shared" si="1"/>
        <v>11216.279069767443</v>
      </c>
      <c r="V22" s="44" t="e">
        <f t="shared" si="1"/>
        <v>#REF!</v>
      </c>
      <c r="W22" s="45">
        <f t="shared" si="1"/>
        <v>34285.999999999985</v>
      </c>
      <c r="X22" s="44" t="e">
        <f t="shared" si="1"/>
        <v>#REF!</v>
      </c>
      <c r="Y22" s="43">
        <f>SUM(Y20:Y21)</f>
        <v>13048.27</v>
      </c>
      <c r="Z22" s="42">
        <f t="shared" si="1"/>
        <v>7489</v>
      </c>
      <c r="AA22" s="42">
        <f t="shared" si="1"/>
        <v>290</v>
      </c>
      <c r="AB22" s="44">
        <f t="shared" si="1"/>
        <v>1111</v>
      </c>
      <c r="AC22" s="42">
        <f t="shared" si="1"/>
        <v>63364</v>
      </c>
      <c r="AD22" s="44">
        <f>SUM(AD20:AD21)</f>
        <v>16364</v>
      </c>
      <c r="AE22" s="44">
        <f>SUM(AE20:AE21)</f>
        <v>25684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10000</v>
      </c>
      <c r="Z23" s="31">
        <v>2000</v>
      </c>
      <c r="AA23" s="31"/>
      <c r="AB23" s="31"/>
      <c r="AC23" s="31">
        <v>23250</v>
      </c>
      <c r="AD23" s="31"/>
      <c r="AE23" s="48">
        <v>4500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139460</v>
      </c>
      <c r="U24" s="52">
        <f t="shared" si="2"/>
        <v>16216.279069767443</v>
      </c>
      <c r="V24" s="51" t="e">
        <f t="shared" si="2"/>
        <v>#REF!</v>
      </c>
      <c r="W24" s="52">
        <f t="shared" si="2"/>
        <v>49285.999999999985</v>
      </c>
      <c r="X24" s="51" t="e">
        <f t="shared" si="2"/>
        <v>#REF!</v>
      </c>
      <c r="Y24" s="52">
        <f t="shared" si="2"/>
        <v>23048.27</v>
      </c>
      <c r="Z24" s="51">
        <f t="shared" si="2"/>
        <v>9489</v>
      </c>
      <c r="AA24" s="51">
        <f t="shared" si="2"/>
        <v>290</v>
      </c>
      <c r="AB24" s="51">
        <f t="shared" si="2"/>
        <v>1111</v>
      </c>
      <c r="AC24" s="51">
        <f t="shared" si="2"/>
        <v>86614</v>
      </c>
      <c r="AD24" s="51">
        <f t="shared" si="2"/>
        <v>16364</v>
      </c>
      <c r="AE24" s="51">
        <f t="shared" si="2"/>
        <v>30184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/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25544</v>
      </c>
      <c r="U25" s="32">
        <f>T25/215*25</f>
        <v>2970.2325581395348</v>
      </c>
      <c r="V25" s="47"/>
      <c r="W25" s="35">
        <v>6908</v>
      </c>
      <c r="X25" s="47"/>
      <c r="Y25" s="55">
        <v>2833.38</v>
      </c>
      <c r="Z25" s="31">
        <v>1166</v>
      </c>
      <c r="AA25" s="38"/>
      <c r="AB25" s="47"/>
      <c r="AC25" s="38">
        <v>11631</v>
      </c>
      <c r="AD25" s="47"/>
      <c r="AE25" s="47">
        <v>4527</v>
      </c>
      <c r="AF25" s="38"/>
      <c r="AG25" s="56"/>
    </row>
    <row r="26" spans="1:35" s="4" customFormat="1" ht="100.5" customHeight="1" thickBot="1" x14ac:dyDescent="0.25">
      <c r="A26" s="57">
        <v>45851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113916</v>
      </c>
      <c r="U26" s="59">
        <f>U24-U25</f>
        <v>13246.046511627908</v>
      </c>
      <c r="V26" s="60" t="e">
        <f t="shared" ref="V26:AG26" si="4">V24-V25</f>
        <v>#REF!</v>
      </c>
      <c r="W26" s="59">
        <f t="shared" si="4"/>
        <v>42377.999999999985</v>
      </c>
      <c r="X26" s="60" t="e">
        <f t="shared" si="4"/>
        <v>#REF!</v>
      </c>
      <c r="Y26" s="61">
        <f t="shared" si="4"/>
        <v>20214.89</v>
      </c>
      <c r="Z26" s="58">
        <f t="shared" si="4"/>
        <v>8323</v>
      </c>
      <c r="AA26" s="58">
        <f t="shared" si="4"/>
        <v>290</v>
      </c>
      <c r="AB26" s="60">
        <f t="shared" si="4"/>
        <v>1111</v>
      </c>
      <c r="AC26" s="58">
        <f t="shared" si="4"/>
        <v>74983</v>
      </c>
      <c r="AD26" s="60">
        <f t="shared" si="4"/>
        <v>16364</v>
      </c>
      <c r="AE26" s="60">
        <f t="shared" si="4"/>
        <v>25657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3" zoomScale="70" zoomScaleNormal="70" workbookViewId="0">
      <selection activeCell="Y23" sqref="Y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218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45852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83730</v>
      </c>
      <c r="U20" s="34">
        <f>T20/215*25</f>
        <v>9736.0465116279065</v>
      </c>
      <c r="V20" s="33" t="e">
        <f>#REF!</f>
        <v>#REF!</v>
      </c>
      <c r="W20" s="33">
        <v>35475</v>
      </c>
      <c r="X20" s="33" t="e">
        <f>#REF!</f>
        <v>#REF!</v>
      </c>
      <c r="Y20" s="35">
        <v>15914</v>
      </c>
      <c r="Z20" s="31">
        <v>7300</v>
      </c>
      <c r="AA20" s="31">
        <v>150</v>
      </c>
      <c r="AB20" s="33">
        <v>0</v>
      </c>
      <c r="AC20" s="31">
        <v>44897</v>
      </c>
      <c r="AD20" s="33">
        <v>15240</v>
      </c>
      <c r="AE20" s="33">
        <v>17910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/>
      <c r="G21" s="32"/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30186</v>
      </c>
      <c r="U21" s="32">
        <f>T21/215*25</f>
        <v>3510</v>
      </c>
      <c r="V21" s="34"/>
      <c r="W21" s="32">
        <v>6902.9999999999882</v>
      </c>
      <c r="X21" s="34">
        <v>0</v>
      </c>
      <c r="Y21" s="32">
        <v>4300.8899999999994</v>
      </c>
      <c r="Z21" s="38">
        <v>1023</v>
      </c>
      <c r="AA21" s="38">
        <f>133+7</f>
        <v>140</v>
      </c>
      <c r="AB21" s="34">
        <v>1111</v>
      </c>
      <c r="AC21" s="38">
        <v>30086</v>
      </c>
      <c r="AD21" s="34">
        <v>1124</v>
      </c>
      <c r="AE21" s="34">
        <v>7747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113916</v>
      </c>
      <c r="U22" s="43">
        <f t="shared" si="1"/>
        <v>13246.046511627907</v>
      </c>
      <c r="V22" s="44" t="e">
        <f t="shared" si="1"/>
        <v>#REF!</v>
      </c>
      <c r="W22" s="45">
        <f t="shared" si="1"/>
        <v>42377.999999999985</v>
      </c>
      <c r="X22" s="44" t="e">
        <f t="shared" si="1"/>
        <v>#REF!</v>
      </c>
      <c r="Y22" s="43">
        <f>SUM(Y20:Y21)</f>
        <v>20214.89</v>
      </c>
      <c r="Z22" s="42">
        <f t="shared" si="1"/>
        <v>8323</v>
      </c>
      <c r="AA22" s="42">
        <f t="shared" si="1"/>
        <v>290</v>
      </c>
      <c r="AB22" s="44">
        <f t="shared" si="1"/>
        <v>1111</v>
      </c>
      <c r="AC22" s="42">
        <f t="shared" si="1"/>
        <v>74983</v>
      </c>
      <c r="AD22" s="44">
        <f>SUM(AD20:AD21)</f>
        <v>16364</v>
      </c>
      <c r="AE22" s="44">
        <f>SUM(AE20:AE21)</f>
        <v>25657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113916</v>
      </c>
      <c r="U24" s="52">
        <f t="shared" si="2"/>
        <v>13246.046511627907</v>
      </c>
      <c r="V24" s="51" t="e">
        <f t="shared" si="2"/>
        <v>#REF!</v>
      </c>
      <c r="W24" s="52">
        <f t="shared" si="2"/>
        <v>42377.999999999985</v>
      </c>
      <c r="X24" s="51" t="e">
        <f t="shared" si="2"/>
        <v>#REF!</v>
      </c>
      <c r="Y24" s="52">
        <f t="shared" si="2"/>
        <v>20214.89</v>
      </c>
      <c r="Z24" s="51">
        <f t="shared" si="2"/>
        <v>8323</v>
      </c>
      <c r="AA24" s="51">
        <f t="shared" si="2"/>
        <v>290</v>
      </c>
      <c r="AB24" s="51">
        <f t="shared" si="2"/>
        <v>1111</v>
      </c>
      <c r="AC24" s="51">
        <f t="shared" si="2"/>
        <v>74983</v>
      </c>
      <c r="AD24" s="51">
        <f t="shared" si="2"/>
        <v>16364</v>
      </c>
      <c r="AE24" s="51">
        <f t="shared" si="2"/>
        <v>25657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/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22460</v>
      </c>
      <c r="U25" s="32">
        <f>T25/215*25</f>
        <v>2611.6279069767438</v>
      </c>
      <c r="V25" s="47"/>
      <c r="W25" s="35">
        <v>6734.5</v>
      </c>
      <c r="X25" s="47"/>
      <c r="Y25" s="55">
        <v>2811.51</v>
      </c>
      <c r="Z25" s="31">
        <v>1157</v>
      </c>
      <c r="AA25" s="38"/>
      <c r="AB25" s="47"/>
      <c r="AC25" s="38">
        <v>10795</v>
      </c>
      <c r="AD25" s="47"/>
      <c r="AE25" s="47">
        <v>4242</v>
      </c>
      <c r="AF25" s="38"/>
      <c r="AG25" s="56"/>
    </row>
    <row r="26" spans="1:35" s="4" customFormat="1" ht="100.5" customHeight="1" thickBot="1" x14ac:dyDescent="0.25">
      <c r="A26" s="57">
        <v>45858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91456</v>
      </c>
      <c r="U26" s="59">
        <f>U24-U25</f>
        <v>10634.418604651162</v>
      </c>
      <c r="V26" s="60" t="e">
        <f t="shared" ref="V26:AG26" si="4">V24-V25</f>
        <v>#REF!</v>
      </c>
      <c r="W26" s="59">
        <f t="shared" si="4"/>
        <v>35643.499999999985</v>
      </c>
      <c r="X26" s="60" t="e">
        <f t="shared" si="4"/>
        <v>#REF!</v>
      </c>
      <c r="Y26" s="61">
        <f t="shared" si="4"/>
        <v>17403.379999999997</v>
      </c>
      <c r="Z26" s="58">
        <f t="shared" si="4"/>
        <v>7166</v>
      </c>
      <c r="AA26" s="58">
        <f t="shared" si="4"/>
        <v>290</v>
      </c>
      <c r="AB26" s="60">
        <f t="shared" si="4"/>
        <v>1111</v>
      </c>
      <c r="AC26" s="58">
        <f t="shared" si="4"/>
        <v>64188</v>
      </c>
      <c r="AD26" s="60">
        <f t="shared" si="4"/>
        <v>16364</v>
      </c>
      <c r="AE26" s="60">
        <f t="shared" si="4"/>
        <v>21415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AA25" sqref="AA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219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45859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63305</v>
      </c>
      <c r="U20" s="34">
        <f>T20/215*25</f>
        <v>7361.0465116279074</v>
      </c>
      <c r="V20" s="33" t="e">
        <f>#REF!</f>
        <v>#REF!</v>
      </c>
      <c r="W20" s="33">
        <v>27975</v>
      </c>
      <c r="X20" s="33" t="e">
        <f>#REF!</f>
        <v>#REF!</v>
      </c>
      <c r="Y20" s="35">
        <v>13484</v>
      </c>
      <c r="Z20" s="31">
        <v>5300</v>
      </c>
      <c r="AA20" s="31">
        <v>150</v>
      </c>
      <c r="AB20" s="33">
        <v>0</v>
      </c>
      <c r="AC20" s="31">
        <v>34897</v>
      </c>
      <c r="AD20" s="33">
        <v>15240</v>
      </c>
      <c r="AE20" s="33">
        <v>14310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/>
      <c r="G21" s="32"/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28151</v>
      </c>
      <c r="U21" s="32">
        <f>T21/215*25</f>
        <v>3273.3720930232557</v>
      </c>
      <c r="V21" s="34"/>
      <c r="W21" s="32">
        <v>7668.4999999999882</v>
      </c>
      <c r="X21" s="34">
        <v>0</v>
      </c>
      <c r="Y21" s="32">
        <v>3919.3799999999992</v>
      </c>
      <c r="Z21" s="38">
        <v>1866</v>
      </c>
      <c r="AA21" s="38">
        <v>140</v>
      </c>
      <c r="AB21" s="34">
        <v>1111</v>
      </c>
      <c r="AC21" s="38">
        <v>29291</v>
      </c>
      <c r="AD21" s="34">
        <v>1124</v>
      </c>
      <c r="AE21" s="34">
        <v>7105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91456</v>
      </c>
      <c r="U22" s="43">
        <f t="shared" si="1"/>
        <v>10634.418604651164</v>
      </c>
      <c r="V22" s="44" t="e">
        <f t="shared" si="1"/>
        <v>#REF!</v>
      </c>
      <c r="W22" s="45">
        <f t="shared" si="1"/>
        <v>35643.499999999985</v>
      </c>
      <c r="X22" s="44" t="e">
        <f t="shared" si="1"/>
        <v>#REF!</v>
      </c>
      <c r="Y22" s="43">
        <f>SUM(Y20:Y21)</f>
        <v>17403.379999999997</v>
      </c>
      <c r="Z22" s="42">
        <f t="shared" si="1"/>
        <v>7166</v>
      </c>
      <c r="AA22" s="42">
        <f t="shared" si="1"/>
        <v>290</v>
      </c>
      <c r="AB22" s="44">
        <f t="shared" si="1"/>
        <v>1111</v>
      </c>
      <c r="AC22" s="42">
        <f t="shared" si="1"/>
        <v>64188</v>
      </c>
      <c r="AD22" s="44">
        <f>SUM(AD20:AD21)</f>
        <v>16364</v>
      </c>
      <c r="AE22" s="44">
        <f>SUM(AE20:AE21)</f>
        <v>21415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>
        <v>15000</v>
      </c>
      <c r="X23" s="31"/>
      <c r="Y23" s="31">
        <v>5000</v>
      </c>
      <c r="Z23" s="31">
        <v>1000</v>
      </c>
      <c r="AA23" s="31"/>
      <c r="AB23" s="31"/>
      <c r="AC23" s="31">
        <v>28500</v>
      </c>
      <c r="AD23" s="31"/>
      <c r="AE23" s="48">
        <v>4500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91456</v>
      </c>
      <c r="U24" s="52">
        <f t="shared" si="2"/>
        <v>10634.418604651164</v>
      </c>
      <c r="V24" s="51" t="e">
        <f t="shared" si="2"/>
        <v>#REF!</v>
      </c>
      <c r="W24" s="52">
        <f t="shared" si="2"/>
        <v>50643.499999999985</v>
      </c>
      <c r="X24" s="51" t="e">
        <f t="shared" si="2"/>
        <v>#REF!</v>
      </c>
      <c r="Y24" s="52">
        <f t="shared" si="2"/>
        <v>22403.379999999997</v>
      </c>
      <c r="Z24" s="51">
        <f t="shared" si="2"/>
        <v>8166</v>
      </c>
      <c r="AA24" s="51">
        <f t="shared" si="2"/>
        <v>290</v>
      </c>
      <c r="AB24" s="51">
        <f t="shared" si="2"/>
        <v>1111</v>
      </c>
      <c r="AC24" s="51">
        <f t="shared" si="2"/>
        <v>92688</v>
      </c>
      <c r="AD24" s="51">
        <f t="shared" si="2"/>
        <v>16364</v>
      </c>
      <c r="AE24" s="51">
        <f t="shared" si="2"/>
        <v>25915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/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22323</v>
      </c>
      <c r="U25" s="32">
        <f>T25/215*25</f>
        <v>2595.6976744186045</v>
      </c>
      <c r="V25" s="47"/>
      <c r="W25" s="35">
        <v>6652.6</v>
      </c>
      <c r="X25" s="47"/>
      <c r="Y25" s="55">
        <v>3127.4100000000003</v>
      </c>
      <c r="Z25" s="31">
        <v>1287</v>
      </c>
      <c r="AA25" s="38"/>
      <c r="AB25" s="47"/>
      <c r="AC25" s="38">
        <v>10746</v>
      </c>
      <c r="AD25" s="47"/>
      <c r="AE25" s="47">
        <v>4277</v>
      </c>
      <c r="AF25" s="38"/>
      <c r="AG25" s="56"/>
    </row>
    <row r="26" spans="1:35" s="4" customFormat="1" ht="100.5" customHeight="1" thickBot="1" x14ac:dyDescent="0.25">
      <c r="A26" s="57">
        <v>45865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69133</v>
      </c>
      <c r="U26" s="59">
        <f>U24-U25</f>
        <v>8038.7209302325591</v>
      </c>
      <c r="V26" s="60" t="e">
        <f t="shared" ref="V26:AG26" si="4">V24-V25</f>
        <v>#REF!</v>
      </c>
      <c r="W26" s="59">
        <f t="shared" si="4"/>
        <v>43990.899999999987</v>
      </c>
      <c r="X26" s="60" t="e">
        <f t="shared" si="4"/>
        <v>#REF!</v>
      </c>
      <c r="Y26" s="61">
        <f t="shared" si="4"/>
        <v>19275.969999999998</v>
      </c>
      <c r="Z26" s="58">
        <f t="shared" si="4"/>
        <v>6879</v>
      </c>
      <c r="AA26" s="58">
        <f t="shared" si="4"/>
        <v>290</v>
      </c>
      <c r="AB26" s="60">
        <f t="shared" si="4"/>
        <v>1111</v>
      </c>
      <c r="AC26" s="58">
        <f t="shared" si="4"/>
        <v>81942</v>
      </c>
      <c r="AD26" s="60">
        <f t="shared" si="4"/>
        <v>16364</v>
      </c>
      <c r="AE26" s="60">
        <f t="shared" si="4"/>
        <v>21638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W23" sqref="W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220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45866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47180</v>
      </c>
      <c r="U20" s="34">
        <f>T20/215*25</f>
        <v>5486.0465116279074</v>
      </c>
      <c r="V20" s="33" t="e">
        <f>#REF!</f>
        <v>#REF!</v>
      </c>
      <c r="W20" s="33">
        <v>37475</v>
      </c>
      <c r="X20" s="33" t="e">
        <f>#REF!</f>
        <v>#REF!</v>
      </c>
      <c r="Y20" s="35">
        <v>16000</v>
      </c>
      <c r="Z20" s="31">
        <v>5650</v>
      </c>
      <c r="AA20" s="31">
        <v>150</v>
      </c>
      <c r="AB20" s="33">
        <v>0</v>
      </c>
      <c r="AC20" s="31">
        <v>55147</v>
      </c>
      <c r="AD20" s="33">
        <v>15240</v>
      </c>
      <c r="AE20" s="33">
        <v>17010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/>
      <c r="G21" s="32"/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21953</v>
      </c>
      <c r="U21" s="32">
        <f>T21/215*25</f>
        <v>2552.6744186046512</v>
      </c>
      <c r="V21" s="34"/>
      <c r="W21" s="32">
        <v>6515.8999999999887</v>
      </c>
      <c r="X21" s="34">
        <v>0</v>
      </c>
      <c r="Y21" s="32">
        <v>3275.97</v>
      </c>
      <c r="Z21" s="38">
        <v>1229</v>
      </c>
      <c r="AA21" s="38">
        <v>140</v>
      </c>
      <c r="AB21" s="34">
        <v>1111</v>
      </c>
      <c r="AC21" s="38">
        <v>26795</v>
      </c>
      <c r="AD21" s="34">
        <v>1124</v>
      </c>
      <c r="AE21" s="34">
        <v>4628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69133</v>
      </c>
      <c r="U22" s="43">
        <f t="shared" si="1"/>
        <v>8038.7209302325591</v>
      </c>
      <c r="V22" s="44" t="e">
        <f t="shared" si="1"/>
        <v>#REF!</v>
      </c>
      <c r="W22" s="45">
        <f t="shared" si="1"/>
        <v>43990.899999999987</v>
      </c>
      <c r="X22" s="44" t="e">
        <f t="shared" si="1"/>
        <v>#REF!</v>
      </c>
      <c r="Y22" s="43">
        <f>SUM(Y20:Y21)</f>
        <v>19275.97</v>
      </c>
      <c r="Z22" s="42">
        <f t="shared" si="1"/>
        <v>6879</v>
      </c>
      <c r="AA22" s="42">
        <f t="shared" si="1"/>
        <v>290</v>
      </c>
      <c r="AB22" s="44">
        <f t="shared" si="1"/>
        <v>1111</v>
      </c>
      <c r="AC22" s="42">
        <f t="shared" si="1"/>
        <v>81942</v>
      </c>
      <c r="AD22" s="44">
        <f>SUM(AD20:AD21)</f>
        <v>16364</v>
      </c>
      <c r="AE22" s="44">
        <f>SUM(AE20:AE21)</f>
        <v>21638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86000</v>
      </c>
      <c r="U23" s="32">
        <f>T23/215*25</f>
        <v>10000</v>
      </c>
      <c r="V23" s="31"/>
      <c r="W23" s="31">
        <v>5000</v>
      </c>
      <c r="X23" s="31"/>
      <c r="Y23" s="31">
        <v>5000</v>
      </c>
      <c r="Z23" s="31">
        <v>2000</v>
      </c>
      <c r="AA23" s="31"/>
      <c r="AB23" s="31"/>
      <c r="AC23" s="31">
        <v>10750</v>
      </c>
      <c r="AD23" s="31"/>
      <c r="AE23" s="48">
        <v>4500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155133</v>
      </c>
      <c r="U24" s="52">
        <f t="shared" si="2"/>
        <v>18038.720930232557</v>
      </c>
      <c r="V24" s="51" t="e">
        <f t="shared" si="2"/>
        <v>#REF!</v>
      </c>
      <c r="W24" s="52">
        <f t="shared" si="2"/>
        <v>48990.899999999987</v>
      </c>
      <c r="X24" s="51" t="e">
        <f t="shared" si="2"/>
        <v>#REF!</v>
      </c>
      <c r="Y24" s="52">
        <f t="shared" si="2"/>
        <v>24275.97</v>
      </c>
      <c r="Z24" s="51">
        <f t="shared" si="2"/>
        <v>8879</v>
      </c>
      <c r="AA24" s="51">
        <f t="shared" si="2"/>
        <v>290</v>
      </c>
      <c r="AB24" s="51">
        <f t="shared" si="2"/>
        <v>1111</v>
      </c>
      <c r="AC24" s="51">
        <f t="shared" si="2"/>
        <v>92692</v>
      </c>
      <c r="AD24" s="51">
        <f t="shared" si="2"/>
        <v>16364</v>
      </c>
      <c r="AE24" s="51">
        <f t="shared" si="2"/>
        <v>26138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/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22139</v>
      </c>
      <c r="U25" s="32">
        <f>T25/215*25</f>
        <v>2574.3023255813951</v>
      </c>
      <c r="V25" s="47"/>
      <c r="W25" s="35">
        <v>5859.5999999999995</v>
      </c>
      <c r="X25" s="47"/>
      <c r="Y25" s="55">
        <v>2896.5600000000004</v>
      </c>
      <c r="Z25" s="31">
        <v>1192</v>
      </c>
      <c r="AA25" s="38"/>
      <c r="AB25" s="47"/>
      <c r="AC25" s="38">
        <v>9834</v>
      </c>
      <c r="AD25" s="47"/>
      <c r="AE25" s="47">
        <v>4014</v>
      </c>
      <c r="AF25" s="38"/>
      <c r="AG25" s="56"/>
    </row>
    <row r="26" spans="1:35" s="4" customFormat="1" ht="100.5" customHeight="1" thickBot="1" x14ac:dyDescent="0.25">
      <c r="A26" s="57">
        <v>45872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132994</v>
      </c>
      <c r="U26" s="59">
        <f>U24-U25</f>
        <v>15464.418604651162</v>
      </c>
      <c r="V26" s="60" t="e">
        <f t="shared" ref="V26:AG26" si="4">V24-V25</f>
        <v>#REF!</v>
      </c>
      <c r="W26" s="59">
        <f t="shared" si="4"/>
        <v>43131.299999999988</v>
      </c>
      <c r="X26" s="60" t="e">
        <f t="shared" si="4"/>
        <v>#REF!</v>
      </c>
      <c r="Y26" s="61">
        <f t="shared" si="4"/>
        <v>21379.41</v>
      </c>
      <c r="Z26" s="58">
        <f t="shared" si="4"/>
        <v>7687</v>
      </c>
      <c r="AA26" s="58">
        <f t="shared" si="4"/>
        <v>290</v>
      </c>
      <c r="AB26" s="60">
        <f t="shared" si="4"/>
        <v>1111</v>
      </c>
      <c r="AC26" s="58">
        <f t="shared" si="4"/>
        <v>82858</v>
      </c>
      <c r="AD26" s="60">
        <f t="shared" si="4"/>
        <v>16364</v>
      </c>
      <c r="AE26" s="60">
        <f t="shared" si="4"/>
        <v>22124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4" zoomScale="70" zoomScaleNormal="70" workbookViewId="0">
      <selection activeCell="W22" sqref="W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221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45873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105230</v>
      </c>
      <c r="U20" s="34">
        <f>T20/215*25</f>
        <v>12236.046511627907</v>
      </c>
      <c r="V20" s="33" t="e">
        <f>#REF!</f>
        <v>#REF!</v>
      </c>
      <c r="W20" s="33">
        <v>34850</v>
      </c>
      <c r="X20" s="33" t="e">
        <f>#REF!</f>
        <v>#REF!</v>
      </c>
      <c r="Y20" s="35">
        <v>16383</v>
      </c>
      <c r="Z20" s="31">
        <v>5750</v>
      </c>
      <c r="AA20" s="31">
        <v>150</v>
      </c>
      <c r="AB20" s="33">
        <v>0</v>
      </c>
      <c r="AC20" s="31">
        <v>50147</v>
      </c>
      <c r="AD20" s="33">
        <v>15240</v>
      </c>
      <c r="AE20" s="33">
        <v>17810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/>
      <c r="G21" s="32"/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27764</v>
      </c>
      <c r="U21" s="32">
        <f>T21/215*25</f>
        <v>3228.3720930232553</v>
      </c>
      <c r="V21" s="34"/>
      <c r="W21" s="32">
        <v>8281.2999999999884</v>
      </c>
      <c r="X21" s="34">
        <v>0</v>
      </c>
      <c r="Y21" s="32">
        <v>4996.41</v>
      </c>
      <c r="Z21" s="38">
        <v>1937</v>
      </c>
      <c r="AA21" s="38">
        <v>140</v>
      </c>
      <c r="AB21" s="34">
        <v>1111</v>
      </c>
      <c r="AC21" s="38">
        <v>32711</v>
      </c>
      <c r="AD21" s="34">
        <v>1124</v>
      </c>
      <c r="AE21" s="34">
        <v>4314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132994</v>
      </c>
      <c r="U22" s="43">
        <f t="shared" si="1"/>
        <v>15464.418604651162</v>
      </c>
      <c r="V22" s="44" t="e">
        <f t="shared" si="1"/>
        <v>#REF!</v>
      </c>
      <c r="W22" s="45">
        <f t="shared" si="1"/>
        <v>43131.299999999988</v>
      </c>
      <c r="X22" s="44" t="e">
        <f t="shared" si="1"/>
        <v>#REF!</v>
      </c>
      <c r="Y22" s="43">
        <f>SUM(Y20:Y21)</f>
        <v>21379.41</v>
      </c>
      <c r="Z22" s="42">
        <f t="shared" si="1"/>
        <v>7687</v>
      </c>
      <c r="AA22" s="42">
        <f t="shared" si="1"/>
        <v>290</v>
      </c>
      <c r="AB22" s="44">
        <f t="shared" si="1"/>
        <v>1111</v>
      </c>
      <c r="AC22" s="42">
        <f t="shared" si="1"/>
        <v>82858</v>
      </c>
      <c r="AD22" s="44">
        <f>SUM(AD20:AD21)</f>
        <v>16364</v>
      </c>
      <c r="AE22" s="44">
        <f>SUM(AE20:AE21)</f>
        <v>22124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132994</v>
      </c>
      <c r="U24" s="52">
        <f t="shared" si="2"/>
        <v>15464.418604651162</v>
      </c>
      <c r="V24" s="51" t="e">
        <f t="shared" si="2"/>
        <v>#REF!</v>
      </c>
      <c r="W24" s="52">
        <f t="shared" si="2"/>
        <v>43131.299999999988</v>
      </c>
      <c r="X24" s="51" t="e">
        <f t="shared" si="2"/>
        <v>#REF!</v>
      </c>
      <c r="Y24" s="52">
        <f t="shared" si="2"/>
        <v>21379.41</v>
      </c>
      <c r="Z24" s="51">
        <f t="shared" si="2"/>
        <v>7687</v>
      </c>
      <c r="AA24" s="51">
        <f t="shared" si="2"/>
        <v>290</v>
      </c>
      <c r="AB24" s="51">
        <f t="shared" si="2"/>
        <v>1111</v>
      </c>
      <c r="AC24" s="51">
        <f t="shared" si="2"/>
        <v>82858</v>
      </c>
      <c r="AD24" s="51">
        <f t="shared" si="2"/>
        <v>16364</v>
      </c>
      <c r="AE24" s="51">
        <f t="shared" si="2"/>
        <v>22124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/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25570</v>
      </c>
      <c r="U25" s="32">
        <f>T25/215*25</f>
        <v>2973.2558139534885</v>
      </c>
      <c r="V25" s="47"/>
      <c r="W25" s="35">
        <v>7275.5999999999995</v>
      </c>
      <c r="X25" s="47"/>
      <c r="Y25" s="55">
        <v>3217.32</v>
      </c>
      <c r="Z25" s="31">
        <v>1324</v>
      </c>
      <c r="AA25" s="38"/>
      <c r="AB25" s="47"/>
      <c r="AC25" s="38">
        <v>11993</v>
      </c>
      <c r="AD25" s="47"/>
      <c r="AE25" s="47">
        <v>4882</v>
      </c>
      <c r="AF25" s="38"/>
      <c r="AG25" s="56"/>
    </row>
    <row r="26" spans="1:35" s="4" customFormat="1" ht="100.5" customHeight="1" thickBot="1" x14ac:dyDescent="0.25">
      <c r="A26" s="57">
        <v>45879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107424</v>
      </c>
      <c r="U26" s="59">
        <f>U24-U25</f>
        <v>12491.162790697674</v>
      </c>
      <c r="V26" s="60" t="e">
        <f t="shared" ref="V26:AG26" si="4">V24-V25</f>
        <v>#REF!</v>
      </c>
      <c r="W26" s="59">
        <f t="shared" si="4"/>
        <v>35855.69999999999</v>
      </c>
      <c r="X26" s="60" t="e">
        <f t="shared" si="4"/>
        <v>#REF!</v>
      </c>
      <c r="Y26" s="61">
        <f t="shared" si="4"/>
        <v>18162.09</v>
      </c>
      <c r="Z26" s="58">
        <f t="shared" si="4"/>
        <v>6363</v>
      </c>
      <c r="AA26" s="58">
        <f t="shared" si="4"/>
        <v>290</v>
      </c>
      <c r="AB26" s="60">
        <f t="shared" si="4"/>
        <v>1111</v>
      </c>
      <c r="AC26" s="58">
        <f t="shared" si="4"/>
        <v>70865</v>
      </c>
      <c r="AD26" s="60">
        <f t="shared" si="4"/>
        <v>16364</v>
      </c>
      <c r="AE26" s="60">
        <f t="shared" si="4"/>
        <v>17242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W25" sqref="W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222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45880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85384</v>
      </c>
      <c r="U20" s="34">
        <f>T20/215*25</f>
        <v>9928.3720930232557</v>
      </c>
      <c r="V20" s="33" t="e">
        <f>#REF!</f>
        <v>#REF!</v>
      </c>
      <c r="W20" s="33">
        <v>27850</v>
      </c>
      <c r="X20" s="33" t="e">
        <f>#REF!</f>
        <v>#REF!</v>
      </c>
      <c r="Y20" s="35">
        <v>13467</v>
      </c>
      <c r="Z20" s="31">
        <v>4550</v>
      </c>
      <c r="AA20" s="31">
        <v>150</v>
      </c>
      <c r="AB20" s="33">
        <v>0</v>
      </c>
      <c r="AC20" s="31">
        <v>38397</v>
      </c>
      <c r="AD20" s="33">
        <v>15240</v>
      </c>
      <c r="AE20" s="33">
        <v>12910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/>
      <c r="G21" s="32"/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22040</v>
      </c>
      <c r="U21" s="32">
        <f>T21/215*25</f>
        <v>2562.7906976744184</v>
      </c>
      <c r="V21" s="34"/>
      <c r="W21" s="32">
        <v>8005.699999999988</v>
      </c>
      <c r="X21" s="34">
        <v>0</v>
      </c>
      <c r="Y21" s="32">
        <v>4695.0900000000011</v>
      </c>
      <c r="Z21" s="38">
        <v>1813</v>
      </c>
      <c r="AA21" s="38">
        <v>140</v>
      </c>
      <c r="AB21" s="34">
        <v>1111</v>
      </c>
      <c r="AC21" s="38">
        <v>32468</v>
      </c>
      <c r="AD21" s="34">
        <v>1124</v>
      </c>
      <c r="AE21" s="34">
        <v>4332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107424</v>
      </c>
      <c r="U22" s="43">
        <f t="shared" si="1"/>
        <v>12491.162790697674</v>
      </c>
      <c r="V22" s="44" t="e">
        <f t="shared" si="1"/>
        <v>#REF!</v>
      </c>
      <c r="W22" s="45">
        <f t="shared" si="1"/>
        <v>35855.69999999999</v>
      </c>
      <c r="X22" s="44" t="e">
        <f t="shared" si="1"/>
        <v>#REF!</v>
      </c>
      <c r="Y22" s="43">
        <f>SUM(Y20:Y21)</f>
        <v>18162.09</v>
      </c>
      <c r="Z22" s="42">
        <f t="shared" si="1"/>
        <v>6363</v>
      </c>
      <c r="AA22" s="42">
        <f t="shared" si="1"/>
        <v>290</v>
      </c>
      <c r="AB22" s="44">
        <f t="shared" si="1"/>
        <v>1111</v>
      </c>
      <c r="AC22" s="42">
        <f t="shared" si="1"/>
        <v>70865</v>
      </c>
      <c r="AD22" s="44">
        <f>SUM(AD20:AD21)</f>
        <v>16364</v>
      </c>
      <c r="AE22" s="44">
        <f>SUM(AE20:AE21)</f>
        <v>17242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10000</v>
      </c>
      <c r="Z23" s="31">
        <v>2000</v>
      </c>
      <c r="AA23" s="31"/>
      <c r="AB23" s="31"/>
      <c r="AC23" s="31">
        <v>22500</v>
      </c>
      <c r="AD23" s="31"/>
      <c r="AE23" s="48">
        <v>7200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150424</v>
      </c>
      <c r="U24" s="52">
        <f t="shared" si="2"/>
        <v>17491.162790697672</v>
      </c>
      <c r="V24" s="51" t="e">
        <f t="shared" si="2"/>
        <v>#REF!</v>
      </c>
      <c r="W24" s="52">
        <f t="shared" si="2"/>
        <v>50855.69999999999</v>
      </c>
      <c r="X24" s="51" t="e">
        <f t="shared" si="2"/>
        <v>#REF!</v>
      </c>
      <c r="Y24" s="52">
        <f t="shared" si="2"/>
        <v>28162.09</v>
      </c>
      <c r="Z24" s="51">
        <f t="shared" si="2"/>
        <v>8363</v>
      </c>
      <c r="AA24" s="51">
        <f t="shared" si="2"/>
        <v>290</v>
      </c>
      <c r="AB24" s="51">
        <f t="shared" si="2"/>
        <v>1111</v>
      </c>
      <c r="AC24" s="51">
        <f t="shared" si="2"/>
        <v>93365</v>
      </c>
      <c r="AD24" s="51">
        <f t="shared" si="2"/>
        <v>16364</v>
      </c>
      <c r="AE24" s="51">
        <f t="shared" si="2"/>
        <v>24442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/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25368</v>
      </c>
      <c r="U25" s="32">
        <f>T25/215*25</f>
        <v>2949.7674418604652</v>
      </c>
      <c r="V25" s="47"/>
      <c r="W25" s="35">
        <v>7789.5</v>
      </c>
      <c r="X25" s="47"/>
      <c r="Y25" s="55">
        <f>Z25*2.43</f>
        <v>3397.1400000000003</v>
      </c>
      <c r="Z25" s="31">
        <v>1398</v>
      </c>
      <c r="AA25" s="38"/>
      <c r="AB25" s="47"/>
      <c r="AC25" s="38">
        <v>12389</v>
      </c>
      <c r="AD25" s="47">
        <v>0</v>
      </c>
      <c r="AE25" s="47">
        <v>4913</v>
      </c>
      <c r="AF25" s="38"/>
      <c r="AG25" s="56"/>
    </row>
    <row r="26" spans="1:35" s="4" customFormat="1" ht="100.5" customHeight="1" thickBot="1" x14ac:dyDescent="0.25">
      <c r="A26" s="57">
        <v>45886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125056</v>
      </c>
      <c r="U26" s="59">
        <f>U24-U25</f>
        <v>14541.395348837206</v>
      </c>
      <c r="V26" s="60" t="e">
        <f t="shared" ref="V26:AG26" si="4">V24-V25</f>
        <v>#REF!</v>
      </c>
      <c r="W26" s="59">
        <f t="shared" si="4"/>
        <v>43066.19999999999</v>
      </c>
      <c r="X26" s="60" t="e">
        <f t="shared" si="4"/>
        <v>#REF!</v>
      </c>
      <c r="Y26" s="61">
        <f t="shared" si="4"/>
        <v>24764.95</v>
      </c>
      <c r="Z26" s="58">
        <f t="shared" si="4"/>
        <v>6965</v>
      </c>
      <c r="AA26" s="58">
        <f t="shared" si="4"/>
        <v>290</v>
      </c>
      <c r="AB26" s="60">
        <f t="shared" si="4"/>
        <v>1111</v>
      </c>
      <c r="AC26" s="58">
        <f t="shared" si="4"/>
        <v>80976</v>
      </c>
      <c r="AD26" s="60">
        <f t="shared" si="4"/>
        <v>16364</v>
      </c>
      <c r="AE26" s="60">
        <f t="shared" si="4"/>
        <v>19529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Z25" sqref="Z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223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208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30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45887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103659</v>
      </c>
      <c r="U20" s="34">
        <f>T20/215*25</f>
        <v>12053.372093023256</v>
      </c>
      <c r="V20" s="33" t="e">
        <f>#REF!</f>
        <v>#REF!</v>
      </c>
      <c r="W20" s="33">
        <v>36100</v>
      </c>
      <c r="X20" s="33" t="e">
        <f>#REF!</f>
        <v>#REF!</v>
      </c>
      <c r="Y20" s="35">
        <v>19943.5</v>
      </c>
      <c r="Z20" s="31">
        <v>5100</v>
      </c>
      <c r="AA20" s="31">
        <v>150</v>
      </c>
      <c r="AB20" s="33">
        <v>0</v>
      </c>
      <c r="AC20" s="31">
        <v>51147</v>
      </c>
      <c r="AD20" s="33">
        <v>15240</v>
      </c>
      <c r="AE20" s="33">
        <v>13810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/>
      <c r="G21" s="32"/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21397</v>
      </c>
      <c r="U21" s="32">
        <f>T21/215*25</f>
        <v>2488.0232558139537</v>
      </c>
      <c r="V21" s="34"/>
      <c r="W21" s="32">
        <v>6966.199999999988</v>
      </c>
      <c r="X21" s="34">
        <v>0</v>
      </c>
      <c r="Y21" s="32">
        <v>4821.45</v>
      </c>
      <c r="Z21" s="38">
        <v>1865</v>
      </c>
      <c r="AA21" s="38">
        <v>140</v>
      </c>
      <c r="AB21" s="34">
        <v>1111</v>
      </c>
      <c r="AC21" s="38">
        <v>29829</v>
      </c>
      <c r="AD21" s="34">
        <v>1124</v>
      </c>
      <c r="AE21" s="34">
        <v>5719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125056</v>
      </c>
      <c r="U22" s="43">
        <f t="shared" si="1"/>
        <v>14541.39534883721</v>
      </c>
      <c r="V22" s="44" t="e">
        <f t="shared" si="1"/>
        <v>#REF!</v>
      </c>
      <c r="W22" s="45">
        <f t="shared" si="1"/>
        <v>43066.19999999999</v>
      </c>
      <c r="X22" s="44" t="e">
        <f t="shared" si="1"/>
        <v>#REF!</v>
      </c>
      <c r="Y22" s="43">
        <f>SUM(Y20:Y21)</f>
        <v>24764.95</v>
      </c>
      <c r="Z22" s="42">
        <f t="shared" si="1"/>
        <v>6965</v>
      </c>
      <c r="AA22" s="42">
        <f t="shared" si="1"/>
        <v>290</v>
      </c>
      <c r="AB22" s="44">
        <f t="shared" si="1"/>
        <v>1111</v>
      </c>
      <c r="AC22" s="42">
        <f t="shared" si="1"/>
        <v>80976</v>
      </c>
      <c r="AD22" s="44">
        <f>SUM(AD20:AD21)</f>
        <v>16364</v>
      </c>
      <c r="AE22" s="44">
        <f>SUM(AE20:AE21)</f>
        <v>19529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/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125056</v>
      </c>
      <c r="U24" s="52">
        <f t="shared" si="2"/>
        <v>14541.39534883721</v>
      </c>
      <c r="V24" s="51" t="e">
        <f t="shared" si="2"/>
        <v>#REF!</v>
      </c>
      <c r="W24" s="52">
        <f t="shared" si="2"/>
        <v>43066.19999999999</v>
      </c>
      <c r="X24" s="51" t="e">
        <f t="shared" si="2"/>
        <v>#REF!</v>
      </c>
      <c r="Y24" s="52">
        <f t="shared" si="2"/>
        <v>24764.95</v>
      </c>
      <c r="Z24" s="51">
        <f t="shared" si="2"/>
        <v>6965</v>
      </c>
      <c r="AA24" s="51">
        <f t="shared" si="2"/>
        <v>290</v>
      </c>
      <c r="AB24" s="51">
        <f t="shared" si="2"/>
        <v>1111</v>
      </c>
      <c r="AC24" s="51">
        <f t="shared" si="2"/>
        <v>80976</v>
      </c>
      <c r="AD24" s="51">
        <f t="shared" si="2"/>
        <v>16364</v>
      </c>
      <c r="AE24" s="51">
        <f t="shared" si="2"/>
        <v>19529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/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23440</v>
      </c>
      <c r="U25" s="32">
        <f>T25/215*25</f>
        <v>2725.5813953488368</v>
      </c>
      <c r="V25" s="47"/>
      <c r="W25" s="35">
        <v>7243.2</v>
      </c>
      <c r="X25" s="47"/>
      <c r="Y25" s="55">
        <v>3073.9500000000003</v>
      </c>
      <c r="Z25" s="31">
        <v>1265</v>
      </c>
      <c r="AA25" s="38"/>
      <c r="AB25" s="47"/>
      <c r="AC25" s="38">
        <v>11548</v>
      </c>
      <c r="AD25" s="47"/>
      <c r="AE25" s="47">
        <v>4604</v>
      </c>
      <c r="AF25" s="38"/>
      <c r="AG25" s="56"/>
    </row>
    <row r="26" spans="1:35" s="4" customFormat="1" ht="100.5" customHeight="1" thickBot="1" x14ac:dyDescent="0.25">
      <c r="A26" s="57">
        <v>45893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0</v>
      </c>
      <c r="G26" s="58">
        <f t="shared" si="3"/>
        <v>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101616</v>
      </c>
      <c r="U26" s="59">
        <f>U24-U25</f>
        <v>11815.813953488374</v>
      </c>
      <c r="V26" s="60" t="e">
        <f t="shared" ref="V26:AG26" si="4">V24-V25</f>
        <v>#REF!</v>
      </c>
      <c r="W26" s="59">
        <f t="shared" si="4"/>
        <v>35822.999999999993</v>
      </c>
      <c r="X26" s="60" t="e">
        <f t="shared" si="4"/>
        <v>#REF!</v>
      </c>
      <c r="Y26" s="61">
        <f t="shared" si="4"/>
        <v>21691</v>
      </c>
      <c r="Z26" s="58">
        <f t="shared" si="4"/>
        <v>5700</v>
      </c>
      <c r="AA26" s="58">
        <f t="shared" si="4"/>
        <v>290</v>
      </c>
      <c r="AB26" s="60">
        <f t="shared" si="4"/>
        <v>1111</v>
      </c>
      <c r="AC26" s="58">
        <f t="shared" si="4"/>
        <v>69428</v>
      </c>
      <c r="AD26" s="60">
        <f t="shared" si="4"/>
        <v>16364</v>
      </c>
      <c r="AE26" s="60">
        <f t="shared" si="4"/>
        <v>14925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0" zoomScale="70" zoomScaleNormal="70" workbookViewId="0">
      <selection activeCell="AA25" sqref="AA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224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45894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78459</v>
      </c>
      <c r="U20" s="34">
        <f>T20/215*25</f>
        <v>9123.1395348837214</v>
      </c>
      <c r="V20" s="33" t="e">
        <f>#REF!</f>
        <v>#REF!</v>
      </c>
      <c r="W20" s="33">
        <v>28100</v>
      </c>
      <c r="X20" s="33" t="e">
        <f>#REF!</f>
        <v>#REF!</v>
      </c>
      <c r="Y20" s="35">
        <v>16784.5</v>
      </c>
      <c r="Z20" s="31">
        <v>3800</v>
      </c>
      <c r="AA20" s="31">
        <v>150</v>
      </c>
      <c r="AB20" s="33">
        <v>0</v>
      </c>
      <c r="AC20" s="31">
        <v>41397</v>
      </c>
      <c r="AD20" s="33">
        <v>15240</v>
      </c>
      <c r="AE20" s="33">
        <v>9310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20000</v>
      </c>
      <c r="G21" s="32">
        <f>F21/200*25</f>
        <v>2500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23157</v>
      </c>
      <c r="U21" s="32">
        <f>T21/215*25</f>
        <v>2692.6744186046512</v>
      </c>
      <c r="V21" s="34"/>
      <c r="W21" s="32">
        <v>7722.9999999999882</v>
      </c>
      <c r="X21" s="34">
        <v>0</v>
      </c>
      <c r="Y21" s="32">
        <v>4906.4999999999991</v>
      </c>
      <c r="Z21" s="38">
        <v>1900</v>
      </c>
      <c r="AA21" s="38">
        <v>140</v>
      </c>
      <c r="AB21" s="34">
        <v>1111</v>
      </c>
      <c r="AC21" s="38">
        <v>28031</v>
      </c>
      <c r="AD21" s="34">
        <v>1124</v>
      </c>
      <c r="AE21" s="34">
        <v>5615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20000</v>
      </c>
      <c r="G22" s="43">
        <f t="shared" si="1"/>
        <v>2500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101616</v>
      </c>
      <c r="U22" s="43">
        <f t="shared" si="1"/>
        <v>11815.813953488372</v>
      </c>
      <c r="V22" s="44" t="e">
        <f t="shared" si="1"/>
        <v>#REF!</v>
      </c>
      <c r="W22" s="45">
        <f t="shared" si="1"/>
        <v>35822.999999999985</v>
      </c>
      <c r="X22" s="44" t="e">
        <f t="shared" si="1"/>
        <v>#REF!</v>
      </c>
      <c r="Y22" s="43">
        <f>SUM(Y20:Y21)</f>
        <v>21691</v>
      </c>
      <c r="Z22" s="42">
        <f t="shared" si="1"/>
        <v>5700</v>
      </c>
      <c r="AA22" s="42">
        <f t="shared" si="1"/>
        <v>290</v>
      </c>
      <c r="AB22" s="44">
        <f t="shared" si="1"/>
        <v>1111</v>
      </c>
      <c r="AC22" s="42">
        <f t="shared" si="1"/>
        <v>69428</v>
      </c>
      <c r="AD22" s="44">
        <f>SUM(AD20:AD21)</f>
        <v>16364</v>
      </c>
      <c r="AE22" s="44">
        <f>SUM(AE20:AE21)</f>
        <v>14925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40000</v>
      </c>
      <c r="G23" s="32">
        <f>F23/200*25</f>
        <v>5000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>
        <v>15000</v>
      </c>
      <c r="X23" s="31"/>
      <c r="Y23" s="31">
        <v>4000</v>
      </c>
      <c r="Z23" s="31">
        <v>2000</v>
      </c>
      <c r="AA23" s="31"/>
      <c r="AB23" s="31"/>
      <c r="AC23" s="31">
        <v>20500</v>
      </c>
      <c r="AD23" s="31"/>
      <c r="AE23" s="48">
        <v>9500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60000</v>
      </c>
      <c r="G24" s="52">
        <f t="shared" si="2"/>
        <v>7500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101616</v>
      </c>
      <c r="U24" s="52">
        <f t="shared" si="2"/>
        <v>11815.813953488372</v>
      </c>
      <c r="V24" s="51" t="e">
        <f t="shared" si="2"/>
        <v>#REF!</v>
      </c>
      <c r="W24" s="52">
        <f t="shared" si="2"/>
        <v>50822.999999999985</v>
      </c>
      <c r="X24" s="51" t="e">
        <f t="shared" si="2"/>
        <v>#REF!</v>
      </c>
      <c r="Y24" s="52">
        <f t="shared" si="2"/>
        <v>25691</v>
      </c>
      <c r="Z24" s="51">
        <f t="shared" si="2"/>
        <v>7700</v>
      </c>
      <c r="AA24" s="51">
        <f t="shared" si="2"/>
        <v>290</v>
      </c>
      <c r="AB24" s="51">
        <f t="shared" si="2"/>
        <v>1111</v>
      </c>
      <c r="AC24" s="51">
        <f t="shared" si="2"/>
        <v>89928</v>
      </c>
      <c r="AD24" s="51">
        <f t="shared" si="2"/>
        <v>16364</v>
      </c>
      <c r="AE24" s="51">
        <f t="shared" si="2"/>
        <v>24425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F25/200*25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25083</v>
      </c>
      <c r="U25" s="32">
        <f>T25/215*25</f>
        <v>2916.6279069767443</v>
      </c>
      <c r="V25" s="47"/>
      <c r="W25" s="35">
        <v>7747.4000000000005</v>
      </c>
      <c r="X25" s="47"/>
      <c r="Y25" s="55">
        <v>3309.6600000000008</v>
      </c>
      <c r="Z25" s="31">
        <v>1362</v>
      </c>
      <c r="AA25" s="38"/>
      <c r="AB25" s="47"/>
      <c r="AC25" s="38">
        <v>12335</v>
      </c>
      <c r="AD25" s="47"/>
      <c r="AE25" s="47">
        <v>4979</v>
      </c>
      <c r="AF25" s="38"/>
      <c r="AG25" s="56"/>
    </row>
    <row r="26" spans="1:35" s="4" customFormat="1" ht="100.5" customHeight="1" thickBot="1" x14ac:dyDescent="0.25">
      <c r="A26" s="57">
        <v>45900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60000</v>
      </c>
      <c r="G26" s="58">
        <f t="shared" si="3"/>
        <v>7500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76533</v>
      </c>
      <c r="U26" s="59">
        <f>U24-U25</f>
        <v>8899.1860465116279</v>
      </c>
      <c r="V26" s="60" t="e">
        <f t="shared" ref="V26:AG26" si="4">V24-V25</f>
        <v>#REF!</v>
      </c>
      <c r="W26" s="59">
        <f t="shared" si="4"/>
        <v>43075.599999999984</v>
      </c>
      <c r="X26" s="60" t="e">
        <f t="shared" si="4"/>
        <v>#REF!</v>
      </c>
      <c r="Y26" s="61">
        <f t="shared" si="4"/>
        <v>22381.34</v>
      </c>
      <c r="Z26" s="58">
        <f t="shared" si="4"/>
        <v>6338</v>
      </c>
      <c r="AA26" s="58">
        <f t="shared" si="4"/>
        <v>290</v>
      </c>
      <c r="AB26" s="60">
        <f t="shared" si="4"/>
        <v>1111</v>
      </c>
      <c r="AC26" s="58">
        <f t="shared" si="4"/>
        <v>77593</v>
      </c>
      <c r="AD26" s="60">
        <f t="shared" si="4"/>
        <v>16364</v>
      </c>
      <c r="AE26" s="60">
        <f t="shared" si="4"/>
        <v>19446</v>
      </c>
      <c r="AF26" s="58">
        <f t="shared" si="4"/>
        <v>1645</v>
      </c>
      <c r="AG26" s="62">
        <f t="shared" si="4"/>
        <v>260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226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45901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40000</v>
      </c>
      <c r="G20" s="32">
        <f>F20/208*25</f>
        <v>4807.6923076923076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55000</v>
      </c>
      <c r="U20" s="34">
        <f>T20/215*25</f>
        <v>6395.3488372093025</v>
      </c>
      <c r="V20" s="33" t="e">
        <f>#REF!</f>
        <v>#REF!</v>
      </c>
      <c r="W20" s="33">
        <v>36100</v>
      </c>
      <c r="X20" s="33" t="e">
        <f>#REF!</f>
        <v>#REF!</v>
      </c>
      <c r="Y20" s="35">
        <v>17868.5</v>
      </c>
      <c r="Z20" s="31">
        <v>4600</v>
      </c>
      <c r="AA20" s="31">
        <v>150</v>
      </c>
      <c r="AB20" s="33">
        <v>0</v>
      </c>
      <c r="AC20" s="31">
        <v>44897</v>
      </c>
      <c r="AD20" s="33">
        <v>15240</v>
      </c>
      <c r="AE20" s="33">
        <v>14310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20000</v>
      </c>
      <c r="G21" s="32">
        <f>F21/200*25</f>
        <v>2500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22533</v>
      </c>
      <c r="U21" s="32">
        <f>T21/215*25</f>
        <v>2620.1162790697672</v>
      </c>
      <c r="V21" s="34"/>
      <c r="W21" s="32">
        <v>6975.5999999999904</v>
      </c>
      <c r="X21" s="34">
        <v>0</v>
      </c>
      <c r="Y21" s="32">
        <v>4512.8399999999983</v>
      </c>
      <c r="Z21" s="38">
        <v>1738</v>
      </c>
      <c r="AA21" s="38">
        <v>140</v>
      </c>
      <c r="AB21" s="34">
        <v>1111</v>
      </c>
      <c r="AC21" s="38">
        <v>32696</v>
      </c>
      <c r="AD21" s="34">
        <v>1124</v>
      </c>
      <c r="AE21" s="34">
        <v>5136</v>
      </c>
      <c r="AF21" s="38">
        <v>1030</v>
      </c>
      <c r="AG21" s="39">
        <v>130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60000</v>
      </c>
      <c r="G22" s="43">
        <f t="shared" si="1"/>
        <v>7307.6923076923076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77533</v>
      </c>
      <c r="U22" s="43">
        <f t="shared" si="1"/>
        <v>9015.4651162790688</v>
      </c>
      <c r="V22" s="44" t="e">
        <f t="shared" si="1"/>
        <v>#REF!</v>
      </c>
      <c r="W22" s="45">
        <f t="shared" si="1"/>
        <v>43075.599999999991</v>
      </c>
      <c r="X22" s="44" t="e">
        <f t="shared" si="1"/>
        <v>#REF!</v>
      </c>
      <c r="Y22" s="43">
        <f>SUM(Y20:Y21)</f>
        <v>22381.339999999997</v>
      </c>
      <c r="Z22" s="42">
        <f t="shared" si="1"/>
        <v>6338</v>
      </c>
      <c r="AA22" s="42">
        <f t="shared" si="1"/>
        <v>290</v>
      </c>
      <c r="AB22" s="44">
        <f t="shared" si="1"/>
        <v>1111</v>
      </c>
      <c r="AC22" s="42">
        <f t="shared" si="1"/>
        <v>77593</v>
      </c>
      <c r="AD22" s="44">
        <f>SUM(AD20:AD21)</f>
        <v>16364</v>
      </c>
      <c r="AE22" s="44">
        <f>SUM(AE20:AE21)</f>
        <v>19446</v>
      </c>
      <c r="AF22" s="42">
        <f t="shared" si="1"/>
        <v>1645</v>
      </c>
      <c r="AG22" s="46">
        <f t="shared" si="1"/>
        <v>260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60000</v>
      </c>
      <c r="G24" s="52">
        <f t="shared" si="2"/>
        <v>7307.6923076923076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77533</v>
      </c>
      <c r="U24" s="52">
        <f t="shared" si="2"/>
        <v>9015.4651162790688</v>
      </c>
      <c r="V24" s="51" t="e">
        <f t="shared" si="2"/>
        <v>#REF!</v>
      </c>
      <c r="W24" s="52">
        <f t="shared" si="2"/>
        <v>43075.599999999991</v>
      </c>
      <c r="X24" s="51" t="e">
        <f t="shared" si="2"/>
        <v>#REF!</v>
      </c>
      <c r="Y24" s="52">
        <f t="shared" si="2"/>
        <v>22381.339999999997</v>
      </c>
      <c r="Z24" s="51">
        <f t="shared" si="2"/>
        <v>6338</v>
      </c>
      <c r="AA24" s="51">
        <f t="shared" si="2"/>
        <v>290</v>
      </c>
      <c r="AB24" s="51">
        <f t="shared" si="2"/>
        <v>1111</v>
      </c>
      <c r="AC24" s="51">
        <f t="shared" si="2"/>
        <v>77593</v>
      </c>
      <c r="AD24" s="51">
        <f t="shared" si="2"/>
        <v>16364</v>
      </c>
      <c r="AE24" s="51">
        <f t="shared" si="2"/>
        <v>19446</v>
      </c>
      <c r="AF24" s="51">
        <f t="shared" si="2"/>
        <v>1645</v>
      </c>
      <c r="AG24" s="53">
        <f t="shared" si="2"/>
        <v>260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12883</v>
      </c>
      <c r="G25" s="32">
        <f>F25/200*25</f>
        <v>1610.3750000000002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25326</v>
      </c>
      <c r="U25" s="32">
        <f>T25/215*25</f>
        <v>2944.8837209302328</v>
      </c>
      <c r="V25" s="47"/>
      <c r="W25" s="35">
        <v>7332.6</v>
      </c>
      <c r="X25" s="47"/>
      <c r="Y25" s="55">
        <v>3176.01</v>
      </c>
      <c r="Z25" s="31">
        <v>1307</v>
      </c>
      <c r="AA25" s="38"/>
      <c r="AB25" s="47"/>
      <c r="AC25" s="38">
        <v>12029</v>
      </c>
      <c r="AD25" s="47"/>
      <c r="AE25" s="47">
        <v>4789</v>
      </c>
      <c r="AF25" s="38"/>
      <c r="AG25" s="56">
        <v>10</v>
      </c>
    </row>
    <row r="26" spans="1:35" s="4" customFormat="1" ht="100.5" customHeight="1" thickBot="1" x14ac:dyDescent="0.25">
      <c r="A26" s="57">
        <v>45907</v>
      </c>
      <c r="B26" s="161" t="s">
        <v>45</v>
      </c>
      <c r="C26" s="162"/>
      <c r="D26" s="58">
        <f t="shared" ref="D26:S26" si="3">D24-D25</f>
        <v>0</v>
      </c>
      <c r="E26" s="58">
        <f t="shared" si="3"/>
        <v>0</v>
      </c>
      <c r="F26" s="58">
        <f t="shared" si="3"/>
        <v>47117</v>
      </c>
      <c r="G26" s="58">
        <f t="shared" si="3"/>
        <v>5697.3173076923076</v>
      </c>
      <c r="H26" s="60" t="e">
        <f t="shared" si="3"/>
        <v>#REF!</v>
      </c>
      <c r="I26" s="60" t="e">
        <f t="shared" si="3"/>
        <v>#REF!</v>
      </c>
      <c r="J26" s="60">
        <f t="shared" si="3"/>
        <v>0</v>
      </c>
      <c r="K26" s="59">
        <f t="shared" si="3"/>
        <v>0</v>
      </c>
      <c r="L26" s="60">
        <f t="shared" si="3"/>
        <v>0</v>
      </c>
      <c r="M26" s="59">
        <f t="shared" si="3"/>
        <v>0</v>
      </c>
      <c r="N26" s="60" t="e">
        <f t="shared" si="3"/>
        <v>#REF!</v>
      </c>
      <c r="O26" s="60" t="e">
        <f t="shared" si="3"/>
        <v>#REF!</v>
      </c>
      <c r="P26" s="58">
        <f t="shared" si="3"/>
        <v>0</v>
      </c>
      <c r="Q26" s="59">
        <f t="shared" si="3"/>
        <v>0</v>
      </c>
      <c r="R26" s="58">
        <f t="shared" si="3"/>
        <v>0</v>
      </c>
      <c r="S26" s="59">
        <f t="shared" si="3"/>
        <v>0</v>
      </c>
      <c r="T26" s="58">
        <f>T24-T25</f>
        <v>52207</v>
      </c>
      <c r="U26" s="59">
        <f>U24-U25</f>
        <v>6070.5813953488359</v>
      </c>
      <c r="V26" s="60" t="e">
        <f t="shared" ref="V26:AG26" si="4">V24-V25</f>
        <v>#REF!</v>
      </c>
      <c r="W26" s="59">
        <f t="shared" si="4"/>
        <v>35742.999999999993</v>
      </c>
      <c r="X26" s="60" t="e">
        <f t="shared" si="4"/>
        <v>#REF!</v>
      </c>
      <c r="Y26" s="61">
        <f t="shared" si="4"/>
        <v>19205.329999999994</v>
      </c>
      <c r="Z26" s="58">
        <f t="shared" si="4"/>
        <v>5031</v>
      </c>
      <c r="AA26" s="58">
        <f t="shared" si="4"/>
        <v>290</v>
      </c>
      <c r="AB26" s="60">
        <f t="shared" si="4"/>
        <v>1111</v>
      </c>
      <c r="AC26" s="58">
        <f t="shared" si="4"/>
        <v>65564</v>
      </c>
      <c r="AD26" s="60">
        <f t="shared" si="4"/>
        <v>16364</v>
      </c>
      <c r="AE26" s="60">
        <f t="shared" si="4"/>
        <v>14657</v>
      </c>
      <c r="AF26" s="58">
        <f t="shared" si="4"/>
        <v>1645</v>
      </c>
      <c r="AG26" s="62">
        <f t="shared" si="4"/>
        <v>250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54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149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4"/>
  <sheetViews>
    <sheetView topLeftCell="A10" zoomScale="70" zoomScaleNormal="70" workbookViewId="0">
      <selection activeCell="W26" sqref="W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227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45908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33000</v>
      </c>
      <c r="G20" s="32">
        <f>F20/208*25</f>
        <v>3966.3461538461538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30875</v>
      </c>
      <c r="U20" s="34">
        <f>T20/215*25</f>
        <v>3590.1162790697676</v>
      </c>
      <c r="V20" s="33" t="e">
        <f>#REF!</f>
        <v>#REF!</v>
      </c>
      <c r="W20" s="33">
        <v>20850</v>
      </c>
      <c r="X20" s="33" t="e">
        <f>#REF!</f>
        <v>#REF!</v>
      </c>
      <c r="Y20" s="35">
        <v>15073.5</v>
      </c>
      <c r="Z20" s="31">
        <v>3450</v>
      </c>
      <c r="AA20" s="31">
        <v>150</v>
      </c>
      <c r="AB20" s="33">
        <v>0</v>
      </c>
      <c r="AC20" s="31">
        <v>32397</v>
      </c>
      <c r="AD20" s="33">
        <v>15240</v>
      </c>
      <c r="AE20" s="33">
        <v>8410</v>
      </c>
      <c r="AF20" s="31">
        <v>615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14117</v>
      </c>
      <c r="G21" s="32">
        <f>F21/200*25</f>
        <v>1764.6249999999998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20332</v>
      </c>
      <c r="U21" s="32">
        <f>T21/215*25</f>
        <v>2364.1860465116279</v>
      </c>
      <c r="V21" s="34"/>
      <c r="W21" s="32">
        <v>14892.999999999989</v>
      </c>
      <c r="X21" s="34"/>
      <c r="Y21" s="32">
        <v>4131.829999999999</v>
      </c>
      <c r="Z21" s="38">
        <v>1581</v>
      </c>
      <c r="AA21" s="38">
        <v>140</v>
      </c>
      <c r="AB21" s="34">
        <v>1111</v>
      </c>
      <c r="AC21" s="38">
        <v>33167</v>
      </c>
      <c r="AD21" s="34">
        <v>1124</v>
      </c>
      <c r="AE21" s="34">
        <v>6247</v>
      </c>
      <c r="AF21" s="38">
        <v>1030</v>
      </c>
      <c r="AG21" s="39">
        <v>120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47117</v>
      </c>
      <c r="G22" s="43">
        <f t="shared" si="1"/>
        <v>5730.9711538461534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51207</v>
      </c>
      <c r="U22" s="43">
        <f t="shared" si="1"/>
        <v>5954.3023255813951</v>
      </c>
      <c r="V22" s="44" t="e">
        <f t="shared" si="1"/>
        <v>#REF!</v>
      </c>
      <c r="W22" s="45">
        <f t="shared" si="1"/>
        <v>35742.999999999985</v>
      </c>
      <c r="X22" s="44" t="e">
        <f t="shared" si="1"/>
        <v>#REF!</v>
      </c>
      <c r="Y22" s="43">
        <f>SUM(Y20:Y21)</f>
        <v>19205.329999999998</v>
      </c>
      <c r="Z22" s="42">
        <f t="shared" si="1"/>
        <v>5031</v>
      </c>
      <c r="AA22" s="42">
        <f t="shared" si="1"/>
        <v>290</v>
      </c>
      <c r="AB22" s="44">
        <f t="shared" si="1"/>
        <v>1111</v>
      </c>
      <c r="AC22" s="42">
        <f t="shared" si="1"/>
        <v>65564</v>
      </c>
      <c r="AD22" s="44">
        <f>SUM(AD20:AD21)</f>
        <v>16364</v>
      </c>
      <c r="AE22" s="44">
        <f>SUM(AE20:AE21)</f>
        <v>14657</v>
      </c>
      <c r="AF22" s="42">
        <f t="shared" si="1"/>
        <v>1645</v>
      </c>
      <c r="AG22" s="46">
        <f t="shared" si="1"/>
        <v>250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15000</v>
      </c>
      <c r="X23" s="31"/>
      <c r="Y23" s="31">
        <v>4000</v>
      </c>
      <c r="Z23" s="31">
        <v>3000</v>
      </c>
      <c r="AA23" s="31"/>
      <c r="AB23" s="31"/>
      <c r="AC23" s="31">
        <v>28640</v>
      </c>
      <c r="AD23" s="31"/>
      <c r="AE23" s="48">
        <v>12200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67117</v>
      </c>
      <c r="G24" s="52">
        <f t="shared" si="2"/>
        <v>8230.9711538461524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72707</v>
      </c>
      <c r="U24" s="52">
        <f t="shared" si="2"/>
        <v>8454.3023255813951</v>
      </c>
      <c r="V24" s="51" t="e">
        <f t="shared" si="2"/>
        <v>#REF!</v>
      </c>
      <c r="W24" s="52">
        <f t="shared" si="2"/>
        <v>50742.999999999985</v>
      </c>
      <c r="X24" s="51" t="e">
        <f t="shared" si="2"/>
        <v>#REF!</v>
      </c>
      <c r="Y24" s="52">
        <f t="shared" si="2"/>
        <v>23205.329999999998</v>
      </c>
      <c r="Z24" s="51">
        <f t="shared" si="2"/>
        <v>8031</v>
      </c>
      <c r="AA24" s="51">
        <f t="shared" si="2"/>
        <v>290</v>
      </c>
      <c r="AB24" s="51">
        <f t="shared" si="2"/>
        <v>1111</v>
      </c>
      <c r="AC24" s="51">
        <f t="shared" si="2"/>
        <v>94204</v>
      </c>
      <c r="AD24" s="51">
        <f t="shared" si="2"/>
        <v>16364</v>
      </c>
      <c r="AE24" s="51">
        <f t="shared" si="2"/>
        <v>26857</v>
      </c>
      <c r="AF24" s="51">
        <f t="shared" si="2"/>
        <v>1645</v>
      </c>
      <c r="AG24" s="53">
        <f t="shared" si="2"/>
        <v>250</v>
      </c>
    </row>
    <row r="25" spans="1:35" ht="54" customHeight="1" x14ac:dyDescent="0.3">
      <c r="A25" s="222" t="s">
        <v>228</v>
      </c>
      <c r="B25" s="223"/>
      <c r="C25" s="224"/>
      <c r="D25" s="102"/>
      <c r="E25" s="102"/>
      <c r="F25" s="48"/>
      <c r="G25" s="103"/>
      <c r="H25" s="48"/>
      <c r="I25" s="48"/>
      <c r="J25" s="48"/>
      <c r="K25" s="48"/>
      <c r="L25" s="48"/>
      <c r="M25" s="48"/>
      <c r="N25" s="48"/>
      <c r="O25" s="48"/>
      <c r="P25" s="48"/>
      <c r="Q25" s="103"/>
      <c r="R25" s="48"/>
      <c r="S25" s="48"/>
      <c r="T25" s="48"/>
      <c r="U25" s="103"/>
      <c r="V25" s="48"/>
      <c r="W25" s="103">
        <f>170*25</f>
        <v>4250</v>
      </c>
      <c r="X25" s="48"/>
      <c r="Y25" s="103"/>
      <c r="Z25" s="48"/>
      <c r="AA25" s="48"/>
      <c r="AB25" s="48"/>
      <c r="AC25" s="48"/>
      <c r="AD25" s="48"/>
      <c r="AE25" s="48"/>
      <c r="AF25" s="48"/>
      <c r="AG25" s="49"/>
    </row>
    <row r="26" spans="1:35" ht="75.75" customHeight="1" x14ac:dyDescent="0.3">
      <c r="A26" s="158" t="s">
        <v>44</v>
      </c>
      <c r="B26" s="159"/>
      <c r="C26" s="160"/>
      <c r="D26" s="85">
        <v>0</v>
      </c>
      <c r="E26" s="85">
        <v>0</v>
      </c>
      <c r="F26" s="31">
        <v>5554</v>
      </c>
      <c r="G26" s="32">
        <f>F26/200*25</f>
        <v>694.25</v>
      </c>
      <c r="H26" s="47"/>
      <c r="I26" s="47"/>
      <c r="J26" s="47"/>
      <c r="K26" s="38"/>
      <c r="L26" s="47"/>
      <c r="M26" s="32"/>
      <c r="N26" s="47"/>
      <c r="O26" s="47"/>
      <c r="P26" s="47">
        <v>0</v>
      </c>
      <c r="Q26" s="32">
        <v>0</v>
      </c>
      <c r="R26" s="38"/>
      <c r="S26" s="32"/>
      <c r="T26" s="31">
        <v>22366</v>
      </c>
      <c r="U26" s="32">
        <f>T26/215*25</f>
        <v>2600.6976744186049</v>
      </c>
      <c r="V26" s="47"/>
      <c r="W26" s="35">
        <v>9205.8000000000011</v>
      </c>
      <c r="X26" s="47"/>
      <c r="Y26" s="55">
        <v>3178.4400000000005</v>
      </c>
      <c r="Z26" s="31">
        <v>1308</v>
      </c>
      <c r="AA26" s="38"/>
      <c r="AB26" s="47"/>
      <c r="AC26" s="38">
        <v>11899</v>
      </c>
      <c r="AD26" s="47"/>
      <c r="AE26" s="47">
        <v>4924</v>
      </c>
      <c r="AF26" s="38">
        <v>100</v>
      </c>
      <c r="AG26" s="56">
        <v>8</v>
      </c>
    </row>
    <row r="27" spans="1:35" s="4" customFormat="1" ht="100.5" customHeight="1" thickBot="1" x14ac:dyDescent="0.25">
      <c r="A27" s="57">
        <v>45914</v>
      </c>
      <c r="B27" s="161" t="s">
        <v>45</v>
      </c>
      <c r="C27" s="162"/>
      <c r="D27" s="58">
        <f t="shared" ref="D27:E27" si="3">D24-D26</f>
        <v>0</v>
      </c>
      <c r="E27" s="58">
        <f t="shared" si="3"/>
        <v>0</v>
      </c>
      <c r="F27" s="58">
        <f>F24-F26-F25</f>
        <v>61563</v>
      </c>
      <c r="G27" s="58">
        <f t="shared" ref="G27:AG27" si="4">G24-G26-G25</f>
        <v>7536.7211538461524</v>
      </c>
      <c r="H27" s="58" t="e">
        <f t="shared" si="4"/>
        <v>#REF!</v>
      </c>
      <c r="I27" s="58" t="e">
        <f t="shared" si="4"/>
        <v>#REF!</v>
      </c>
      <c r="J27" s="58">
        <f t="shared" si="4"/>
        <v>0</v>
      </c>
      <c r="K27" s="58">
        <f t="shared" si="4"/>
        <v>0</v>
      </c>
      <c r="L27" s="58">
        <f t="shared" si="4"/>
        <v>0</v>
      </c>
      <c r="M27" s="58">
        <f t="shared" si="4"/>
        <v>0</v>
      </c>
      <c r="N27" s="58" t="e">
        <f t="shared" si="4"/>
        <v>#REF!</v>
      </c>
      <c r="O27" s="58" t="e">
        <f t="shared" si="4"/>
        <v>#REF!</v>
      </c>
      <c r="P27" s="58">
        <f t="shared" si="4"/>
        <v>0</v>
      </c>
      <c r="Q27" s="58">
        <f t="shared" si="4"/>
        <v>0</v>
      </c>
      <c r="R27" s="58">
        <f t="shared" si="4"/>
        <v>0</v>
      </c>
      <c r="S27" s="58">
        <f t="shared" si="4"/>
        <v>0</v>
      </c>
      <c r="T27" s="58">
        <f t="shared" si="4"/>
        <v>50341</v>
      </c>
      <c r="U27" s="58">
        <f t="shared" si="4"/>
        <v>5853.6046511627901</v>
      </c>
      <c r="V27" s="58" t="e">
        <f t="shared" si="4"/>
        <v>#REF!</v>
      </c>
      <c r="W27" s="58">
        <f t="shared" si="4"/>
        <v>37287.199999999983</v>
      </c>
      <c r="X27" s="58" t="e">
        <f t="shared" si="4"/>
        <v>#REF!</v>
      </c>
      <c r="Y27" s="58">
        <f t="shared" si="4"/>
        <v>20026.89</v>
      </c>
      <c r="Z27" s="58">
        <f t="shared" si="4"/>
        <v>6723</v>
      </c>
      <c r="AA27" s="58">
        <f t="shared" si="4"/>
        <v>290</v>
      </c>
      <c r="AB27" s="58">
        <f t="shared" si="4"/>
        <v>1111</v>
      </c>
      <c r="AC27" s="58">
        <f t="shared" si="4"/>
        <v>82305</v>
      </c>
      <c r="AD27" s="58">
        <f t="shared" si="4"/>
        <v>16364</v>
      </c>
      <c r="AE27" s="58">
        <f t="shared" si="4"/>
        <v>21933</v>
      </c>
      <c r="AF27" s="58">
        <f t="shared" si="4"/>
        <v>1545</v>
      </c>
      <c r="AG27" s="58">
        <f t="shared" si="4"/>
        <v>242</v>
      </c>
    </row>
    <row r="28" spans="1:35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79"/>
      <c r="Z28" s="63"/>
      <c r="AA28" s="63"/>
      <c r="AB28" s="63"/>
      <c r="AC28" s="63"/>
      <c r="AD28" s="63"/>
      <c r="AE28" s="63"/>
      <c r="AF28" s="63"/>
      <c r="AG28" s="63"/>
    </row>
    <row r="29" spans="1:35" ht="24.75" customHeight="1" x14ac:dyDescent="0.3"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5" s="64" customFormat="1" ht="24" customHeight="1" x14ac:dyDescent="0.35">
      <c r="A30" s="64" t="s">
        <v>46</v>
      </c>
      <c r="G30" s="64" t="s">
        <v>47</v>
      </c>
      <c r="O30" s="65"/>
      <c r="R30" s="64" t="s">
        <v>48</v>
      </c>
      <c r="Y30" s="64" t="s">
        <v>48</v>
      </c>
      <c r="AC30" s="66" t="s">
        <v>49</v>
      </c>
      <c r="AE30" s="67"/>
      <c r="AF30" s="65"/>
      <c r="AG30" s="65"/>
    </row>
    <row r="31" spans="1:35" s="64" customFormat="1" ht="37.5" customHeight="1" x14ac:dyDescent="0.35">
      <c r="A31" s="68"/>
      <c r="B31" s="65"/>
      <c r="G31" s="69"/>
      <c r="H31" s="69"/>
      <c r="I31" s="69"/>
      <c r="J31" s="69"/>
      <c r="K31" s="69"/>
      <c r="L31" s="69"/>
      <c r="M31" s="69"/>
      <c r="N31" s="69"/>
      <c r="O31" s="69"/>
      <c r="P31" s="69"/>
      <c r="R31" s="69"/>
      <c r="S31" s="69"/>
      <c r="Y31" s="69"/>
      <c r="AC31" s="69"/>
      <c r="AE31" s="69"/>
      <c r="AF31" s="69"/>
      <c r="AG31" s="69"/>
      <c r="AH31" s="65"/>
    </row>
    <row r="32" spans="1:35" s="64" customFormat="1" ht="24" customHeight="1" x14ac:dyDescent="0.35">
      <c r="A32" s="70" t="s">
        <v>211</v>
      </c>
      <c r="B32" s="65"/>
      <c r="G32" s="70" t="s">
        <v>51</v>
      </c>
      <c r="H32" s="71"/>
      <c r="I32" s="71"/>
      <c r="J32" s="71"/>
      <c r="N32" s="65"/>
      <c r="O32" s="65"/>
      <c r="R32" s="70" t="s">
        <v>52</v>
      </c>
      <c r="Y32" s="70" t="s">
        <v>66</v>
      </c>
      <c r="AC32" s="71" t="s">
        <v>53</v>
      </c>
      <c r="AH32" s="65"/>
    </row>
    <row r="33" spans="1:34" s="64" customFormat="1" ht="21.75" customHeight="1" x14ac:dyDescent="0.35">
      <c r="A33" s="68" t="s">
        <v>54</v>
      </c>
      <c r="B33" s="65"/>
      <c r="C33" s="65"/>
      <c r="D33" s="65"/>
      <c r="G33" s="68" t="s">
        <v>55</v>
      </c>
      <c r="H33" s="65"/>
      <c r="I33" s="65"/>
      <c r="J33" s="65"/>
      <c r="K33" s="65"/>
      <c r="L33" s="65"/>
      <c r="M33" s="65"/>
      <c r="N33" s="65"/>
      <c r="O33" s="65"/>
      <c r="P33" s="65"/>
      <c r="R33" s="65" t="s">
        <v>56</v>
      </c>
      <c r="S33" s="65"/>
      <c r="Y33" s="65" t="s">
        <v>61</v>
      </c>
      <c r="AC33" s="68" t="s">
        <v>149</v>
      </c>
      <c r="AE33" s="65"/>
      <c r="AF33" s="65"/>
      <c r="AG33" s="65"/>
    </row>
    <row r="34" spans="1:34" s="64" customFormat="1" ht="26.25" customHeight="1" x14ac:dyDescent="0.35">
      <c r="A34" s="68" t="s">
        <v>59</v>
      </c>
      <c r="B34" s="65"/>
      <c r="C34" s="65"/>
      <c r="D34" s="65"/>
      <c r="G34" s="68" t="s">
        <v>208</v>
      </c>
      <c r="H34" s="65"/>
      <c r="I34" s="65"/>
      <c r="J34" s="65"/>
      <c r="K34" s="65"/>
      <c r="L34" s="65"/>
      <c r="M34" s="65"/>
      <c r="N34" s="65"/>
      <c r="O34" s="65"/>
      <c r="P34" s="65"/>
      <c r="R34" s="65"/>
      <c r="S34" s="65"/>
      <c r="T34" s="65"/>
      <c r="U34" s="65"/>
      <c r="V34" s="65"/>
      <c r="X34" s="65" t="s">
        <v>61</v>
      </c>
      <c r="Z34" s="65"/>
      <c r="AA34" s="65"/>
      <c r="AB34" s="65"/>
      <c r="AC34" s="65"/>
      <c r="AE34" s="65"/>
      <c r="AF34" s="73"/>
      <c r="AG34" s="73"/>
    </row>
    <row r="35" spans="1:34" s="65" customFormat="1" ht="24" customHeight="1" x14ac:dyDescent="0.35">
      <c r="A35" s="68"/>
      <c r="W35" s="74"/>
      <c r="AC35" s="75"/>
    </row>
    <row r="36" spans="1:34" s="65" customFormat="1" ht="24" customHeight="1" x14ac:dyDescent="0.3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73"/>
    </row>
    <row r="37" spans="1:34" s="65" customFormat="1" ht="23.25" customHeight="1" x14ac:dyDescent="0.35">
      <c r="A37" s="70" t="s">
        <v>73</v>
      </c>
      <c r="B37" s="70"/>
      <c r="C37" s="73"/>
      <c r="D37" s="73"/>
      <c r="E37" s="73"/>
      <c r="F37" s="73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U37" s="64"/>
      <c r="V37" s="64"/>
      <c r="W37" s="64"/>
      <c r="X37" s="64"/>
      <c r="Y37" s="64"/>
      <c r="Z37" s="64"/>
      <c r="AA37" s="64"/>
      <c r="AB37" s="64"/>
      <c r="AC37" s="64"/>
      <c r="AD37" s="76"/>
      <c r="AE37" s="64"/>
      <c r="AF37" s="64"/>
      <c r="AG37" s="64"/>
    </row>
    <row r="38" spans="1:34" s="64" customFormat="1" ht="24" customHeight="1" x14ac:dyDescent="0.3">
      <c r="A38" s="68" t="s">
        <v>62</v>
      </c>
    </row>
    <row r="39" spans="1:34" s="64" customFormat="1" ht="25.5" customHeight="1" x14ac:dyDescent="0.3">
      <c r="A39" s="68" t="s">
        <v>63</v>
      </c>
    </row>
    <row r="40" spans="1:34" ht="13.5" customHeight="1" x14ac:dyDescent="0.3"/>
    <row r="41" spans="1:34" ht="13.5" customHeight="1" x14ac:dyDescent="0.35">
      <c r="B41" s="77"/>
      <c r="C41" s="77"/>
      <c r="D41" s="77"/>
      <c r="E41" s="77"/>
    </row>
    <row r="43" spans="1:34" ht="22.5" x14ac:dyDescent="0.35">
      <c r="B43" s="77"/>
      <c r="C43" s="77"/>
      <c r="D43" s="77"/>
      <c r="E43" s="77"/>
    </row>
    <row r="44" spans="1:34" ht="15.75" customHeight="1" x14ac:dyDescent="0.3"/>
    <row r="47" spans="1:34" ht="15.75" customHeight="1" x14ac:dyDescent="0.3"/>
    <row r="49" spans="1:33" ht="22.5" x14ac:dyDescent="0.35"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</row>
    <row r="51" spans="1:33" s="77" customFormat="1" ht="22.5" x14ac:dyDescent="0.35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4" spans="1:33" ht="22.5" x14ac:dyDescent="0.35">
      <c r="A54" s="77"/>
    </row>
  </sheetData>
  <mergeCells count="46">
    <mergeCell ref="A24:C24"/>
    <mergeCell ref="A26:C26"/>
    <mergeCell ref="B27:C27"/>
    <mergeCell ref="P18:Q18"/>
    <mergeCell ref="R18:S18"/>
    <mergeCell ref="A25:C25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4"/>
  <sheetViews>
    <sheetView topLeftCell="A10" zoomScale="70" zoomScaleNormal="70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229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45915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46000</v>
      </c>
      <c r="G20" s="32">
        <f>F20/208*25</f>
        <v>5528.8461538461543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5375</v>
      </c>
      <c r="U20" s="34">
        <f>T20/215*25</f>
        <v>625</v>
      </c>
      <c r="V20" s="33" t="e">
        <f>#REF!</f>
        <v>#REF!</v>
      </c>
      <c r="W20" s="33">
        <v>24500</v>
      </c>
      <c r="X20" s="33" t="e">
        <f>#REF!</f>
        <v>#REF!</v>
      </c>
      <c r="Y20" s="35">
        <v>15792.5</v>
      </c>
      <c r="Z20" s="31">
        <v>4150</v>
      </c>
      <c r="AA20" s="31">
        <v>150</v>
      </c>
      <c r="AB20" s="34">
        <v>1111</v>
      </c>
      <c r="AC20" s="31">
        <v>30400</v>
      </c>
      <c r="AD20" s="33">
        <v>15120</v>
      </c>
      <c r="AE20" s="33">
        <v>10534</v>
      </c>
      <c r="AF20" s="31">
        <v>315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15563</v>
      </c>
      <c r="G21" s="32">
        <f>F21/200*25</f>
        <v>1945.375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44966</v>
      </c>
      <c r="U21" s="32">
        <f>T21/215*25</f>
        <v>5228.604651162791</v>
      </c>
      <c r="V21" s="34"/>
      <c r="W21" s="32">
        <v>17037.2</v>
      </c>
      <c r="X21" s="34"/>
      <c r="Y21" s="32">
        <v>4234.3899999999994</v>
      </c>
      <c r="Z21" s="38">
        <v>2573</v>
      </c>
      <c r="AA21" s="38">
        <v>140</v>
      </c>
      <c r="AB21" s="34">
        <v>0</v>
      </c>
      <c r="AC21" s="38">
        <v>51905</v>
      </c>
      <c r="AD21" s="34">
        <v>1244</v>
      </c>
      <c r="AE21" s="34">
        <v>11399</v>
      </c>
      <c r="AF21" s="38">
        <v>1230</v>
      </c>
      <c r="AG21" s="39">
        <v>112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61563</v>
      </c>
      <c r="G22" s="43">
        <f t="shared" si="1"/>
        <v>7474.2211538461543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50341</v>
      </c>
      <c r="U22" s="43">
        <f t="shared" si="1"/>
        <v>5853.604651162791</v>
      </c>
      <c r="V22" s="44" t="e">
        <f t="shared" si="1"/>
        <v>#REF!</v>
      </c>
      <c r="W22" s="45">
        <f t="shared" si="1"/>
        <v>41537.199999999997</v>
      </c>
      <c r="X22" s="44" t="e">
        <f t="shared" si="1"/>
        <v>#REF!</v>
      </c>
      <c r="Y22" s="43">
        <f>SUM(Y20:Y21)</f>
        <v>20026.89</v>
      </c>
      <c r="Z22" s="42">
        <f t="shared" si="1"/>
        <v>6723</v>
      </c>
      <c r="AA22" s="42">
        <f t="shared" si="1"/>
        <v>290</v>
      </c>
      <c r="AB22" s="44">
        <f t="shared" si="1"/>
        <v>1111</v>
      </c>
      <c r="AC22" s="42">
        <f t="shared" si="1"/>
        <v>82305</v>
      </c>
      <c r="AD22" s="44">
        <f>SUM(AD20:AD21)</f>
        <v>16364</v>
      </c>
      <c r="AE22" s="44">
        <f>SUM(AE20:AE21)</f>
        <v>21933</v>
      </c>
      <c r="AF22" s="42">
        <f t="shared" si="1"/>
        <v>1545</v>
      </c>
      <c r="AG22" s="46">
        <f t="shared" si="1"/>
        <v>242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10000</v>
      </c>
      <c r="G23" s="32">
        <f>F23/200*25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32250</v>
      </c>
      <c r="U23" s="32">
        <f>T23/215*25</f>
        <v>3750</v>
      </c>
      <c r="V23" s="31"/>
      <c r="W23" s="31">
        <v>15000</v>
      </c>
      <c r="X23" s="31"/>
      <c r="Y23" s="31">
        <v>5000</v>
      </c>
      <c r="Z23" s="31">
        <v>2000</v>
      </c>
      <c r="AA23" s="31"/>
      <c r="AB23" s="31"/>
      <c r="AC23" s="31">
        <v>7430</v>
      </c>
      <c r="AD23" s="31"/>
      <c r="AE23" s="48">
        <v>9000</v>
      </c>
      <c r="AF23" s="31"/>
      <c r="AG23" s="49">
        <v>20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71563</v>
      </c>
      <c r="G24" s="52">
        <f t="shared" si="2"/>
        <v>8724.2211538461543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82591</v>
      </c>
      <c r="U24" s="52">
        <f t="shared" si="2"/>
        <v>9603.6046511627901</v>
      </c>
      <c r="V24" s="51" t="e">
        <f t="shared" si="2"/>
        <v>#REF!</v>
      </c>
      <c r="W24" s="52">
        <f t="shared" si="2"/>
        <v>56537.2</v>
      </c>
      <c r="X24" s="51" t="e">
        <f t="shared" si="2"/>
        <v>#REF!</v>
      </c>
      <c r="Y24" s="52">
        <f t="shared" si="2"/>
        <v>25026.89</v>
      </c>
      <c r="Z24" s="51">
        <f t="shared" si="2"/>
        <v>8723</v>
      </c>
      <c r="AA24" s="51">
        <f t="shared" si="2"/>
        <v>290</v>
      </c>
      <c r="AB24" s="51">
        <f t="shared" si="2"/>
        <v>1111</v>
      </c>
      <c r="AC24" s="51">
        <f t="shared" si="2"/>
        <v>89735</v>
      </c>
      <c r="AD24" s="51">
        <f t="shared" si="2"/>
        <v>16364</v>
      </c>
      <c r="AE24" s="51">
        <f t="shared" si="2"/>
        <v>30933</v>
      </c>
      <c r="AF24" s="51">
        <f t="shared" si="2"/>
        <v>1545</v>
      </c>
      <c r="AG24" s="53">
        <f t="shared" si="2"/>
        <v>262</v>
      </c>
    </row>
    <row r="25" spans="1:35" ht="54" customHeight="1" x14ac:dyDescent="0.3">
      <c r="A25" s="222" t="s">
        <v>187</v>
      </c>
      <c r="B25" s="223"/>
      <c r="C25" s="224"/>
      <c r="D25" s="102"/>
      <c r="E25" s="102"/>
      <c r="F25" s="48"/>
      <c r="G25" s="103"/>
      <c r="H25" s="48"/>
      <c r="I25" s="48"/>
      <c r="J25" s="48"/>
      <c r="K25" s="48"/>
      <c r="L25" s="48"/>
      <c r="M25" s="48"/>
      <c r="N25" s="48"/>
      <c r="O25" s="48"/>
      <c r="P25" s="48"/>
      <c r="Q25" s="103"/>
      <c r="R25" s="48"/>
      <c r="S25" s="48"/>
      <c r="T25" s="48"/>
      <c r="U25" s="103"/>
      <c r="V25" s="48"/>
      <c r="W25" s="103">
        <f>170*25</f>
        <v>4250</v>
      </c>
      <c r="X25" s="48"/>
      <c r="Y25" s="103"/>
      <c r="Z25" s="48"/>
      <c r="AA25" s="48"/>
      <c r="AB25" s="48"/>
      <c r="AC25" s="48"/>
      <c r="AD25" s="48"/>
      <c r="AE25" s="48"/>
      <c r="AF25" s="48"/>
      <c r="AG25" s="49"/>
    </row>
    <row r="26" spans="1:35" ht="75.75" customHeight="1" x14ac:dyDescent="0.3">
      <c r="A26" s="158" t="s">
        <v>44</v>
      </c>
      <c r="B26" s="159"/>
      <c r="C26" s="160"/>
      <c r="D26" s="85">
        <v>0</v>
      </c>
      <c r="E26" s="85">
        <v>0</v>
      </c>
      <c r="F26" s="31">
        <v>7985</v>
      </c>
      <c r="G26" s="32">
        <f>F26/200*25</f>
        <v>998.12499999999989</v>
      </c>
      <c r="H26" s="47"/>
      <c r="I26" s="47"/>
      <c r="J26" s="47"/>
      <c r="K26" s="38"/>
      <c r="L26" s="47"/>
      <c r="M26" s="32"/>
      <c r="N26" s="47"/>
      <c r="O26" s="47"/>
      <c r="P26" s="47">
        <v>0</v>
      </c>
      <c r="Q26" s="32">
        <v>0</v>
      </c>
      <c r="R26" s="38"/>
      <c r="S26" s="32"/>
      <c r="T26" s="31">
        <v>15194</v>
      </c>
      <c r="U26" s="32">
        <f>T26/215*25</f>
        <v>1766.7441860465119</v>
      </c>
      <c r="V26" s="47"/>
      <c r="W26" s="35">
        <v>7304.1</v>
      </c>
      <c r="X26" s="47"/>
      <c r="Y26" s="55">
        <v>3261.06</v>
      </c>
      <c r="Z26" s="31">
        <v>1342</v>
      </c>
      <c r="AA26" s="38">
        <v>3</v>
      </c>
      <c r="AB26" s="47"/>
      <c r="AC26" s="38">
        <v>11498</v>
      </c>
      <c r="AD26" s="47"/>
      <c r="AE26" s="47">
        <v>4758</v>
      </c>
      <c r="AF26" s="38">
        <v>150</v>
      </c>
      <c r="AG26" s="56">
        <v>18</v>
      </c>
    </row>
    <row r="27" spans="1:35" s="4" customFormat="1" ht="100.5" customHeight="1" thickBot="1" x14ac:dyDescent="0.25">
      <c r="A27" s="57">
        <v>45921</v>
      </c>
      <c r="B27" s="161" t="s">
        <v>45</v>
      </c>
      <c r="C27" s="162"/>
      <c r="D27" s="58">
        <f t="shared" ref="D27:E27" si="3">D24-D26</f>
        <v>0</v>
      </c>
      <c r="E27" s="58">
        <f t="shared" si="3"/>
        <v>0</v>
      </c>
      <c r="F27" s="58">
        <f>F24-F26-F25</f>
        <v>63578</v>
      </c>
      <c r="G27" s="58">
        <f t="shared" ref="G27:AG27" si="4">G24-G26-G25</f>
        <v>7726.0961538461543</v>
      </c>
      <c r="H27" s="58" t="e">
        <f t="shared" si="4"/>
        <v>#REF!</v>
      </c>
      <c r="I27" s="58" t="e">
        <f t="shared" si="4"/>
        <v>#REF!</v>
      </c>
      <c r="J27" s="58">
        <f t="shared" si="4"/>
        <v>0</v>
      </c>
      <c r="K27" s="58">
        <f t="shared" si="4"/>
        <v>0</v>
      </c>
      <c r="L27" s="58">
        <f t="shared" si="4"/>
        <v>0</v>
      </c>
      <c r="M27" s="58">
        <f t="shared" si="4"/>
        <v>0</v>
      </c>
      <c r="N27" s="58" t="e">
        <f t="shared" si="4"/>
        <v>#REF!</v>
      </c>
      <c r="O27" s="58" t="e">
        <f t="shared" si="4"/>
        <v>#REF!</v>
      </c>
      <c r="P27" s="58">
        <f t="shared" si="4"/>
        <v>0</v>
      </c>
      <c r="Q27" s="58">
        <f t="shared" si="4"/>
        <v>0</v>
      </c>
      <c r="R27" s="58">
        <f t="shared" si="4"/>
        <v>0</v>
      </c>
      <c r="S27" s="58">
        <f t="shared" si="4"/>
        <v>0</v>
      </c>
      <c r="T27" s="58">
        <f t="shared" si="4"/>
        <v>67397</v>
      </c>
      <c r="U27" s="58">
        <f t="shared" si="4"/>
        <v>7836.8604651162786</v>
      </c>
      <c r="V27" s="58" t="e">
        <f t="shared" si="4"/>
        <v>#REF!</v>
      </c>
      <c r="W27" s="59">
        <f t="shared" si="4"/>
        <v>44983.1</v>
      </c>
      <c r="X27" s="58" t="e">
        <f t="shared" si="4"/>
        <v>#REF!</v>
      </c>
      <c r="Y27" s="59">
        <f t="shared" si="4"/>
        <v>21765.829999999998</v>
      </c>
      <c r="Z27" s="58">
        <f t="shared" si="4"/>
        <v>7381</v>
      </c>
      <c r="AA27" s="58">
        <f t="shared" si="4"/>
        <v>287</v>
      </c>
      <c r="AB27" s="58">
        <f t="shared" si="4"/>
        <v>1111</v>
      </c>
      <c r="AC27" s="58">
        <f t="shared" si="4"/>
        <v>78237</v>
      </c>
      <c r="AD27" s="58">
        <f t="shared" si="4"/>
        <v>16364</v>
      </c>
      <c r="AE27" s="58">
        <f t="shared" si="4"/>
        <v>26175</v>
      </c>
      <c r="AF27" s="58">
        <f t="shared" si="4"/>
        <v>1395</v>
      </c>
      <c r="AG27" s="58">
        <f t="shared" si="4"/>
        <v>244</v>
      </c>
    </row>
    <row r="28" spans="1:35" ht="24.75" customHeight="1" x14ac:dyDescent="0.3"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79"/>
      <c r="X28" s="63"/>
      <c r="Y28" s="79"/>
      <c r="Z28" s="63"/>
      <c r="AA28" s="63"/>
      <c r="AB28" s="63"/>
      <c r="AC28" s="63"/>
      <c r="AD28" s="63"/>
      <c r="AE28" s="63"/>
      <c r="AF28" s="63"/>
      <c r="AG28" s="63"/>
    </row>
    <row r="29" spans="1:35" ht="24.75" customHeight="1" x14ac:dyDescent="0.3"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5" s="64" customFormat="1" ht="24" customHeight="1" x14ac:dyDescent="0.35">
      <c r="A30" s="64" t="s">
        <v>46</v>
      </c>
      <c r="G30" s="64" t="s">
        <v>47</v>
      </c>
      <c r="O30" s="65"/>
      <c r="R30" s="64" t="s">
        <v>48</v>
      </c>
      <c r="Y30" s="64" t="s">
        <v>48</v>
      </c>
      <c r="AC30" s="66" t="s">
        <v>49</v>
      </c>
      <c r="AE30" s="67"/>
      <c r="AF30" s="65"/>
      <c r="AG30" s="65"/>
    </row>
    <row r="31" spans="1:35" s="64" customFormat="1" ht="37.5" customHeight="1" x14ac:dyDescent="0.35">
      <c r="A31" s="68"/>
      <c r="B31" s="65"/>
      <c r="G31" s="69"/>
      <c r="H31" s="69"/>
      <c r="I31" s="69"/>
      <c r="J31" s="69"/>
      <c r="K31" s="69"/>
      <c r="L31" s="69"/>
      <c r="M31" s="69"/>
      <c r="N31" s="69"/>
      <c r="O31" s="69"/>
      <c r="P31" s="69"/>
      <c r="R31" s="69"/>
      <c r="S31" s="69"/>
      <c r="Y31" s="69"/>
      <c r="AC31" s="69"/>
      <c r="AE31" s="69"/>
      <c r="AF31" s="69"/>
      <c r="AG31" s="69"/>
      <c r="AH31" s="65"/>
    </row>
    <row r="32" spans="1:35" s="64" customFormat="1" ht="24" customHeight="1" x14ac:dyDescent="0.35">
      <c r="A32" s="70" t="s">
        <v>211</v>
      </c>
      <c r="B32" s="65"/>
      <c r="G32" s="70" t="s">
        <v>51</v>
      </c>
      <c r="H32" s="71"/>
      <c r="I32" s="71"/>
      <c r="J32" s="71"/>
      <c r="N32" s="65"/>
      <c r="O32" s="65"/>
      <c r="R32" s="70" t="s">
        <v>52</v>
      </c>
      <c r="Y32" s="70" t="s">
        <v>66</v>
      </c>
      <c r="AC32" s="71" t="s">
        <v>53</v>
      </c>
      <c r="AH32" s="65"/>
    </row>
    <row r="33" spans="1:34" s="64" customFormat="1" ht="21.75" customHeight="1" x14ac:dyDescent="0.35">
      <c r="A33" s="68" t="s">
        <v>54</v>
      </c>
      <c r="B33" s="65"/>
      <c r="C33" s="65"/>
      <c r="D33" s="65"/>
      <c r="G33" s="68" t="s">
        <v>55</v>
      </c>
      <c r="H33" s="65"/>
      <c r="I33" s="65"/>
      <c r="J33" s="65"/>
      <c r="K33" s="65"/>
      <c r="L33" s="65"/>
      <c r="M33" s="65"/>
      <c r="N33" s="65"/>
      <c r="O33" s="65"/>
      <c r="P33" s="65"/>
      <c r="R33" s="65" t="s">
        <v>56</v>
      </c>
      <c r="S33" s="65"/>
      <c r="Y33" s="65" t="s">
        <v>61</v>
      </c>
      <c r="AC33" s="68" t="s">
        <v>230</v>
      </c>
      <c r="AE33" s="65"/>
      <c r="AF33" s="65"/>
      <c r="AG33" s="65"/>
    </row>
    <row r="34" spans="1:34" s="64" customFormat="1" ht="26.25" customHeight="1" x14ac:dyDescent="0.35">
      <c r="A34" s="68" t="s">
        <v>59</v>
      </c>
      <c r="B34" s="65"/>
      <c r="C34" s="65"/>
      <c r="D34" s="65"/>
      <c r="G34" s="68" t="s">
        <v>208</v>
      </c>
      <c r="H34" s="65"/>
      <c r="I34" s="65"/>
      <c r="J34" s="65"/>
      <c r="K34" s="65"/>
      <c r="L34" s="65"/>
      <c r="M34" s="65"/>
      <c r="N34" s="65"/>
      <c r="O34" s="65"/>
      <c r="P34" s="65"/>
      <c r="R34" s="65"/>
      <c r="S34" s="65"/>
      <c r="T34" s="65"/>
      <c r="U34" s="65"/>
      <c r="V34" s="65"/>
      <c r="X34" s="65" t="s">
        <v>61</v>
      </c>
      <c r="Z34" s="65"/>
      <c r="AA34" s="65"/>
      <c r="AB34" s="65"/>
      <c r="AC34" s="65"/>
      <c r="AE34" s="65"/>
      <c r="AF34" s="73"/>
      <c r="AG34" s="73"/>
    </row>
    <row r="35" spans="1:34" s="65" customFormat="1" ht="24" customHeight="1" x14ac:dyDescent="0.35">
      <c r="A35" s="68"/>
      <c r="W35" s="74"/>
      <c r="AC35" s="75"/>
    </row>
    <row r="36" spans="1:34" s="65" customFormat="1" ht="24" customHeight="1" x14ac:dyDescent="0.3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73"/>
    </row>
    <row r="37" spans="1:34" s="65" customFormat="1" ht="23.25" customHeight="1" x14ac:dyDescent="0.35">
      <c r="A37" s="70" t="s">
        <v>73</v>
      </c>
      <c r="B37" s="70"/>
      <c r="C37" s="73"/>
      <c r="D37" s="73"/>
      <c r="E37" s="73"/>
      <c r="F37" s="73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U37" s="64"/>
      <c r="V37" s="64"/>
      <c r="W37" s="64"/>
      <c r="X37" s="64"/>
      <c r="Y37" s="64"/>
      <c r="Z37" s="64"/>
      <c r="AA37" s="64"/>
      <c r="AB37" s="64"/>
      <c r="AC37" s="64"/>
      <c r="AD37" s="76"/>
      <c r="AE37" s="64"/>
      <c r="AF37" s="64"/>
      <c r="AG37" s="64"/>
    </row>
    <row r="38" spans="1:34" s="64" customFormat="1" ht="24" customHeight="1" x14ac:dyDescent="0.3">
      <c r="A38" s="68" t="s">
        <v>62</v>
      </c>
    </row>
    <row r="39" spans="1:34" s="64" customFormat="1" ht="25.5" customHeight="1" x14ac:dyDescent="0.3">
      <c r="A39" s="68" t="s">
        <v>63</v>
      </c>
    </row>
    <row r="40" spans="1:34" ht="13.5" customHeight="1" x14ac:dyDescent="0.3"/>
    <row r="41" spans="1:34" ht="13.5" customHeight="1" x14ac:dyDescent="0.35">
      <c r="B41" s="77"/>
      <c r="C41" s="77"/>
      <c r="D41" s="77"/>
      <c r="E41" s="77"/>
    </row>
    <row r="43" spans="1:34" ht="22.5" x14ac:dyDescent="0.35">
      <c r="B43" s="77"/>
      <c r="C43" s="77"/>
      <c r="D43" s="77"/>
      <c r="E43" s="77"/>
    </row>
    <row r="44" spans="1:34" ht="15.75" customHeight="1" x14ac:dyDescent="0.3"/>
    <row r="47" spans="1:34" ht="15.75" customHeight="1" x14ac:dyDescent="0.3"/>
    <row r="49" spans="1:33" ht="22.5" x14ac:dyDescent="0.35"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</row>
    <row r="51" spans="1:33" s="77" customFormat="1" ht="22.5" x14ac:dyDescent="0.35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4" spans="1:33" ht="22.5" x14ac:dyDescent="0.35">
      <c r="A54" s="77"/>
    </row>
  </sheetData>
  <mergeCells count="46">
    <mergeCell ref="T16:U16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R18:S18"/>
    <mergeCell ref="L16:M16"/>
    <mergeCell ref="N16:O16"/>
    <mergeCell ref="P16:Q16"/>
    <mergeCell ref="R16:S16"/>
    <mergeCell ref="D17:E17"/>
    <mergeCell ref="F17:G17"/>
    <mergeCell ref="H17:I17"/>
    <mergeCell ref="J17:K17"/>
    <mergeCell ref="L17:M17"/>
    <mergeCell ref="T18:U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N17:O17"/>
    <mergeCell ref="P17:Q17"/>
    <mergeCell ref="R17:S17"/>
    <mergeCell ref="T17:U17"/>
    <mergeCell ref="D18:E18"/>
    <mergeCell ref="F18:G18"/>
    <mergeCell ref="A24:C24"/>
    <mergeCell ref="A25:C25"/>
    <mergeCell ref="A26:C26"/>
    <mergeCell ref="B27:C27"/>
    <mergeCell ref="P18:Q18"/>
    <mergeCell ref="H18:I18"/>
    <mergeCell ref="J18:K18"/>
    <mergeCell ref="L18:M18"/>
    <mergeCell ref="N18:O18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22" zoomScale="70" zoomScaleNormal="70" workbookViewId="0">
      <selection activeCell="B41" sqref="B4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231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45922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40000</v>
      </c>
      <c r="G20" s="32">
        <f>F20/208*25</f>
        <v>4807.6923076923076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29025</v>
      </c>
      <c r="U20" s="34">
        <f>T20/215*25</f>
        <v>3375</v>
      </c>
      <c r="V20" s="33" t="e">
        <f>#REF!</f>
        <v>#REF!</v>
      </c>
      <c r="W20" s="33">
        <v>27000</v>
      </c>
      <c r="X20" s="33" t="e">
        <f>#REF!</f>
        <v>#REF!</v>
      </c>
      <c r="Y20" s="35">
        <v>17147.5</v>
      </c>
      <c r="Z20" s="31">
        <v>4650</v>
      </c>
      <c r="AA20" s="31">
        <v>150</v>
      </c>
      <c r="AB20" s="34">
        <v>1111</v>
      </c>
      <c r="AC20" s="31">
        <v>26890</v>
      </c>
      <c r="AD20" s="33">
        <v>15120</v>
      </c>
      <c r="AE20" s="33">
        <v>12834</v>
      </c>
      <c r="AF20" s="31">
        <v>315</v>
      </c>
      <c r="AG20" s="36">
        <v>100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23578</v>
      </c>
      <c r="G21" s="32">
        <f>F21/200*25</f>
        <v>2947.25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38372</v>
      </c>
      <c r="U21" s="32">
        <f>T21/215*25</f>
        <v>4461.8604651162786</v>
      </c>
      <c r="V21" s="34"/>
      <c r="W21" s="32">
        <v>17983.099999999999</v>
      </c>
      <c r="X21" s="34"/>
      <c r="Y21" s="32">
        <v>4618.329999999999</v>
      </c>
      <c r="Z21" s="38">
        <v>2731</v>
      </c>
      <c r="AA21" s="38">
        <v>137</v>
      </c>
      <c r="AB21" s="34">
        <v>0</v>
      </c>
      <c r="AC21" s="38">
        <v>51347</v>
      </c>
      <c r="AD21" s="34">
        <v>1244</v>
      </c>
      <c r="AE21" s="34">
        <v>13341</v>
      </c>
      <c r="AF21" s="38">
        <v>1080</v>
      </c>
      <c r="AG21" s="39">
        <v>144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63578</v>
      </c>
      <c r="G22" s="43">
        <f t="shared" si="1"/>
        <v>7754.9423076923076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67397</v>
      </c>
      <c r="U22" s="43">
        <f t="shared" si="1"/>
        <v>7836.8604651162786</v>
      </c>
      <c r="V22" s="44" t="e">
        <f t="shared" si="1"/>
        <v>#REF!</v>
      </c>
      <c r="W22" s="45">
        <f t="shared" si="1"/>
        <v>44983.1</v>
      </c>
      <c r="X22" s="44" t="e">
        <f t="shared" si="1"/>
        <v>#REF!</v>
      </c>
      <c r="Y22" s="43">
        <f>SUM(Y20:Y21)</f>
        <v>21765.829999999998</v>
      </c>
      <c r="Z22" s="42">
        <f t="shared" si="1"/>
        <v>7381</v>
      </c>
      <c r="AA22" s="42">
        <f t="shared" si="1"/>
        <v>287</v>
      </c>
      <c r="AB22" s="44">
        <f t="shared" si="1"/>
        <v>1111</v>
      </c>
      <c r="AC22" s="42">
        <f t="shared" si="1"/>
        <v>78237</v>
      </c>
      <c r="AD22" s="44">
        <f>SUM(AD20:AD21)</f>
        <v>16364</v>
      </c>
      <c r="AE22" s="44">
        <f>SUM(AE20:AE21)</f>
        <v>26175</v>
      </c>
      <c r="AF22" s="42">
        <f t="shared" si="1"/>
        <v>1395</v>
      </c>
      <c r="AG22" s="46">
        <f t="shared" si="1"/>
        <v>244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63578</v>
      </c>
      <c r="G24" s="52">
        <f t="shared" si="2"/>
        <v>7754.9423076923076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67397</v>
      </c>
      <c r="U24" s="52">
        <f t="shared" si="2"/>
        <v>7836.8604651162786</v>
      </c>
      <c r="V24" s="51" t="e">
        <f t="shared" si="2"/>
        <v>#REF!</v>
      </c>
      <c r="W24" s="52">
        <f t="shared" si="2"/>
        <v>44983.1</v>
      </c>
      <c r="X24" s="51" t="e">
        <f t="shared" si="2"/>
        <v>#REF!</v>
      </c>
      <c r="Y24" s="52">
        <f t="shared" si="2"/>
        <v>21765.829999999998</v>
      </c>
      <c r="Z24" s="51">
        <f t="shared" si="2"/>
        <v>7381</v>
      </c>
      <c r="AA24" s="51">
        <f t="shared" si="2"/>
        <v>287</v>
      </c>
      <c r="AB24" s="51">
        <f t="shared" si="2"/>
        <v>1111</v>
      </c>
      <c r="AC24" s="51">
        <f t="shared" si="2"/>
        <v>78237</v>
      </c>
      <c r="AD24" s="51">
        <f t="shared" si="2"/>
        <v>16364</v>
      </c>
      <c r="AE24" s="51">
        <f t="shared" si="2"/>
        <v>26175</v>
      </c>
      <c r="AF24" s="51">
        <f t="shared" si="2"/>
        <v>1395</v>
      </c>
      <c r="AG24" s="53">
        <f t="shared" si="2"/>
        <v>244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13039</v>
      </c>
      <c r="G25" s="32">
        <f>F25/200*25</f>
        <v>1629.8749999999998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12964</v>
      </c>
      <c r="U25" s="32">
        <f>T25/215*25</f>
        <v>1507.4418604651162</v>
      </c>
      <c r="V25" s="47"/>
      <c r="W25" s="35">
        <v>10244.6</v>
      </c>
      <c r="X25" s="47"/>
      <c r="Y25" s="55">
        <v>3331.5300000000007</v>
      </c>
      <c r="Z25" s="31">
        <v>1371</v>
      </c>
      <c r="AA25" s="38">
        <v>1</v>
      </c>
      <c r="AB25" s="47"/>
      <c r="AC25" s="38">
        <v>12635</v>
      </c>
      <c r="AD25" s="47"/>
      <c r="AE25" s="47">
        <v>5030</v>
      </c>
      <c r="AF25" s="38">
        <v>150</v>
      </c>
      <c r="AG25" s="56">
        <v>30</v>
      </c>
    </row>
    <row r="26" spans="1:35" s="4" customFormat="1" ht="100.5" customHeight="1" thickBot="1" x14ac:dyDescent="0.25">
      <c r="A26" s="57">
        <v>45928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50539</v>
      </c>
      <c r="G26" s="58">
        <f>G24-G25</f>
        <v>6125.0673076923076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54433</v>
      </c>
      <c r="U26" s="58">
        <f>U24-U25</f>
        <v>6329.4186046511622</v>
      </c>
      <c r="V26" s="58" t="e">
        <f>V24-V25-#REF!</f>
        <v>#REF!</v>
      </c>
      <c r="W26" s="59">
        <f>W24-W25</f>
        <v>34738.5</v>
      </c>
      <c r="X26" s="58" t="e">
        <f>X24-X25-#REF!</f>
        <v>#REF!</v>
      </c>
      <c r="Y26" s="59">
        <f t="shared" ref="Y26:AG26" si="3">Y24-Y25</f>
        <v>18434.299999999996</v>
      </c>
      <c r="Z26" s="58">
        <f t="shared" si="3"/>
        <v>6010</v>
      </c>
      <c r="AA26" s="58">
        <f t="shared" si="3"/>
        <v>286</v>
      </c>
      <c r="AB26" s="58">
        <f t="shared" si="3"/>
        <v>1111</v>
      </c>
      <c r="AC26" s="58">
        <f t="shared" si="3"/>
        <v>65602</v>
      </c>
      <c r="AD26" s="58">
        <f t="shared" si="3"/>
        <v>16364</v>
      </c>
      <c r="AE26" s="58">
        <f t="shared" si="3"/>
        <v>21145</v>
      </c>
      <c r="AF26" s="58">
        <f t="shared" si="3"/>
        <v>1245</v>
      </c>
      <c r="AG26" s="58">
        <f t="shared" si="3"/>
        <v>214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U23" sqref="U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233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45929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33000</v>
      </c>
      <c r="G20" s="32">
        <f>F20/208*25</f>
        <v>3966.3461538461538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6450</v>
      </c>
      <c r="U20" s="34">
        <f>T20/215*25</f>
        <v>750</v>
      </c>
      <c r="V20" s="33" t="e">
        <f>#REF!</f>
        <v>#REF!</v>
      </c>
      <c r="W20" s="33">
        <v>20500</v>
      </c>
      <c r="X20" s="33" t="e">
        <f>#REF!</f>
        <v>#REF!</v>
      </c>
      <c r="Y20" s="35">
        <v>14352.5</v>
      </c>
      <c r="Z20" s="31">
        <v>3500</v>
      </c>
      <c r="AA20" s="31">
        <v>150</v>
      </c>
      <c r="AB20" s="34">
        <v>1111</v>
      </c>
      <c r="AC20" s="31">
        <v>14340</v>
      </c>
      <c r="AD20" s="33">
        <v>15120</v>
      </c>
      <c r="AE20" s="33">
        <v>8334</v>
      </c>
      <c r="AF20" s="31">
        <v>315</v>
      </c>
      <c r="AG20" s="36">
        <v>100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17539</v>
      </c>
      <c r="G21" s="32">
        <f>F21/200*25</f>
        <v>2192.375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47983</v>
      </c>
      <c r="U21" s="32">
        <f>T21/215*25</f>
        <v>5579.4186046511622</v>
      </c>
      <c r="V21" s="34"/>
      <c r="W21" s="32">
        <v>14238.499999999998</v>
      </c>
      <c r="X21" s="34"/>
      <c r="Y21" s="32">
        <v>4081.7999999999984</v>
      </c>
      <c r="Z21" s="38">
        <v>2510</v>
      </c>
      <c r="AA21" s="38">
        <v>136</v>
      </c>
      <c r="AB21" s="34">
        <v>0</v>
      </c>
      <c r="AC21" s="38">
        <v>51262</v>
      </c>
      <c r="AD21" s="34">
        <v>1244</v>
      </c>
      <c r="AE21" s="34">
        <v>12811</v>
      </c>
      <c r="AF21" s="38">
        <v>930</v>
      </c>
      <c r="AG21" s="39">
        <v>114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50539</v>
      </c>
      <c r="G22" s="43">
        <f t="shared" si="1"/>
        <v>6158.7211538461543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54433</v>
      </c>
      <c r="U22" s="43">
        <f t="shared" si="1"/>
        <v>6329.4186046511622</v>
      </c>
      <c r="V22" s="44" t="e">
        <f t="shared" si="1"/>
        <v>#REF!</v>
      </c>
      <c r="W22" s="45">
        <f t="shared" si="1"/>
        <v>34738.5</v>
      </c>
      <c r="X22" s="44" t="e">
        <f t="shared" si="1"/>
        <v>#REF!</v>
      </c>
      <c r="Y22" s="43">
        <f>SUM(Y20:Y21)</f>
        <v>18434.3</v>
      </c>
      <c r="Z22" s="42">
        <f t="shared" si="1"/>
        <v>6010</v>
      </c>
      <c r="AA22" s="42">
        <f t="shared" si="1"/>
        <v>286</v>
      </c>
      <c r="AB22" s="44">
        <f t="shared" si="1"/>
        <v>1111</v>
      </c>
      <c r="AC22" s="42">
        <f t="shared" si="1"/>
        <v>65602</v>
      </c>
      <c r="AD22" s="44">
        <f>SUM(AD20:AD21)</f>
        <v>16364</v>
      </c>
      <c r="AE22" s="44">
        <f>SUM(AE20:AE21)</f>
        <v>21145</v>
      </c>
      <c r="AF22" s="42">
        <f t="shared" si="1"/>
        <v>1245</v>
      </c>
      <c r="AG22" s="46">
        <f t="shared" si="1"/>
        <v>214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5000</v>
      </c>
      <c r="Z23" s="31">
        <v>3000</v>
      </c>
      <c r="AA23" s="31"/>
      <c r="AB23" s="31"/>
      <c r="AC23" s="31">
        <v>20720</v>
      </c>
      <c r="AD23" s="31"/>
      <c r="AE23" s="48">
        <v>9000</v>
      </c>
      <c r="AF23" s="31">
        <v>600</v>
      </c>
      <c r="AG23" s="49">
        <v>100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50539</v>
      </c>
      <c r="G24" s="52">
        <f t="shared" si="2"/>
        <v>6158.7211538461543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97433</v>
      </c>
      <c r="U24" s="52">
        <f t="shared" si="2"/>
        <v>11329.418604651162</v>
      </c>
      <c r="V24" s="51" t="e">
        <f t="shared" si="2"/>
        <v>#REF!</v>
      </c>
      <c r="W24" s="52">
        <f t="shared" si="2"/>
        <v>49738.5</v>
      </c>
      <c r="X24" s="51" t="e">
        <f t="shared" si="2"/>
        <v>#REF!</v>
      </c>
      <c r="Y24" s="52">
        <f t="shared" si="2"/>
        <v>23434.3</v>
      </c>
      <c r="Z24" s="51">
        <f t="shared" si="2"/>
        <v>9010</v>
      </c>
      <c r="AA24" s="51">
        <f t="shared" si="2"/>
        <v>286</v>
      </c>
      <c r="AB24" s="51">
        <f t="shared" si="2"/>
        <v>1111</v>
      </c>
      <c r="AC24" s="51">
        <f t="shared" si="2"/>
        <v>86322</v>
      </c>
      <c r="AD24" s="51">
        <f t="shared" si="2"/>
        <v>16364</v>
      </c>
      <c r="AE24" s="51">
        <f t="shared" si="2"/>
        <v>30145</v>
      </c>
      <c r="AF24" s="51">
        <f t="shared" si="2"/>
        <v>1845</v>
      </c>
      <c r="AG24" s="53">
        <f t="shared" si="2"/>
        <v>314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10528</v>
      </c>
      <c r="G25" s="32">
        <f>F25/200*25</f>
        <v>1316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12061</v>
      </c>
      <c r="U25" s="32">
        <f>T25/215*25</f>
        <v>1402.4418604651164</v>
      </c>
      <c r="V25" s="47"/>
      <c r="W25" s="35">
        <v>7089.7999999999993</v>
      </c>
      <c r="X25" s="47"/>
      <c r="Y25" s="55">
        <v>2967.0300000000007</v>
      </c>
      <c r="Z25" s="31">
        <v>1221</v>
      </c>
      <c r="AA25" s="38">
        <v>1</v>
      </c>
      <c r="AB25" s="47"/>
      <c r="AC25" s="38">
        <v>11329</v>
      </c>
      <c r="AD25" s="47"/>
      <c r="AE25" s="47">
        <v>4465</v>
      </c>
      <c r="AF25" s="38"/>
      <c r="AG25" s="56">
        <v>14</v>
      </c>
    </row>
    <row r="26" spans="1:35" s="4" customFormat="1" ht="100.5" customHeight="1" thickBot="1" x14ac:dyDescent="0.25">
      <c r="A26" s="57">
        <v>45935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40011</v>
      </c>
      <c r="G26" s="58">
        <f>G24-G25</f>
        <v>4842.7211538461543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85372</v>
      </c>
      <c r="U26" s="58">
        <f>U24-U25</f>
        <v>9926.9767441860458</v>
      </c>
      <c r="V26" s="58" t="e">
        <f>V24-V25-#REF!</f>
        <v>#REF!</v>
      </c>
      <c r="W26" s="59">
        <f>W24-W25</f>
        <v>42648.7</v>
      </c>
      <c r="X26" s="58" t="e">
        <f>X24-X25-#REF!</f>
        <v>#REF!</v>
      </c>
      <c r="Y26" s="59">
        <f t="shared" ref="Y26:AG26" si="3">Y24-Y25</f>
        <v>20467.269999999997</v>
      </c>
      <c r="Z26" s="58">
        <f t="shared" si="3"/>
        <v>7789</v>
      </c>
      <c r="AA26" s="58">
        <f t="shared" si="3"/>
        <v>285</v>
      </c>
      <c r="AB26" s="58">
        <f t="shared" si="3"/>
        <v>1111</v>
      </c>
      <c r="AC26" s="58">
        <f t="shared" si="3"/>
        <v>74993</v>
      </c>
      <c r="AD26" s="58">
        <f t="shared" si="3"/>
        <v>16364</v>
      </c>
      <c r="AE26" s="58">
        <f t="shared" si="3"/>
        <v>25680</v>
      </c>
      <c r="AF26" s="58">
        <f t="shared" si="3"/>
        <v>1845</v>
      </c>
      <c r="AG26" s="58">
        <f t="shared" si="3"/>
        <v>300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8" zoomScale="70" zoomScaleNormal="70" workbookViewId="0">
      <selection activeCell="W25" sqref="W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234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45936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16000</v>
      </c>
      <c r="G20" s="32">
        <f>F20/208*25</f>
        <v>1923.0769230769231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43000</v>
      </c>
      <c r="U20" s="34">
        <f>T20/215*25</f>
        <v>5000</v>
      </c>
      <c r="V20" s="33" t="e">
        <f>#REF!</f>
        <v>#REF!</v>
      </c>
      <c r="W20" s="33">
        <v>27250</v>
      </c>
      <c r="X20" s="33"/>
      <c r="Y20" s="35">
        <v>15707.5</v>
      </c>
      <c r="Z20" s="31">
        <v>5000</v>
      </c>
      <c r="AA20" s="31">
        <v>150</v>
      </c>
      <c r="AB20" s="34">
        <v>1111</v>
      </c>
      <c r="AC20" s="31">
        <v>27910</v>
      </c>
      <c r="AD20" s="33">
        <v>15120</v>
      </c>
      <c r="AE20" s="33">
        <v>11934</v>
      </c>
      <c r="AF20" s="31">
        <v>615</v>
      </c>
      <c r="AG20" s="36">
        <v>180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24011</v>
      </c>
      <c r="G21" s="32">
        <f>F21/200*25</f>
        <v>3001.375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42372</v>
      </c>
      <c r="U21" s="32">
        <f>T21/215*25</f>
        <v>4926.9767441860467</v>
      </c>
      <c r="V21" s="34"/>
      <c r="W21" s="32">
        <v>15398.699999999999</v>
      </c>
      <c r="X21" s="34"/>
      <c r="Y21" s="32">
        <v>4759.7699999999977</v>
      </c>
      <c r="Z21" s="38">
        <v>2789</v>
      </c>
      <c r="AA21" s="38">
        <v>135</v>
      </c>
      <c r="AB21" s="34">
        <v>0</v>
      </c>
      <c r="AC21" s="38">
        <v>47083</v>
      </c>
      <c r="AD21" s="34">
        <v>1244</v>
      </c>
      <c r="AE21" s="34">
        <v>13746</v>
      </c>
      <c r="AF21" s="38">
        <v>1230</v>
      </c>
      <c r="AG21" s="39">
        <v>120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40011</v>
      </c>
      <c r="G22" s="43">
        <f t="shared" si="1"/>
        <v>4924.4519230769229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85372</v>
      </c>
      <c r="U22" s="43">
        <f t="shared" si="1"/>
        <v>9926.9767441860458</v>
      </c>
      <c r="V22" s="44" t="e">
        <f t="shared" si="1"/>
        <v>#REF!</v>
      </c>
      <c r="W22" s="45">
        <f t="shared" si="1"/>
        <v>42648.7</v>
      </c>
      <c r="X22" s="44">
        <f t="shared" si="1"/>
        <v>0</v>
      </c>
      <c r="Y22" s="43">
        <f>SUM(Y20:Y21)</f>
        <v>20467.269999999997</v>
      </c>
      <c r="Z22" s="42">
        <f t="shared" si="1"/>
        <v>7789</v>
      </c>
      <c r="AA22" s="42">
        <f t="shared" si="1"/>
        <v>285</v>
      </c>
      <c r="AB22" s="44">
        <f t="shared" si="1"/>
        <v>1111</v>
      </c>
      <c r="AC22" s="42">
        <f t="shared" si="1"/>
        <v>74993</v>
      </c>
      <c r="AD22" s="44">
        <f>SUM(AD20:AD21)</f>
        <v>16364</v>
      </c>
      <c r="AE22" s="44">
        <f>SUM(AE20:AE21)</f>
        <v>25680</v>
      </c>
      <c r="AF22" s="42">
        <f t="shared" si="1"/>
        <v>1845</v>
      </c>
      <c r="AG22" s="46">
        <f t="shared" si="1"/>
        <v>300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40011</v>
      </c>
      <c r="G24" s="52">
        <f t="shared" si="2"/>
        <v>4924.4519230769229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85372</v>
      </c>
      <c r="U24" s="52">
        <f t="shared" si="2"/>
        <v>9926.9767441860458</v>
      </c>
      <c r="V24" s="51" t="e">
        <f t="shared" si="2"/>
        <v>#REF!</v>
      </c>
      <c r="W24" s="52">
        <f t="shared" si="2"/>
        <v>42648.7</v>
      </c>
      <c r="X24" s="51">
        <f t="shared" si="2"/>
        <v>0</v>
      </c>
      <c r="Y24" s="52">
        <f t="shared" si="2"/>
        <v>20467.269999999997</v>
      </c>
      <c r="Z24" s="51">
        <f t="shared" si="2"/>
        <v>7789</v>
      </c>
      <c r="AA24" s="51">
        <f t="shared" si="2"/>
        <v>285</v>
      </c>
      <c r="AB24" s="51">
        <f t="shared" si="2"/>
        <v>1111</v>
      </c>
      <c r="AC24" s="51">
        <f t="shared" si="2"/>
        <v>74993</v>
      </c>
      <c r="AD24" s="51">
        <f t="shared" si="2"/>
        <v>16364</v>
      </c>
      <c r="AE24" s="51">
        <f t="shared" si="2"/>
        <v>25680</v>
      </c>
      <c r="AF24" s="51">
        <f t="shared" si="2"/>
        <v>1845</v>
      </c>
      <c r="AG24" s="53">
        <f t="shared" si="2"/>
        <v>300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8945</v>
      </c>
      <c r="G25" s="32">
        <f>F25/200*25</f>
        <v>1118.125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9352</v>
      </c>
      <c r="U25" s="32">
        <f>T25/215*25</f>
        <v>1087.4418604651164</v>
      </c>
      <c r="V25" s="47"/>
      <c r="W25" s="35">
        <v>5606.5999999999995</v>
      </c>
      <c r="X25" s="47"/>
      <c r="Y25" s="55">
        <v>2269.6200000000003</v>
      </c>
      <c r="Z25" s="31">
        <v>934</v>
      </c>
      <c r="AA25" s="38"/>
      <c r="AB25" s="47"/>
      <c r="AC25" s="38">
        <v>9081</v>
      </c>
      <c r="AD25" s="47"/>
      <c r="AE25" s="47">
        <v>3561</v>
      </c>
      <c r="AF25" s="38"/>
      <c r="AG25" s="56">
        <v>16</v>
      </c>
    </row>
    <row r="26" spans="1:35" s="4" customFormat="1" ht="100.5" customHeight="1" thickBot="1" x14ac:dyDescent="0.25">
      <c r="A26" s="57">
        <v>45942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31066</v>
      </c>
      <c r="G26" s="58">
        <f>G24-G25</f>
        <v>3806.3269230769229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76020</v>
      </c>
      <c r="U26" s="58">
        <f>U24-U25</f>
        <v>8839.5348837209294</v>
      </c>
      <c r="V26" s="58" t="e">
        <f>V24-V25-#REF!</f>
        <v>#REF!</v>
      </c>
      <c r="W26" s="59">
        <f>W24-W25</f>
        <v>37042.1</v>
      </c>
      <c r="X26" s="58" t="e">
        <f>X24-X25-#REF!</f>
        <v>#REF!</v>
      </c>
      <c r="Y26" s="59">
        <f t="shared" ref="Y26:AG26" si="3">Y24-Y25</f>
        <v>18197.649999999998</v>
      </c>
      <c r="Z26" s="58">
        <f t="shared" si="3"/>
        <v>6855</v>
      </c>
      <c r="AA26" s="58">
        <f t="shared" si="3"/>
        <v>285</v>
      </c>
      <c r="AB26" s="58">
        <f t="shared" si="3"/>
        <v>1111</v>
      </c>
      <c r="AC26" s="58">
        <f t="shared" si="3"/>
        <v>65912</v>
      </c>
      <c r="AD26" s="58">
        <f t="shared" si="3"/>
        <v>16364</v>
      </c>
      <c r="AE26" s="58">
        <f t="shared" si="3"/>
        <v>22119</v>
      </c>
      <c r="AF26" s="58">
        <f t="shared" si="3"/>
        <v>1845</v>
      </c>
      <c r="AG26" s="58">
        <f t="shared" si="3"/>
        <v>284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Y23" sqref="Y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235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45943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16000</v>
      </c>
      <c r="G20" s="32">
        <f>F20/208*25</f>
        <v>1923.0769230769231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43000</v>
      </c>
      <c r="U20" s="34">
        <f>T20/215*25</f>
        <v>5000</v>
      </c>
      <c r="V20" s="33" t="e">
        <f>#REF!</f>
        <v>#REF!</v>
      </c>
      <c r="W20" s="33">
        <v>27250</v>
      </c>
      <c r="X20" s="33"/>
      <c r="Y20" s="35">
        <v>15707.5</v>
      </c>
      <c r="Z20" s="31">
        <v>5000</v>
      </c>
      <c r="AA20" s="31">
        <v>150</v>
      </c>
      <c r="AB20" s="34">
        <v>1111</v>
      </c>
      <c r="AC20" s="31">
        <v>27910</v>
      </c>
      <c r="AD20" s="33">
        <v>15120</v>
      </c>
      <c r="AE20" s="33">
        <v>11934</v>
      </c>
      <c r="AF20" s="31">
        <v>615</v>
      </c>
      <c r="AG20" s="36">
        <v>180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15066</v>
      </c>
      <c r="G21" s="32">
        <f>F21/200*25</f>
        <v>1883.25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33020</v>
      </c>
      <c r="U21" s="32">
        <f>T21/215*25</f>
        <v>3839.5348837209303</v>
      </c>
      <c r="V21" s="34"/>
      <c r="W21" s="32">
        <v>9792.0999999999985</v>
      </c>
      <c r="X21" s="34"/>
      <c r="Y21" s="32">
        <v>2490.1499999999978</v>
      </c>
      <c r="Z21" s="38">
        <v>1855</v>
      </c>
      <c r="AA21" s="38">
        <v>135</v>
      </c>
      <c r="AB21" s="34">
        <v>0</v>
      </c>
      <c r="AC21" s="38">
        <v>38002</v>
      </c>
      <c r="AD21" s="34">
        <v>1244</v>
      </c>
      <c r="AE21" s="34">
        <v>10185</v>
      </c>
      <c r="AF21" s="38">
        <v>1230</v>
      </c>
      <c r="AG21" s="39">
        <v>104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31066</v>
      </c>
      <c r="G22" s="43">
        <f t="shared" si="1"/>
        <v>3806.3269230769229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76020</v>
      </c>
      <c r="U22" s="43">
        <f t="shared" si="1"/>
        <v>8839.5348837209312</v>
      </c>
      <c r="V22" s="44" t="e">
        <f t="shared" si="1"/>
        <v>#REF!</v>
      </c>
      <c r="W22" s="45">
        <f t="shared" si="1"/>
        <v>37042.1</v>
      </c>
      <c r="X22" s="44">
        <f t="shared" si="1"/>
        <v>0</v>
      </c>
      <c r="Y22" s="43">
        <f>SUM(Y20:Y21)</f>
        <v>18197.649999999998</v>
      </c>
      <c r="Z22" s="42">
        <f t="shared" si="1"/>
        <v>6855</v>
      </c>
      <c r="AA22" s="42">
        <f t="shared" si="1"/>
        <v>285</v>
      </c>
      <c r="AB22" s="44">
        <f t="shared" si="1"/>
        <v>1111</v>
      </c>
      <c r="AC22" s="42">
        <f t="shared" si="1"/>
        <v>65912</v>
      </c>
      <c r="AD22" s="44">
        <f>SUM(AD20:AD21)</f>
        <v>16364</v>
      </c>
      <c r="AE22" s="44">
        <f>SUM(AE20:AE21)</f>
        <v>22119</v>
      </c>
      <c r="AF22" s="42">
        <f t="shared" si="1"/>
        <v>1845</v>
      </c>
      <c r="AG22" s="46">
        <f t="shared" si="1"/>
        <v>284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6000</v>
      </c>
      <c r="Z23" s="31">
        <v>3000</v>
      </c>
      <c r="AA23" s="31"/>
      <c r="AB23" s="31"/>
      <c r="AC23" s="31">
        <v>28000</v>
      </c>
      <c r="AD23" s="31"/>
      <c r="AE23" s="48">
        <v>7200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31066</v>
      </c>
      <c r="G24" s="52">
        <f t="shared" si="2"/>
        <v>3806.3269230769229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119020</v>
      </c>
      <c r="U24" s="52">
        <f t="shared" si="2"/>
        <v>13839.534883720931</v>
      </c>
      <c r="V24" s="51" t="e">
        <f t="shared" si="2"/>
        <v>#REF!</v>
      </c>
      <c r="W24" s="52">
        <f t="shared" si="2"/>
        <v>52042.1</v>
      </c>
      <c r="X24" s="51">
        <f t="shared" si="2"/>
        <v>0</v>
      </c>
      <c r="Y24" s="52">
        <f t="shared" si="2"/>
        <v>24197.649999999998</v>
      </c>
      <c r="Z24" s="51">
        <f t="shared" si="2"/>
        <v>9855</v>
      </c>
      <c r="AA24" s="51">
        <f t="shared" si="2"/>
        <v>285</v>
      </c>
      <c r="AB24" s="51">
        <f t="shared" si="2"/>
        <v>1111</v>
      </c>
      <c r="AC24" s="51">
        <f t="shared" si="2"/>
        <v>93912</v>
      </c>
      <c r="AD24" s="51">
        <f t="shared" si="2"/>
        <v>16364</v>
      </c>
      <c r="AE24" s="51">
        <f t="shared" si="2"/>
        <v>29319</v>
      </c>
      <c r="AF24" s="51">
        <f t="shared" si="2"/>
        <v>1845</v>
      </c>
      <c r="AG24" s="53">
        <f t="shared" si="2"/>
        <v>284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12182</v>
      </c>
      <c r="G25" s="32">
        <f>F25/200*25</f>
        <v>1522.75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10374</v>
      </c>
      <c r="U25" s="32">
        <f>T25/215*25</f>
        <v>1206.279069767442</v>
      </c>
      <c r="V25" s="47"/>
      <c r="W25" s="35">
        <v>7439.4</v>
      </c>
      <c r="X25" s="47"/>
      <c r="Y25" s="55">
        <v>2877.12</v>
      </c>
      <c r="Z25" s="31">
        <v>1184</v>
      </c>
      <c r="AA25" s="38"/>
      <c r="AB25" s="47"/>
      <c r="AC25" s="38">
        <v>11935</v>
      </c>
      <c r="AD25" s="47"/>
      <c r="AE25" s="47">
        <v>4673</v>
      </c>
      <c r="AF25" s="38"/>
      <c r="AG25" s="56">
        <v>14</v>
      </c>
    </row>
    <row r="26" spans="1:35" s="4" customFormat="1" ht="100.5" customHeight="1" thickBot="1" x14ac:dyDescent="0.25">
      <c r="A26" s="57">
        <v>45949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18884</v>
      </c>
      <c r="G26" s="58">
        <f>G24-G25</f>
        <v>2283.5769230769229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108646</v>
      </c>
      <c r="U26" s="58">
        <f>U24-U25</f>
        <v>12633.255813953489</v>
      </c>
      <c r="V26" s="58" t="e">
        <f>V24-V25-#REF!</f>
        <v>#REF!</v>
      </c>
      <c r="W26" s="59">
        <f>W24-W25</f>
        <v>44602.7</v>
      </c>
      <c r="X26" s="58" t="e">
        <f>X24-X25-#REF!</f>
        <v>#REF!</v>
      </c>
      <c r="Y26" s="59">
        <f t="shared" ref="Y26:AG26" si="3">Y24-Y25</f>
        <v>21320.53</v>
      </c>
      <c r="Z26" s="58">
        <f t="shared" si="3"/>
        <v>8671</v>
      </c>
      <c r="AA26" s="58">
        <f t="shared" si="3"/>
        <v>285</v>
      </c>
      <c r="AB26" s="58">
        <f t="shared" si="3"/>
        <v>1111</v>
      </c>
      <c r="AC26" s="58">
        <f t="shared" si="3"/>
        <v>81977</v>
      </c>
      <c r="AD26" s="58">
        <f t="shared" si="3"/>
        <v>16364</v>
      </c>
      <c r="AE26" s="58">
        <f t="shared" si="3"/>
        <v>24646</v>
      </c>
      <c r="AF26" s="58">
        <f t="shared" si="3"/>
        <v>1845</v>
      </c>
      <c r="AG26" s="58">
        <f t="shared" si="3"/>
        <v>270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0" zoomScale="70" zoomScaleNormal="70" workbookViewId="0">
      <selection activeCell="F26" sqref="F26:AG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236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45950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59125</v>
      </c>
      <c r="U20" s="34">
        <f>T20/215*25</f>
        <v>6875</v>
      </c>
      <c r="V20" s="33" t="e">
        <f>#REF!</f>
        <v>#REF!</v>
      </c>
      <c r="W20" s="33">
        <v>28750</v>
      </c>
      <c r="X20" s="33"/>
      <c r="Y20" s="35">
        <v>16725.5</v>
      </c>
      <c r="Z20" s="31">
        <v>5950</v>
      </c>
      <c r="AA20" s="31">
        <v>150</v>
      </c>
      <c r="AB20" s="34">
        <v>1111</v>
      </c>
      <c r="AC20" s="31">
        <v>36750</v>
      </c>
      <c r="AD20" s="33">
        <v>15120</v>
      </c>
      <c r="AE20" s="33">
        <v>11934</v>
      </c>
      <c r="AF20" s="31">
        <v>465</v>
      </c>
      <c r="AG20" s="36">
        <v>160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18884</v>
      </c>
      <c r="G21" s="32">
        <f>F21/200*25</f>
        <v>2360.5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49521</v>
      </c>
      <c r="U21" s="32">
        <f>T21/215*25</f>
        <v>5758.2558139534885</v>
      </c>
      <c r="V21" s="34"/>
      <c r="W21" s="32">
        <v>15852.699999999999</v>
      </c>
      <c r="X21" s="34"/>
      <c r="Y21" s="32">
        <v>4595.029999999997</v>
      </c>
      <c r="Z21" s="38">
        <v>2721</v>
      </c>
      <c r="AA21" s="38">
        <v>135</v>
      </c>
      <c r="AB21" s="34">
        <v>0</v>
      </c>
      <c r="AC21" s="38">
        <v>45227</v>
      </c>
      <c r="AD21" s="34">
        <v>1244</v>
      </c>
      <c r="AE21" s="34">
        <v>12712</v>
      </c>
      <c r="AF21" s="38">
        <v>1380</v>
      </c>
      <c r="AG21" s="39">
        <v>110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18884</v>
      </c>
      <c r="G22" s="43">
        <f t="shared" si="1"/>
        <v>2360.5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108646</v>
      </c>
      <c r="U22" s="43">
        <f t="shared" si="1"/>
        <v>12633.255813953489</v>
      </c>
      <c r="V22" s="44" t="e">
        <f t="shared" si="1"/>
        <v>#REF!</v>
      </c>
      <c r="W22" s="45">
        <f t="shared" si="1"/>
        <v>44602.7</v>
      </c>
      <c r="X22" s="44">
        <f t="shared" si="1"/>
        <v>0</v>
      </c>
      <c r="Y22" s="43">
        <f>SUM(Y20:Y21)</f>
        <v>21320.53</v>
      </c>
      <c r="Z22" s="42">
        <f t="shared" si="1"/>
        <v>8671</v>
      </c>
      <c r="AA22" s="42">
        <f t="shared" si="1"/>
        <v>285</v>
      </c>
      <c r="AB22" s="44">
        <f t="shared" si="1"/>
        <v>1111</v>
      </c>
      <c r="AC22" s="42">
        <f t="shared" si="1"/>
        <v>81977</v>
      </c>
      <c r="AD22" s="44">
        <f>SUM(AD20:AD21)</f>
        <v>16364</v>
      </c>
      <c r="AE22" s="44">
        <f>SUM(AE20:AE21)</f>
        <v>24646</v>
      </c>
      <c r="AF22" s="42">
        <f t="shared" si="1"/>
        <v>1845</v>
      </c>
      <c r="AG22" s="46">
        <f t="shared" si="1"/>
        <v>270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18884</v>
      </c>
      <c r="G24" s="52">
        <f t="shared" si="2"/>
        <v>2360.5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108646</v>
      </c>
      <c r="U24" s="52">
        <f t="shared" si="2"/>
        <v>12633.255813953489</v>
      </c>
      <c r="V24" s="51" t="e">
        <f t="shared" si="2"/>
        <v>#REF!</v>
      </c>
      <c r="W24" s="52">
        <f t="shared" si="2"/>
        <v>44602.7</v>
      </c>
      <c r="X24" s="51">
        <f t="shared" si="2"/>
        <v>0</v>
      </c>
      <c r="Y24" s="52">
        <f t="shared" si="2"/>
        <v>21320.53</v>
      </c>
      <c r="Z24" s="51">
        <f t="shared" si="2"/>
        <v>8671</v>
      </c>
      <c r="AA24" s="51">
        <f t="shared" si="2"/>
        <v>285</v>
      </c>
      <c r="AB24" s="51">
        <f t="shared" si="2"/>
        <v>1111</v>
      </c>
      <c r="AC24" s="51">
        <f t="shared" si="2"/>
        <v>81977</v>
      </c>
      <c r="AD24" s="51">
        <f t="shared" si="2"/>
        <v>16364</v>
      </c>
      <c r="AE24" s="51">
        <f t="shared" si="2"/>
        <v>24646</v>
      </c>
      <c r="AF24" s="51">
        <f t="shared" si="2"/>
        <v>1845</v>
      </c>
      <c r="AG24" s="53">
        <f t="shared" si="2"/>
        <v>270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10148</v>
      </c>
      <c r="G25" s="32">
        <f>F25/200*25</f>
        <v>1268.5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13330</v>
      </c>
      <c r="U25" s="32">
        <f>T25/215*25</f>
        <v>1550</v>
      </c>
      <c r="V25" s="47"/>
      <c r="W25" s="35">
        <v>6976.4000000000015</v>
      </c>
      <c r="X25" s="47"/>
      <c r="Y25" s="55">
        <v>2920.86</v>
      </c>
      <c r="Z25" s="31">
        <v>1202</v>
      </c>
      <c r="AA25" s="38"/>
      <c r="AB25" s="47"/>
      <c r="AC25" s="38">
        <v>11542</v>
      </c>
      <c r="AD25" s="47"/>
      <c r="AE25" s="47">
        <v>4512</v>
      </c>
      <c r="AF25" s="38"/>
      <c r="AG25" s="56">
        <v>16</v>
      </c>
    </row>
    <row r="26" spans="1:35" s="4" customFormat="1" ht="100.5" customHeight="1" thickBot="1" x14ac:dyDescent="0.25">
      <c r="A26" s="57">
        <v>45956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8736</v>
      </c>
      <c r="G26" s="58">
        <f>G24-G25</f>
        <v>1092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95316</v>
      </c>
      <c r="U26" s="58">
        <f>U24-U25</f>
        <v>11083.255813953489</v>
      </c>
      <c r="V26" s="58" t="e">
        <f>V24-V25-#REF!</f>
        <v>#REF!</v>
      </c>
      <c r="W26" s="59">
        <f>W24-W25</f>
        <v>37626.299999999996</v>
      </c>
      <c r="X26" s="58" t="e">
        <f>X24-X25-#REF!</f>
        <v>#REF!</v>
      </c>
      <c r="Y26" s="59">
        <f t="shared" ref="Y26:AG26" si="3">Y24-Y25</f>
        <v>18399.669999999998</v>
      </c>
      <c r="Z26" s="58">
        <f t="shared" si="3"/>
        <v>7469</v>
      </c>
      <c r="AA26" s="58">
        <f t="shared" si="3"/>
        <v>285</v>
      </c>
      <c r="AB26" s="58">
        <f t="shared" si="3"/>
        <v>1111</v>
      </c>
      <c r="AC26" s="58">
        <f t="shared" si="3"/>
        <v>70435</v>
      </c>
      <c r="AD26" s="58">
        <f t="shared" si="3"/>
        <v>16364</v>
      </c>
      <c r="AE26" s="58">
        <f t="shared" si="3"/>
        <v>20134</v>
      </c>
      <c r="AF26" s="58">
        <f t="shared" si="3"/>
        <v>1845</v>
      </c>
      <c r="AG26" s="58">
        <f t="shared" si="3"/>
        <v>254</v>
      </c>
    </row>
    <row r="27" spans="1:35" ht="24.75" customHeight="1" x14ac:dyDescent="0.3"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79"/>
      <c r="X27" s="63"/>
      <c r="Y27" s="79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4" zoomScale="70" zoomScaleNormal="70" workbookViewId="0">
      <selection activeCell="AA25" sqref="AA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237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45957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26875</v>
      </c>
      <c r="U20" s="34">
        <f>T20/215*25</f>
        <v>3125</v>
      </c>
      <c r="V20" s="33" t="e">
        <f>#REF!</f>
        <v>#REF!</v>
      </c>
      <c r="W20" s="33">
        <v>19500</v>
      </c>
      <c r="X20" s="33"/>
      <c r="Y20" s="35">
        <v>11296</v>
      </c>
      <c r="Z20" s="31">
        <v>4800</v>
      </c>
      <c r="AA20" s="31">
        <v>150</v>
      </c>
      <c r="AB20" s="34">
        <v>1111</v>
      </c>
      <c r="AC20" s="31">
        <v>28510</v>
      </c>
      <c r="AD20" s="33">
        <v>15120</v>
      </c>
      <c r="AE20" s="33">
        <v>5634</v>
      </c>
      <c r="AF20" s="31">
        <v>615</v>
      </c>
      <c r="AG20" s="36">
        <v>150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8736</v>
      </c>
      <c r="G21" s="32">
        <f>F21/200*25</f>
        <v>1092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f>58766+9675</f>
        <v>68441</v>
      </c>
      <c r="U21" s="32">
        <f>T21/215*25</f>
        <v>7958.2558139534885</v>
      </c>
      <c r="V21" s="34"/>
      <c r="W21" s="32">
        <f>14751.3+3375</f>
        <v>18126.3</v>
      </c>
      <c r="X21" s="34"/>
      <c r="Y21" s="32">
        <f>4104.17+2999.5</f>
        <v>7103.67</v>
      </c>
      <c r="Z21" s="38">
        <f>2519+150</f>
        <v>2669</v>
      </c>
      <c r="AA21" s="38">
        <v>135</v>
      </c>
      <c r="AB21" s="34">
        <v>0</v>
      </c>
      <c r="AC21" s="38">
        <f>39665+2260</f>
        <v>41925</v>
      </c>
      <c r="AD21" s="34">
        <v>1244</v>
      </c>
      <c r="AE21" s="34">
        <v>14500</v>
      </c>
      <c r="AF21" s="38">
        <f>1380-150</f>
        <v>1230</v>
      </c>
      <c r="AG21" s="39">
        <v>104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8736</v>
      </c>
      <c r="G22" s="43">
        <f t="shared" si="1"/>
        <v>1092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95316</v>
      </c>
      <c r="U22" s="43">
        <f t="shared" si="1"/>
        <v>11083.255813953489</v>
      </c>
      <c r="V22" s="44" t="e">
        <f t="shared" si="1"/>
        <v>#REF!</v>
      </c>
      <c r="W22" s="45">
        <f t="shared" si="1"/>
        <v>37626.300000000003</v>
      </c>
      <c r="X22" s="44">
        <f t="shared" si="1"/>
        <v>0</v>
      </c>
      <c r="Y22" s="43">
        <f>SUM(Y20:Y21)</f>
        <v>18399.669999999998</v>
      </c>
      <c r="Z22" s="42">
        <f t="shared" si="1"/>
        <v>7469</v>
      </c>
      <c r="AA22" s="42">
        <f t="shared" si="1"/>
        <v>285</v>
      </c>
      <c r="AB22" s="44">
        <f t="shared" si="1"/>
        <v>1111</v>
      </c>
      <c r="AC22" s="42">
        <f t="shared" si="1"/>
        <v>70435</v>
      </c>
      <c r="AD22" s="44">
        <f>SUM(AD20:AD21)</f>
        <v>16364</v>
      </c>
      <c r="AE22" s="44">
        <f>SUM(AE20:AE21)</f>
        <v>20134</v>
      </c>
      <c r="AF22" s="42">
        <f t="shared" si="1"/>
        <v>1845</v>
      </c>
      <c r="AG22" s="46">
        <f t="shared" si="1"/>
        <v>254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6000</v>
      </c>
      <c r="Z23" s="31">
        <v>3000</v>
      </c>
      <c r="AA23" s="31"/>
      <c r="AB23" s="31"/>
      <c r="AC23" s="31">
        <v>9250</v>
      </c>
      <c r="AD23" s="31"/>
      <c r="AE23" s="48">
        <v>9000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8736</v>
      </c>
      <c r="G24" s="52">
        <f t="shared" si="2"/>
        <v>1092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138316</v>
      </c>
      <c r="U24" s="52">
        <f t="shared" si="2"/>
        <v>16083.255813953489</v>
      </c>
      <c r="V24" s="51" t="e">
        <f t="shared" si="2"/>
        <v>#REF!</v>
      </c>
      <c r="W24" s="52">
        <f t="shared" si="2"/>
        <v>52626.3</v>
      </c>
      <c r="X24" s="51">
        <f t="shared" si="2"/>
        <v>0</v>
      </c>
      <c r="Y24" s="52">
        <f t="shared" si="2"/>
        <v>24399.67</v>
      </c>
      <c r="Z24" s="51">
        <f t="shared" si="2"/>
        <v>10469</v>
      </c>
      <c r="AA24" s="51">
        <f t="shared" si="2"/>
        <v>285</v>
      </c>
      <c r="AB24" s="51">
        <f t="shared" si="2"/>
        <v>1111</v>
      </c>
      <c r="AC24" s="51">
        <f t="shared" si="2"/>
        <v>79685</v>
      </c>
      <c r="AD24" s="51">
        <f t="shared" si="2"/>
        <v>16364</v>
      </c>
      <c r="AE24" s="51">
        <f t="shared" si="2"/>
        <v>29134</v>
      </c>
      <c r="AF24" s="51">
        <f t="shared" si="2"/>
        <v>1845</v>
      </c>
      <c r="AG24" s="53">
        <f t="shared" si="2"/>
        <v>254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3350</v>
      </c>
      <c r="G25" s="32">
        <f>F25/200*25</f>
        <v>418.75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15229</v>
      </c>
      <c r="U25" s="32">
        <f>T25/215*25</f>
        <v>1770.8139534883721</v>
      </c>
      <c r="V25" s="47"/>
      <c r="W25" s="35">
        <v>5271.2</v>
      </c>
      <c r="X25" s="47"/>
      <c r="Y25" s="55">
        <v>2269.62</v>
      </c>
      <c r="Z25" s="31">
        <v>934</v>
      </c>
      <c r="AA25" s="38">
        <v>2</v>
      </c>
      <c r="AB25" s="47"/>
      <c r="AC25" s="38">
        <v>8932</v>
      </c>
      <c r="AD25" s="47"/>
      <c r="AE25" s="47">
        <v>3578</v>
      </c>
      <c r="AF25" s="38"/>
      <c r="AG25" s="56">
        <v>16</v>
      </c>
    </row>
    <row r="26" spans="1:35" s="4" customFormat="1" ht="100.5" customHeight="1" thickBot="1" x14ac:dyDescent="0.25">
      <c r="A26" s="57">
        <v>45963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5386</v>
      </c>
      <c r="G26" s="58">
        <f>G24-G25</f>
        <v>673.25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123087</v>
      </c>
      <c r="U26" s="58">
        <f>U24-U25</f>
        <v>14312.441860465116</v>
      </c>
      <c r="V26" s="58" t="e">
        <f>V24-V25-#REF!</f>
        <v>#REF!</v>
      </c>
      <c r="W26" s="59">
        <f>W24-W25</f>
        <v>47355.100000000006</v>
      </c>
      <c r="X26" s="58" t="e">
        <f>X24-X25-#REF!</f>
        <v>#REF!</v>
      </c>
      <c r="Y26" s="59">
        <f t="shared" ref="Y26:AG26" si="3">Y24-Y25</f>
        <v>22130.05</v>
      </c>
      <c r="Z26" s="58">
        <f t="shared" si="3"/>
        <v>9535</v>
      </c>
      <c r="AA26" s="58">
        <f t="shared" si="3"/>
        <v>283</v>
      </c>
      <c r="AB26" s="58">
        <f t="shared" si="3"/>
        <v>1111</v>
      </c>
      <c r="AC26" s="58">
        <f t="shared" si="3"/>
        <v>70753</v>
      </c>
      <c r="AD26" s="58">
        <f t="shared" si="3"/>
        <v>16364</v>
      </c>
      <c r="AE26" s="58">
        <f t="shared" si="3"/>
        <v>25556</v>
      </c>
      <c r="AF26" s="58">
        <f t="shared" si="3"/>
        <v>1845</v>
      </c>
      <c r="AG26" s="58">
        <f t="shared" si="3"/>
        <v>238</v>
      </c>
    </row>
    <row r="27" spans="1:35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7" zoomScale="70" zoomScaleNormal="70" workbookViewId="0">
      <selection activeCell="Y25" sqref="Y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238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45964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69875</v>
      </c>
      <c r="U20" s="34">
        <f>T20/215*25</f>
        <v>8125</v>
      </c>
      <c r="V20" s="33" t="e">
        <f>#REF!</f>
        <v>#REF!</v>
      </c>
      <c r="W20" s="33">
        <v>34500</v>
      </c>
      <c r="X20" s="33"/>
      <c r="Y20" s="35">
        <v>17296</v>
      </c>
      <c r="Z20" s="31">
        <v>7800</v>
      </c>
      <c r="AA20" s="31">
        <v>150</v>
      </c>
      <c r="AB20" s="34">
        <v>1111</v>
      </c>
      <c r="AC20" s="31">
        <v>37760</v>
      </c>
      <c r="AD20" s="33">
        <v>15120</v>
      </c>
      <c r="AE20" s="33">
        <v>14634</v>
      </c>
      <c r="AF20" s="31">
        <v>615</v>
      </c>
      <c r="AG20" s="36">
        <v>150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5386</v>
      </c>
      <c r="G21" s="32">
        <f>F21/200*25</f>
        <v>673.25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53212</v>
      </c>
      <c r="U21" s="32">
        <f>T21/215*25</f>
        <v>6187.4418604651164</v>
      </c>
      <c r="V21" s="34"/>
      <c r="W21" s="32">
        <v>12855.1</v>
      </c>
      <c r="X21" s="34"/>
      <c r="Y21" s="32">
        <v>4834.05</v>
      </c>
      <c r="Z21" s="38">
        <v>1735</v>
      </c>
      <c r="AA21" s="38">
        <v>133</v>
      </c>
      <c r="AB21" s="34">
        <v>0</v>
      </c>
      <c r="AC21" s="38">
        <v>32993</v>
      </c>
      <c r="AD21" s="34">
        <v>1244</v>
      </c>
      <c r="AE21" s="34">
        <v>10922</v>
      </c>
      <c r="AF21" s="38">
        <v>1230</v>
      </c>
      <c r="AG21" s="39">
        <v>88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5386</v>
      </c>
      <c r="G22" s="43">
        <f t="shared" si="1"/>
        <v>673.25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123087</v>
      </c>
      <c r="U22" s="43">
        <f t="shared" si="1"/>
        <v>14312.441860465116</v>
      </c>
      <c r="V22" s="44" t="e">
        <f t="shared" si="1"/>
        <v>#REF!</v>
      </c>
      <c r="W22" s="45">
        <f t="shared" si="1"/>
        <v>47355.1</v>
      </c>
      <c r="X22" s="44">
        <f t="shared" si="1"/>
        <v>0</v>
      </c>
      <c r="Y22" s="43">
        <f>SUM(Y20:Y21)</f>
        <v>22130.05</v>
      </c>
      <c r="Z22" s="42">
        <f t="shared" si="1"/>
        <v>9535</v>
      </c>
      <c r="AA22" s="42">
        <f t="shared" si="1"/>
        <v>283</v>
      </c>
      <c r="AB22" s="44">
        <f t="shared" si="1"/>
        <v>1111</v>
      </c>
      <c r="AC22" s="42">
        <f t="shared" si="1"/>
        <v>70753</v>
      </c>
      <c r="AD22" s="44">
        <f>SUM(AD20:AD21)</f>
        <v>16364</v>
      </c>
      <c r="AE22" s="44">
        <f>SUM(AE20:AE21)</f>
        <v>25556</v>
      </c>
      <c r="AF22" s="42">
        <f t="shared" si="1"/>
        <v>1845</v>
      </c>
      <c r="AG22" s="46">
        <f t="shared" si="1"/>
        <v>238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5386</v>
      </c>
      <c r="G24" s="52">
        <f t="shared" si="2"/>
        <v>673.25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123087</v>
      </c>
      <c r="U24" s="52">
        <f t="shared" si="2"/>
        <v>14312.441860465116</v>
      </c>
      <c r="V24" s="51" t="e">
        <f t="shared" si="2"/>
        <v>#REF!</v>
      </c>
      <c r="W24" s="52">
        <f t="shared" si="2"/>
        <v>47355.1</v>
      </c>
      <c r="X24" s="51">
        <f t="shared" si="2"/>
        <v>0</v>
      </c>
      <c r="Y24" s="52">
        <f t="shared" si="2"/>
        <v>22130.05</v>
      </c>
      <c r="Z24" s="51">
        <f t="shared" si="2"/>
        <v>9535</v>
      </c>
      <c r="AA24" s="51">
        <f t="shared" si="2"/>
        <v>283</v>
      </c>
      <c r="AB24" s="51">
        <f t="shared" si="2"/>
        <v>1111</v>
      </c>
      <c r="AC24" s="51">
        <f t="shared" si="2"/>
        <v>70753</v>
      </c>
      <c r="AD24" s="51">
        <f t="shared" si="2"/>
        <v>16364</v>
      </c>
      <c r="AE24" s="51">
        <f t="shared" si="2"/>
        <v>25556</v>
      </c>
      <c r="AF24" s="51">
        <f t="shared" si="2"/>
        <v>1845</v>
      </c>
      <c r="AG24" s="53">
        <f t="shared" si="2"/>
        <v>238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3761</v>
      </c>
      <c r="G25" s="32">
        <f>F25/200*25</f>
        <v>470.125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20333</v>
      </c>
      <c r="U25" s="32">
        <f>T25/215*25</f>
        <v>2364.3023255813955</v>
      </c>
      <c r="V25" s="47"/>
      <c r="W25" s="35">
        <v>7502.9000000000005</v>
      </c>
      <c r="X25" s="47"/>
      <c r="Y25" s="55">
        <v>3365.55</v>
      </c>
      <c r="Z25" s="31">
        <v>1385</v>
      </c>
      <c r="AA25" s="38"/>
      <c r="AB25" s="47"/>
      <c r="AC25" s="38">
        <v>12153</v>
      </c>
      <c r="AD25" s="47"/>
      <c r="AE25" s="47">
        <v>5222</v>
      </c>
      <c r="AF25" s="38"/>
      <c r="AG25" s="56">
        <v>14</v>
      </c>
    </row>
    <row r="26" spans="1:35" s="4" customFormat="1" ht="100.5" customHeight="1" thickBot="1" x14ac:dyDescent="0.25">
      <c r="A26" s="57">
        <v>45970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1625</v>
      </c>
      <c r="G26" s="58">
        <f>G24-G25</f>
        <v>203.125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102754</v>
      </c>
      <c r="U26" s="58">
        <f>U24-U25</f>
        <v>11948.139534883721</v>
      </c>
      <c r="V26" s="58" t="e">
        <f>V24-V25-#REF!</f>
        <v>#REF!</v>
      </c>
      <c r="W26" s="59">
        <f>W24-W25</f>
        <v>39852.199999999997</v>
      </c>
      <c r="X26" s="58" t="e">
        <f>X24-X25-#REF!</f>
        <v>#REF!</v>
      </c>
      <c r="Y26" s="59">
        <f t="shared" ref="Y26:AG26" si="3">Y24-Y25</f>
        <v>18764.5</v>
      </c>
      <c r="Z26" s="58">
        <f t="shared" si="3"/>
        <v>8150</v>
      </c>
      <c r="AA26" s="58">
        <f t="shared" si="3"/>
        <v>283</v>
      </c>
      <c r="AB26" s="58">
        <f t="shared" si="3"/>
        <v>1111</v>
      </c>
      <c r="AC26" s="58">
        <f t="shared" si="3"/>
        <v>58600</v>
      </c>
      <c r="AD26" s="58">
        <f t="shared" si="3"/>
        <v>16364</v>
      </c>
      <c r="AE26" s="58">
        <f t="shared" si="3"/>
        <v>20334</v>
      </c>
      <c r="AF26" s="58">
        <f t="shared" si="3"/>
        <v>1845</v>
      </c>
      <c r="AG26" s="58">
        <f t="shared" si="3"/>
        <v>224</v>
      </c>
    </row>
    <row r="27" spans="1:35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9" zoomScale="70" zoomScaleNormal="70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239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45971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27950</v>
      </c>
      <c r="U20" s="34">
        <f>T20/215*25</f>
        <v>3250</v>
      </c>
      <c r="V20" s="33" t="e">
        <f>#REF!</f>
        <v>#REF!</v>
      </c>
      <c r="W20" s="33">
        <v>20375</v>
      </c>
      <c r="X20" s="33"/>
      <c r="Y20" s="35">
        <v>11828</v>
      </c>
      <c r="Z20" s="31">
        <v>5550</v>
      </c>
      <c r="AA20" s="31">
        <v>150</v>
      </c>
      <c r="AB20" s="34">
        <v>1111</v>
      </c>
      <c r="AC20" s="31">
        <v>15870</v>
      </c>
      <c r="AD20" s="33">
        <v>15120</v>
      </c>
      <c r="AE20" s="33">
        <v>6534</v>
      </c>
      <c r="AF20" s="31">
        <v>615</v>
      </c>
      <c r="AG20" s="36">
        <v>100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1625</v>
      </c>
      <c r="G21" s="32">
        <f>F21/200*25</f>
        <v>203.125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74804</v>
      </c>
      <c r="U21" s="32">
        <f>T21/215*25</f>
        <v>8698.1395348837214</v>
      </c>
      <c r="V21" s="34"/>
      <c r="W21" s="32">
        <v>19477.200000000004</v>
      </c>
      <c r="X21" s="34"/>
      <c r="Y21" s="32">
        <v>6936.4999999999991</v>
      </c>
      <c r="Z21" s="38">
        <v>2600</v>
      </c>
      <c r="AA21" s="38">
        <v>133</v>
      </c>
      <c r="AB21" s="34">
        <v>0</v>
      </c>
      <c r="AC21" s="38">
        <v>42730</v>
      </c>
      <c r="AD21" s="34">
        <v>1244</v>
      </c>
      <c r="AE21" s="34">
        <v>13800</v>
      </c>
      <c r="AF21" s="38">
        <v>1230</v>
      </c>
      <c r="AG21" s="39">
        <v>124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1625</v>
      </c>
      <c r="G22" s="43">
        <f t="shared" si="1"/>
        <v>203.125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102754</v>
      </c>
      <c r="U22" s="43">
        <f t="shared" si="1"/>
        <v>11948.139534883721</v>
      </c>
      <c r="V22" s="44" t="e">
        <f t="shared" si="1"/>
        <v>#REF!</v>
      </c>
      <c r="W22" s="45">
        <f t="shared" si="1"/>
        <v>39852.200000000004</v>
      </c>
      <c r="X22" s="44">
        <f t="shared" si="1"/>
        <v>0</v>
      </c>
      <c r="Y22" s="43">
        <f>SUM(Y20:Y21)</f>
        <v>18764.5</v>
      </c>
      <c r="Z22" s="42">
        <f t="shared" si="1"/>
        <v>8150</v>
      </c>
      <c r="AA22" s="42">
        <f t="shared" si="1"/>
        <v>283</v>
      </c>
      <c r="AB22" s="44">
        <f t="shared" si="1"/>
        <v>1111</v>
      </c>
      <c r="AC22" s="42">
        <f t="shared" si="1"/>
        <v>58600</v>
      </c>
      <c r="AD22" s="44">
        <f>SUM(AD20:AD21)</f>
        <v>16364</v>
      </c>
      <c r="AE22" s="44">
        <f>SUM(AE20:AE21)</f>
        <v>20334</v>
      </c>
      <c r="AF22" s="42">
        <f t="shared" si="1"/>
        <v>1845</v>
      </c>
      <c r="AG22" s="46">
        <f t="shared" si="1"/>
        <v>224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3000</v>
      </c>
      <c r="Z23" s="31">
        <v>3000</v>
      </c>
      <c r="AA23" s="31"/>
      <c r="AB23" s="31"/>
      <c r="AC23" s="31">
        <v>18500</v>
      </c>
      <c r="AD23" s="31"/>
      <c r="AE23" s="48">
        <v>5400</v>
      </c>
      <c r="AF23" s="31"/>
      <c r="AG23" s="49">
        <v>60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1625</v>
      </c>
      <c r="G24" s="52">
        <f t="shared" si="2"/>
        <v>203.125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145754</v>
      </c>
      <c r="U24" s="52">
        <f t="shared" si="2"/>
        <v>16948.139534883721</v>
      </c>
      <c r="V24" s="51" t="e">
        <f t="shared" si="2"/>
        <v>#REF!</v>
      </c>
      <c r="W24" s="52">
        <f t="shared" si="2"/>
        <v>54852.200000000004</v>
      </c>
      <c r="X24" s="51">
        <f t="shared" si="2"/>
        <v>0</v>
      </c>
      <c r="Y24" s="52">
        <f t="shared" si="2"/>
        <v>21764.5</v>
      </c>
      <c r="Z24" s="51">
        <f t="shared" si="2"/>
        <v>11150</v>
      </c>
      <c r="AA24" s="51">
        <f t="shared" si="2"/>
        <v>283</v>
      </c>
      <c r="AB24" s="51">
        <f t="shared" si="2"/>
        <v>1111</v>
      </c>
      <c r="AC24" s="51">
        <f t="shared" si="2"/>
        <v>77100</v>
      </c>
      <c r="AD24" s="51">
        <f t="shared" si="2"/>
        <v>16364</v>
      </c>
      <c r="AE24" s="51">
        <f t="shared" si="2"/>
        <v>25734</v>
      </c>
      <c r="AF24" s="51">
        <f t="shared" si="2"/>
        <v>1845</v>
      </c>
      <c r="AG24" s="53">
        <f t="shared" si="2"/>
        <v>284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1625</v>
      </c>
      <c r="G25" s="32">
        <f>F25/200*25</f>
        <v>203.125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23498</v>
      </c>
      <c r="U25" s="32">
        <f>T25/215*25</f>
        <v>2732.3255813953488</v>
      </c>
      <c r="V25" s="47"/>
      <c r="W25" s="35">
        <v>8461.6099999999988</v>
      </c>
      <c r="X25" s="47"/>
      <c r="Y25" s="55">
        <v>3773.7900000000004</v>
      </c>
      <c r="Z25" s="31">
        <v>1553</v>
      </c>
      <c r="AA25" s="38"/>
      <c r="AB25" s="47"/>
      <c r="AC25" s="38">
        <v>13267</v>
      </c>
      <c r="AD25" s="47"/>
      <c r="AE25" s="47">
        <v>6045</v>
      </c>
      <c r="AF25" s="38"/>
      <c r="AG25" s="56">
        <v>10</v>
      </c>
    </row>
    <row r="26" spans="1:35" s="4" customFormat="1" ht="100.5" customHeight="1" thickBot="1" x14ac:dyDescent="0.25">
      <c r="A26" s="57">
        <v>45977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0</v>
      </c>
      <c r="G26" s="58">
        <f>G24-G25</f>
        <v>0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122256</v>
      </c>
      <c r="U26" s="58">
        <f>U24-U25</f>
        <v>14215.813953488372</v>
      </c>
      <c r="V26" s="58" t="e">
        <f>V24-V25-#REF!</f>
        <v>#REF!</v>
      </c>
      <c r="W26" s="59">
        <f>W24-W25</f>
        <v>46390.590000000004</v>
      </c>
      <c r="X26" s="58" t="e">
        <f>X24-X25-#REF!</f>
        <v>#REF!</v>
      </c>
      <c r="Y26" s="59">
        <f t="shared" ref="Y26:AG26" si="3">Y24-Y25</f>
        <v>17990.71</v>
      </c>
      <c r="Z26" s="58">
        <f t="shared" si="3"/>
        <v>9597</v>
      </c>
      <c r="AA26" s="58">
        <f t="shared" si="3"/>
        <v>283</v>
      </c>
      <c r="AB26" s="58">
        <f t="shared" si="3"/>
        <v>1111</v>
      </c>
      <c r="AC26" s="58">
        <f t="shared" si="3"/>
        <v>63833</v>
      </c>
      <c r="AD26" s="58">
        <f t="shared" si="3"/>
        <v>16364</v>
      </c>
      <c r="AE26" s="58">
        <f t="shared" si="3"/>
        <v>19689</v>
      </c>
      <c r="AF26" s="58">
        <f t="shared" si="3"/>
        <v>1845</v>
      </c>
      <c r="AG26" s="58">
        <f t="shared" si="3"/>
        <v>274</v>
      </c>
    </row>
    <row r="27" spans="1:35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3" zoomScale="70" zoomScaleNormal="70" workbookViewId="0">
      <selection activeCell="W23" sqref="W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240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45978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44075</v>
      </c>
      <c r="U20" s="34">
        <f>T20/215*25</f>
        <v>5125</v>
      </c>
      <c r="V20" s="33" t="e">
        <f>#REF!</f>
        <v>#REF!</v>
      </c>
      <c r="W20" s="33">
        <v>27625</v>
      </c>
      <c r="X20" s="33"/>
      <c r="Y20" s="35">
        <v>11912</v>
      </c>
      <c r="Z20" s="31">
        <v>7300</v>
      </c>
      <c r="AA20" s="31">
        <v>150</v>
      </c>
      <c r="AB20" s="34">
        <v>1111</v>
      </c>
      <c r="AC20" s="31">
        <v>21490</v>
      </c>
      <c r="AD20" s="33">
        <v>15120</v>
      </c>
      <c r="AE20" s="33">
        <v>6534</v>
      </c>
      <c r="AF20" s="31">
        <v>615</v>
      </c>
      <c r="AG20" s="36">
        <v>160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0</v>
      </c>
      <c r="G21" s="32">
        <f>F21/200*25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78181</v>
      </c>
      <c r="U21" s="32">
        <f>T21/215*25</f>
        <v>9090.8139534883721</v>
      </c>
      <c r="V21" s="34"/>
      <c r="W21" s="32">
        <v>18765.590000000004</v>
      </c>
      <c r="X21" s="34"/>
      <c r="Y21" s="32">
        <v>6078.7099999999991</v>
      </c>
      <c r="Z21" s="38">
        <v>2297</v>
      </c>
      <c r="AA21" s="38">
        <v>133</v>
      </c>
      <c r="AB21" s="34">
        <v>0</v>
      </c>
      <c r="AC21" s="38">
        <v>42343</v>
      </c>
      <c r="AD21" s="34">
        <v>1244</v>
      </c>
      <c r="AE21" s="34">
        <v>13155</v>
      </c>
      <c r="AF21" s="38">
        <v>1230</v>
      </c>
      <c r="AG21" s="39">
        <v>114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122256</v>
      </c>
      <c r="U22" s="43">
        <f t="shared" si="1"/>
        <v>14215.813953488372</v>
      </c>
      <c r="V22" s="44" t="e">
        <f t="shared" si="1"/>
        <v>#REF!</v>
      </c>
      <c r="W22" s="45">
        <f t="shared" si="1"/>
        <v>46390.590000000004</v>
      </c>
      <c r="X22" s="44">
        <f t="shared" si="1"/>
        <v>0</v>
      </c>
      <c r="Y22" s="43">
        <f>SUM(Y20:Y21)</f>
        <v>17990.71</v>
      </c>
      <c r="Z22" s="42">
        <f t="shared" si="1"/>
        <v>9597</v>
      </c>
      <c r="AA22" s="42">
        <f t="shared" si="1"/>
        <v>283</v>
      </c>
      <c r="AB22" s="44">
        <f t="shared" si="1"/>
        <v>1111</v>
      </c>
      <c r="AC22" s="42">
        <f t="shared" si="1"/>
        <v>63833</v>
      </c>
      <c r="AD22" s="44">
        <f>SUM(AD20:AD21)</f>
        <v>16364</v>
      </c>
      <c r="AE22" s="44">
        <f>SUM(AE20:AE21)</f>
        <v>19689</v>
      </c>
      <c r="AF22" s="42">
        <f t="shared" si="1"/>
        <v>1845</v>
      </c>
      <c r="AG22" s="46">
        <f t="shared" si="1"/>
        <v>274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43000</v>
      </c>
      <c r="U23" s="32">
        <f>T23/215*25</f>
        <v>5000</v>
      </c>
      <c r="V23" s="31"/>
      <c r="W23" s="31">
        <v>15000</v>
      </c>
      <c r="X23" s="31"/>
      <c r="Y23" s="31">
        <v>5000</v>
      </c>
      <c r="Z23" s="31">
        <v>2000</v>
      </c>
      <c r="AA23" s="31"/>
      <c r="AB23" s="31"/>
      <c r="AC23" s="31">
        <v>14250</v>
      </c>
      <c r="AD23" s="31"/>
      <c r="AE23" s="48">
        <v>5400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165256</v>
      </c>
      <c r="U24" s="52">
        <f t="shared" si="2"/>
        <v>19215.813953488374</v>
      </c>
      <c r="V24" s="51" t="e">
        <f t="shared" si="2"/>
        <v>#REF!</v>
      </c>
      <c r="W24" s="52">
        <f t="shared" si="2"/>
        <v>61390.590000000004</v>
      </c>
      <c r="X24" s="51">
        <f t="shared" si="2"/>
        <v>0</v>
      </c>
      <c r="Y24" s="52">
        <f t="shared" si="2"/>
        <v>22990.71</v>
      </c>
      <c r="Z24" s="51">
        <f t="shared" si="2"/>
        <v>11597</v>
      </c>
      <c r="AA24" s="51">
        <f t="shared" si="2"/>
        <v>283</v>
      </c>
      <c r="AB24" s="51">
        <f t="shared" si="2"/>
        <v>1111</v>
      </c>
      <c r="AC24" s="51">
        <f t="shared" si="2"/>
        <v>78083</v>
      </c>
      <c r="AD24" s="51">
        <f t="shared" si="2"/>
        <v>16364</v>
      </c>
      <c r="AE24" s="51">
        <f t="shared" si="2"/>
        <v>25089</v>
      </c>
      <c r="AF24" s="51">
        <f t="shared" si="2"/>
        <v>1845</v>
      </c>
      <c r="AG24" s="53">
        <f t="shared" si="2"/>
        <v>274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F25/200*25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25996</v>
      </c>
      <c r="U25" s="32">
        <f>T25/215*25</f>
        <v>3022.7906976744189</v>
      </c>
      <c r="V25" s="47"/>
      <c r="W25" s="35">
        <v>8841.6</v>
      </c>
      <c r="X25" s="47"/>
      <c r="Y25" s="55">
        <v>3576.96</v>
      </c>
      <c r="Z25" s="31">
        <v>1472</v>
      </c>
      <c r="AA25" s="38"/>
      <c r="AB25" s="47"/>
      <c r="AC25" s="38">
        <v>13684</v>
      </c>
      <c r="AD25" s="47"/>
      <c r="AE25" s="47">
        <v>6137</v>
      </c>
      <c r="AF25" s="38"/>
      <c r="AG25" s="56">
        <v>20</v>
      </c>
    </row>
    <row r="26" spans="1:35" s="4" customFormat="1" ht="100.5" customHeight="1" thickBot="1" x14ac:dyDescent="0.25">
      <c r="A26" s="57">
        <v>45984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0</v>
      </c>
      <c r="G26" s="58">
        <f>G24-G25</f>
        <v>0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139260</v>
      </c>
      <c r="U26" s="58">
        <f>U24-U25</f>
        <v>16193.023255813954</v>
      </c>
      <c r="V26" s="58" t="e">
        <f>V24-V25-#REF!</f>
        <v>#REF!</v>
      </c>
      <c r="W26" s="59">
        <f>W24-W25</f>
        <v>52548.990000000005</v>
      </c>
      <c r="X26" s="58" t="e">
        <f>X24-X25-#REF!</f>
        <v>#REF!</v>
      </c>
      <c r="Y26" s="59">
        <f t="shared" ref="Y26:AG26" si="3">Y24-Y25</f>
        <v>19413.75</v>
      </c>
      <c r="Z26" s="58">
        <f t="shared" si="3"/>
        <v>10125</v>
      </c>
      <c r="AA26" s="58">
        <f t="shared" si="3"/>
        <v>283</v>
      </c>
      <c r="AB26" s="58">
        <f t="shared" si="3"/>
        <v>1111</v>
      </c>
      <c r="AC26" s="58">
        <f t="shared" si="3"/>
        <v>64399</v>
      </c>
      <c r="AD26" s="58">
        <f t="shared" si="3"/>
        <v>16364</v>
      </c>
      <c r="AE26" s="58">
        <f t="shared" si="3"/>
        <v>18952</v>
      </c>
      <c r="AF26" s="58">
        <f t="shared" si="3"/>
        <v>1845</v>
      </c>
      <c r="AG26" s="58">
        <f t="shared" si="3"/>
        <v>254</v>
      </c>
    </row>
    <row r="27" spans="1:35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0" zoomScale="70" zoomScaleNormal="70" workbookViewId="0">
      <selection activeCell="Z22" sqref="Z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241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45985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63425</v>
      </c>
      <c r="U20" s="34">
        <f>T20/215*25</f>
        <v>7375</v>
      </c>
      <c r="V20" s="33" t="e">
        <f>#REF!</f>
        <v>#REF!</v>
      </c>
      <c r="W20" s="33">
        <v>34375</v>
      </c>
      <c r="X20" s="33"/>
      <c r="Y20" s="35">
        <v>11930.5</v>
      </c>
      <c r="Z20" s="31">
        <v>7050</v>
      </c>
      <c r="AA20" s="31">
        <v>150</v>
      </c>
      <c r="AB20" s="34">
        <v>1111</v>
      </c>
      <c r="AC20" s="31">
        <v>20740</v>
      </c>
      <c r="AD20" s="33">
        <v>15120</v>
      </c>
      <c r="AE20" s="33">
        <v>7884</v>
      </c>
      <c r="AF20" s="31">
        <v>615</v>
      </c>
      <c r="AG20" s="36">
        <v>160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0</v>
      </c>
      <c r="G21" s="32">
        <f>F21/200*25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75835</v>
      </c>
      <c r="U21" s="32">
        <f>T21/215*25</f>
        <v>8818.0232558139542</v>
      </c>
      <c r="V21" s="34"/>
      <c r="W21" s="32">
        <v>18173.990000000002</v>
      </c>
      <c r="X21" s="34"/>
      <c r="Y21" s="32">
        <v>7483.2499999999982</v>
      </c>
      <c r="Z21" s="38">
        <v>3075</v>
      </c>
      <c r="AA21" s="38">
        <v>133</v>
      </c>
      <c r="AB21" s="34">
        <v>0</v>
      </c>
      <c r="AC21" s="38">
        <v>43659</v>
      </c>
      <c r="AD21" s="34">
        <v>1244</v>
      </c>
      <c r="AE21" s="34">
        <v>11068</v>
      </c>
      <c r="AF21" s="38">
        <v>1230</v>
      </c>
      <c r="AG21" s="39">
        <v>94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139260</v>
      </c>
      <c r="U22" s="43">
        <f t="shared" si="1"/>
        <v>16193.023255813954</v>
      </c>
      <c r="V22" s="44" t="e">
        <f t="shared" si="1"/>
        <v>#REF!</v>
      </c>
      <c r="W22" s="45">
        <f t="shared" si="1"/>
        <v>52548.990000000005</v>
      </c>
      <c r="X22" s="44">
        <f t="shared" si="1"/>
        <v>0</v>
      </c>
      <c r="Y22" s="43">
        <f>SUM(Y20:Y21)</f>
        <v>19413.75</v>
      </c>
      <c r="Z22" s="42">
        <f t="shared" si="1"/>
        <v>10125</v>
      </c>
      <c r="AA22" s="42">
        <f t="shared" si="1"/>
        <v>283</v>
      </c>
      <c r="AB22" s="44">
        <f t="shared" si="1"/>
        <v>1111</v>
      </c>
      <c r="AC22" s="42">
        <f t="shared" si="1"/>
        <v>64399</v>
      </c>
      <c r="AD22" s="44">
        <f>SUM(AD20:AD21)</f>
        <v>16364</v>
      </c>
      <c r="AE22" s="44">
        <f>SUM(AE20:AE21)</f>
        <v>18952</v>
      </c>
      <c r="AF22" s="42">
        <f t="shared" si="1"/>
        <v>1845</v>
      </c>
      <c r="AG22" s="46">
        <f t="shared" si="1"/>
        <v>254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0</v>
      </c>
      <c r="G24" s="52">
        <f t="shared" si="2"/>
        <v>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139260</v>
      </c>
      <c r="U24" s="52">
        <f t="shared" si="2"/>
        <v>16193.023255813954</v>
      </c>
      <c r="V24" s="51" t="e">
        <f t="shared" si="2"/>
        <v>#REF!</v>
      </c>
      <c r="W24" s="52">
        <f t="shared" si="2"/>
        <v>52548.990000000005</v>
      </c>
      <c r="X24" s="51">
        <f t="shared" si="2"/>
        <v>0</v>
      </c>
      <c r="Y24" s="52">
        <f t="shared" si="2"/>
        <v>19413.75</v>
      </c>
      <c r="Z24" s="51">
        <f t="shared" si="2"/>
        <v>10125</v>
      </c>
      <c r="AA24" s="51">
        <f t="shared" si="2"/>
        <v>283</v>
      </c>
      <c r="AB24" s="51">
        <f t="shared" si="2"/>
        <v>1111</v>
      </c>
      <c r="AC24" s="51">
        <f t="shared" si="2"/>
        <v>64399</v>
      </c>
      <c r="AD24" s="51">
        <f t="shared" si="2"/>
        <v>16364</v>
      </c>
      <c r="AE24" s="51">
        <f t="shared" si="2"/>
        <v>18952</v>
      </c>
      <c r="AF24" s="51">
        <f t="shared" si="2"/>
        <v>1845</v>
      </c>
      <c r="AG24" s="53">
        <f t="shared" si="2"/>
        <v>254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F25/200*25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25882</v>
      </c>
      <c r="U25" s="32">
        <f>T25/215*25</f>
        <v>3009.5348837209303</v>
      </c>
      <c r="V25" s="47"/>
      <c r="W25" s="35">
        <v>9057.6</v>
      </c>
      <c r="X25" s="47"/>
      <c r="Y25" s="55">
        <v>3781.08</v>
      </c>
      <c r="Z25" s="31">
        <v>1556</v>
      </c>
      <c r="AA25" s="38"/>
      <c r="AB25" s="47"/>
      <c r="AC25" s="38">
        <v>13647</v>
      </c>
      <c r="AD25" s="47"/>
      <c r="AE25" s="47">
        <v>6391</v>
      </c>
      <c r="AF25" s="38"/>
      <c r="AG25" s="56">
        <v>16</v>
      </c>
    </row>
    <row r="26" spans="1:35" s="4" customFormat="1" ht="100.5" customHeight="1" thickBot="1" x14ac:dyDescent="0.25">
      <c r="A26" s="57">
        <v>45991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0</v>
      </c>
      <c r="G26" s="58">
        <f>G24-G25</f>
        <v>0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113378</v>
      </c>
      <c r="U26" s="58">
        <f>U24-U25</f>
        <v>13183.488372093023</v>
      </c>
      <c r="V26" s="58" t="e">
        <f>V24-V25-#REF!</f>
        <v>#REF!</v>
      </c>
      <c r="W26" s="59">
        <f>W24-W25</f>
        <v>43491.390000000007</v>
      </c>
      <c r="X26" s="58" t="e">
        <f>X24-X25-#REF!</f>
        <v>#REF!</v>
      </c>
      <c r="Y26" s="59">
        <f t="shared" ref="Y26:AG26" si="3">Y24-Y25</f>
        <v>15632.67</v>
      </c>
      <c r="Z26" s="58">
        <f t="shared" si="3"/>
        <v>8569</v>
      </c>
      <c r="AA26" s="58">
        <f t="shared" si="3"/>
        <v>283</v>
      </c>
      <c r="AB26" s="58">
        <f t="shared" si="3"/>
        <v>1111</v>
      </c>
      <c r="AC26" s="58">
        <f t="shared" si="3"/>
        <v>50752</v>
      </c>
      <c r="AD26" s="58">
        <f t="shared" si="3"/>
        <v>16364</v>
      </c>
      <c r="AE26" s="58">
        <f t="shared" si="3"/>
        <v>12561</v>
      </c>
      <c r="AF26" s="58">
        <f t="shared" si="3"/>
        <v>1845</v>
      </c>
      <c r="AG26" s="58">
        <f t="shared" si="3"/>
        <v>238</v>
      </c>
    </row>
    <row r="27" spans="1:35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5" orientation="landscape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3" zoomScale="70" zoomScaleNormal="70" workbookViewId="0">
      <selection activeCell="Y25" sqref="Y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242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45992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f>F20/208*25</f>
        <v>0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33325</v>
      </c>
      <c r="U20" s="34">
        <f>T20/215*25</f>
        <v>3875</v>
      </c>
      <c r="V20" s="33" t="e">
        <f>#REF!</f>
        <v>#REF!</v>
      </c>
      <c r="W20" s="33">
        <v>23375</v>
      </c>
      <c r="X20" s="33"/>
      <c r="Y20" s="35">
        <v>8771.5</v>
      </c>
      <c r="Z20" s="31">
        <v>5600</v>
      </c>
      <c r="AA20" s="31">
        <v>150</v>
      </c>
      <c r="AB20" s="34">
        <v>1111</v>
      </c>
      <c r="AC20" s="31">
        <v>8110</v>
      </c>
      <c r="AD20" s="33">
        <v>15120</v>
      </c>
      <c r="AE20" s="33">
        <v>2934</v>
      </c>
      <c r="AF20" s="31">
        <v>615</v>
      </c>
      <c r="AG20" s="36">
        <v>120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0</v>
      </c>
      <c r="G21" s="32">
        <f>F21/200*25</f>
        <v>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80053</v>
      </c>
      <c r="U21" s="32">
        <f>T21/215*25</f>
        <v>9308.4883720930229</v>
      </c>
      <c r="V21" s="34"/>
      <c r="W21" s="32">
        <v>20116.390000000003</v>
      </c>
      <c r="X21" s="34"/>
      <c r="Y21" s="32">
        <v>6861.1699999999964</v>
      </c>
      <c r="Z21" s="38">
        <v>2969</v>
      </c>
      <c r="AA21" s="38">
        <v>133</v>
      </c>
      <c r="AB21" s="34">
        <v>0</v>
      </c>
      <c r="AC21" s="38">
        <v>42642</v>
      </c>
      <c r="AD21" s="34">
        <v>1244</v>
      </c>
      <c r="AE21" s="34">
        <v>9627</v>
      </c>
      <c r="AF21" s="38">
        <v>1230</v>
      </c>
      <c r="AG21" s="39">
        <v>118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0</v>
      </c>
      <c r="G22" s="43">
        <f t="shared" si="1"/>
        <v>0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113378</v>
      </c>
      <c r="U22" s="43">
        <f t="shared" si="1"/>
        <v>13183.488372093023</v>
      </c>
      <c r="V22" s="44" t="e">
        <f t="shared" si="1"/>
        <v>#REF!</v>
      </c>
      <c r="W22" s="45">
        <f t="shared" si="1"/>
        <v>43491.39</v>
      </c>
      <c r="X22" s="44">
        <f t="shared" si="1"/>
        <v>0</v>
      </c>
      <c r="Y22" s="43">
        <f>SUM(Y20:Y21)</f>
        <v>15632.669999999996</v>
      </c>
      <c r="Z22" s="42">
        <f t="shared" si="1"/>
        <v>8569</v>
      </c>
      <c r="AA22" s="42">
        <f t="shared" si="1"/>
        <v>283</v>
      </c>
      <c r="AB22" s="44">
        <f t="shared" si="1"/>
        <v>1111</v>
      </c>
      <c r="AC22" s="42">
        <f t="shared" si="1"/>
        <v>50752</v>
      </c>
      <c r="AD22" s="44">
        <f>SUM(AD20:AD21)</f>
        <v>16364</v>
      </c>
      <c r="AE22" s="44">
        <f>SUM(AE20:AE21)</f>
        <v>12561</v>
      </c>
      <c r="AF22" s="42">
        <f t="shared" si="1"/>
        <v>1845</v>
      </c>
      <c r="AG22" s="46">
        <f t="shared" si="1"/>
        <v>238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15000</v>
      </c>
      <c r="X23" s="31"/>
      <c r="Y23" s="31">
        <v>4000</v>
      </c>
      <c r="Z23" s="31">
        <v>3000</v>
      </c>
      <c r="AA23" s="31"/>
      <c r="AB23" s="31"/>
      <c r="AC23" s="31">
        <v>12920</v>
      </c>
      <c r="AD23" s="31"/>
      <c r="AE23" s="48">
        <v>8200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20000</v>
      </c>
      <c r="G24" s="52">
        <f t="shared" si="2"/>
        <v>2500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134878</v>
      </c>
      <c r="U24" s="52">
        <f t="shared" si="2"/>
        <v>15683.488372093023</v>
      </c>
      <c r="V24" s="51" t="e">
        <f t="shared" si="2"/>
        <v>#REF!</v>
      </c>
      <c r="W24" s="52">
        <f t="shared" si="2"/>
        <v>58491.39</v>
      </c>
      <c r="X24" s="51">
        <f t="shared" si="2"/>
        <v>0</v>
      </c>
      <c r="Y24" s="52">
        <f t="shared" si="2"/>
        <v>19632.669999999998</v>
      </c>
      <c r="Z24" s="51">
        <f t="shared" si="2"/>
        <v>11569</v>
      </c>
      <c r="AA24" s="51">
        <f t="shared" si="2"/>
        <v>283</v>
      </c>
      <c r="AB24" s="51">
        <f t="shared" si="2"/>
        <v>1111</v>
      </c>
      <c r="AC24" s="51">
        <f t="shared" si="2"/>
        <v>63672</v>
      </c>
      <c r="AD24" s="51">
        <f t="shared" si="2"/>
        <v>16364</v>
      </c>
      <c r="AE24" s="51">
        <f t="shared" si="2"/>
        <v>20761</v>
      </c>
      <c r="AF24" s="51">
        <f t="shared" si="2"/>
        <v>1845</v>
      </c>
      <c r="AG24" s="53">
        <f t="shared" si="2"/>
        <v>238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/>
      <c r="G25" s="32">
        <f>F25/200*25</f>
        <v>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26056</v>
      </c>
      <c r="U25" s="32">
        <f>T25/215*25</f>
        <v>3029.7674418604652</v>
      </c>
      <c r="V25" s="47"/>
      <c r="W25" s="35">
        <v>8966.4</v>
      </c>
      <c r="X25" s="47"/>
      <c r="Y25" s="55">
        <v>3790.8000000000006</v>
      </c>
      <c r="Z25" s="31">
        <v>1560</v>
      </c>
      <c r="AA25" s="38"/>
      <c r="AB25" s="47"/>
      <c r="AC25" s="38">
        <v>13515</v>
      </c>
      <c r="AD25" s="47"/>
      <c r="AE25" s="47">
        <v>6487</v>
      </c>
      <c r="AF25" s="38"/>
      <c r="AG25" s="56">
        <v>20</v>
      </c>
    </row>
    <row r="26" spans="1:35" s="4" customFormat="1" ht="100.5" customHeight="1" thickBot="1" x14ac:dyDescent="0.25">
      <c r="A26" s="57">
        <v>45998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20000</v>
      </c>
      <c r="G26" s="58">
        <f>G24-G25</f>
        <v>2500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108822</v>
      </c>
      <c r="U26" s="58">
        <f>U24-U25</f>
        <v>12653.720930232557</v>
      </c>
      <c r="V26" s="58" t="e">
        <f>V24-V25-#REF!</f>
        <v>#REF!</v>
      </c>
      <c r="W26" s="59">
        <f>W24-W25</f>
        <v>49524.99</v>
      </c>
      <c r="X26" s="58" t="e">
        <f>X24-X25-#REF!</f>
        <v>#REF!</v>
      </c>
      <c r="Y26" s="59">
        <f t="shared" ref="Y26:AG26" si="3">Y24-Y25</f>
        <v>15841.869999999997</v>
      </c>
      <c r="Z26" s="58">
        <f t="shared" si="3"/>
        <v>10009</v>
      </c>
      <c r="AA26" s="58">
        <f t="shared" si="3"/>
        <v>283</v>
      </c>
      <c r="AB26" s="58">
        <f t="shared" si="3"/>
        <v>1111</v>
      </c>
      <c r="AC26" s="58">
        <f t="shared" si="3"/>
        <v>50157</v>
      </c>
      <c r="AD26" s="58">
        <f t="shared" si="3"/>
        <v>16364</v>
      </c>
      <c r="AE26" s="58">
        <f t="shared" si="3"/>
        <v>14274</v>
      </c>
      <c r="AF26" s="58">
        <f t="shared" si="3"/>
        <v>1845</v>
      </c>
      <c r="AG26" s="58">
        <f t="shared" si="3"/>
        <v>218</v>
      </c>
    </row>
    <row r="27" spans="1:35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3" zoomScale="70" zoomScaleNormal="70" workbookViewId="0">
      <selection activeCell="AA26" sqref="AA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243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45999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12000</v>
      </c>
      <c r="G20" s="32">
        <f>F20/208*25</f>
        <v>1442.3076923076924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48375</v>
      </c>
      <c r="U20" s="34">
        <f>T20/215*25</f>
        <v>5625</v>
      </c>
      <c r="V20" s="33" t="e">
        <f>#REF!</f>
        <v>#REF!</v>
      </c>
      <c r="W20" s="33">
        <v>33125</v>
      </c>
      <c r="X20" s="33"/>
      <c r="Y20" s="35">
        <v>8883.5</v>
      </c>
      <c r="Z20" s="31">
        <v>7000</v>
      </c>
      <c r="AA20" s="31">
        <v>150</v>
      </c>
      <c r="AB20" s="34">
        <v>1111</v>
      </c>
      <c r="AC20" s="31">
        <v>8120</v>
      </c>
      <c r="AD20" s="33">
        <v>15120</v>
      </c>
      <c r="AE20" s="33">
        <v>2934</v>
      </c>
      <c r="AF20" s="31">
        <v>615</v>
      </c>
      <c r="AG20" s="36">
        <v>100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8000</v>
      </c>
      <c r="G21" s="32">
        <f>F21/200*25</f>
        <v>1000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60447</v>
      </c>
      <c r="U21" s="32">
        <f>T21/215*25</f>
        <v>7028.7209302325582</v>
      </c>
      <c r="V21" s="34"/>
      <c r="W21" s="32">
        <v>16399.990000000002</v>
      </c>
      <c r="X21" s="34"/>
      <c r="Y21" s="32">
        <v>6958.3699999999953</v>
      </c>
      <c r="Z21" s="38">
        <v>3009</v>
      </c>
      <c r="AA21" s="38">
        <v>133</v>
      </c>
      <c r="AB21" s="34">
        <v>0</v>
      </c>
      <c r="AC21" s="38">
        <v>42037</v>
      </c>
      <c r="AD21" s="34">
        <v>1244</v>
      </c>
      <c r="AE21" s="34">
        <v>11340</v>
      </c>
      <c r="AF21" s="38">
        <v>1230</v>
      </c>
      <c r="AG21" s="39">
        <v>118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20000</v>
      </c>
      <c r="G22" s="43">
        <f t="shared" si="1"/>
        <v>2442.3076923076924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108822</v>
      </c>
      <c r="U22" s="43">
        <f t="shared" si="1"/>
        <v>12653.720930232557</v>
      </c>
      <c r="V22" s="44" t="e">
        <f t="shared" si="1"/>
        <v>#REF!</v>
      </c>
      <c r="W22" s="45">
        <f t="shared" si="1"/>
        <v>49524.990000000005</v>
      </c>
      <c r="X22" s="44">
        <f t="shared" si="1"/>
        <v>0</v>
      </c>
      <c r="Y22" s="43">
        <f>SUM(Y20:Y21)</f>
        <v>15841.869999999995</v>
      </c>
      <c r="Z22" s="42">
        <f t="shared" si="1"/>
        <v>10009</v>
      </c>
      <c r="AA22" s="42">
        <f t="shared" si="1"/>
        <v>283</v>
      </c>
      <c r="AB22" s="44">
        <f t="shared" si="1"/>
        <v>1111</v>
      </c>
      <c r="AC22" s="42">
        <f t="shared" si="1"/>
        <v>50157</v>
      </c>
      <c r="AD22" s="44">
        <f>SUM(AD20:AD21)</f>
        <v>16364</v>
      </c>
      <c r="AE22" s="44">
        <f>SUM(AE20:AE21)</f>
        <v>14274</v>
      </c>
      <c r="AF22" s="42">
        <f t="shared" si="1"/>
        <v>1845</v>
      </c>
      <c r="AG22" s="46">
        <f t="shared" si="1"/>
        <v>218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15000</v>
      </c>
      <c r="X23" s="31"/>
      <c r="Y23" s="31">
        <v>10000</v>
      </c>
      <c r="Z23" s="31">
        <v>3000</v>
      </c>
      <c r="AA23" s="31"/>
      <c r="AB23" s="31"/>
      <c r="AC23" s="31">
        <v>28500</v>
      </c>
      <c r="AD23" s="31"/>
      <c r="AE23" s="48">
        <v>13500</v>
      </c>
      <c r="AF23" s="31"/>
      <c r="AG23" s="49">
        <v>60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40000</v>
      </c>
      <c r="G24" s="52">
        <f t="shared" si="2"/>
        <v>4942.3076923076924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130322</v>
      </c>
      <c r="U24" s="52">
        <f t="shared" si="2"/>
        <v>15153.720930232557</v>
      </c>
      <c r="V24" s="51" t="e">
        <f t="shared" si="2"/>
        <v>#REF!</v>
      </c>
      <c r="W24" s="52">
        <f t="shared" si="2"/>
        <v>64524.990000000005</v>
      </c>
      <c r="X24" s="51">
        <f t="shared" si="2"/>
        <v>0</v>
      </c>
      <c r="Y24" s="52">
        <f t="shared" si="2"/>
        <v>25841.869999999995</v>
      </c>
      <c r="Z24" s="51">
        <f t="shared" si="2"/>
        <v>13009</v>
      </c>
      <c r="AA24" s="51">
        <f t="shared" si="2"/>
        <v>283</v>
      </c>
      <c r="AB24" s="51">
        <f t="shared" si="2"/>
        <v>1111</v>
      </c>
      <c r="AC24" s="51">
        <f t="shared" si="2"/>
        <v>78657</v>
      </c>
      <c r="AD24" s="51">
        <f t="shared" si="2"/>
        <v>16364</v>
      </c>
      <c r="AE24" s="51">
        <f t="shared" si="2"/>
        <v>27774</v>
      </c>
      <c r="AF24" s="51">
        <f t="shared" si="2"/>
        <v>1845</v>
      </c>
      <c r="AG24" s="53">
        <f t="shared" si="2"/>
        <v>278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3705</v>
      </c>
      <c r="G25" s="32">
        <f>F25/200*25</f>
        <v>463.12499999999994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23878</v>
      </c>
      <c r="U25" s="32">
        <f>T25/215*25</f>
        <v>2776.5116279069771</v>
      </c>
      <c r="V25" s="47"/>
      <c r="W25" s="35">
        <v>8641.7999999999993</v>
      </c>
      <c r="X25" s="47"/>
      <c r="Y25" s="55">
        <v>3715.4700000000003</v>
      </c>
      <c r="Z25" s="31">
        <v>1529</v>
      </c>
      <c r="AA25" s="38">
        <v>2</v>
      </c>
      <c r="AB25" s="47"/>
      <c r="AC25" s="38">
        <v>13550</v>
      </c>
      <c r="AD25" s="47"/>
      <c r="AE25" s="47">
        <v>6563</v>
      </c>
      <c r="AF25" s="38"/>
      <c r="AG25" s="56">
        <v>22</v>
      </c>
    </row>
    <row r="26" spans="1:35" s="4" customFormat="1" ht="100.5" customHeight="1" thickBot="1" x14ac:dyDescent="0.25">
      <c r="A26" s="57">
        <v>46005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36295</v>
      </c>
      <c r="G26" s="58">
        <f>G24-G25</f>
        <v>4479.1826923076924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106444</v>
      </c>
      <c r="U26" s="58">
        <f>U24-U25</f>
        <v>12377.20930232558</v>
      </c>
      <c r="V26" s="58" t="e">
        <f>V24-V25-#REF!</f>
        <v>#REF!</v>
      </c>
      <c r="W26" s="59">
        <f>W24-W25</f>
        <v>55883.19</v>
      </c>
      <c r="X26" s="58" t="e">
        <f>X24-X25-#REF!</f>
        <v>#REF!</v>
      </c>
      <c r="Y26" s="59">
        <f t="shared" ref="Y26:AG26" si="3">Y24-Y25</f>
        <v>22126.399999999994</v>
      </c>
      <c r="Z26" s="58">
        <f t="shared" si="3"/>
        <v>11480</v>
      </c>
      <c r="AA26" s="58">
        <f t="shared" si="3"/>
        <v>281</v>
      </c>
      <c r="AB26" s="58">
        <f t="shared" si="3"/>
        <v>1111</v>
      </c>
      <c r="AC26" s="58">
        <f t="shared" si="3"/>
        <v>65107</v>
      </c>
      <c r="AD26" s="58">
        <f t="shared" si="3"/>
        <v>16364</v>
      </c>
      <c r="AE26" s="58">
        <f t="shared" si="3"/>
        <v>21211</v>
      </c>
      <c r="AF26" s="58">
        <f t="shared" si="3"/>
        <v>1845</v>
      </c>
      <c r="AG26" s="58">
        <f t="shared" si="3"/>
        <v>256</v>
      </c>
    </row>
    <row r="27" spans="1:35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0" zoomScale="70" zoomScaleNormal="70" workbookViewId="0">
      <selection activeCell="W28" sqref="W28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244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46006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22000</v>
      </c>
      <c r="G20" s="32">
        <f>F20/208*25</f>
        <v>2644.2307692307695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65575</v>
      </c>
      <c r="U20" s="34">
        <f>T20/215*25</f>
        <v>7625</v>
      </c>
      <c r="V20" s="33" t="e">
        <f>#REF!</f>
        <v>#REF!</v>
      </c>
      <c r="W20" s="33">
        <v>41125</v>
      </c>
      <c r="X20" s="33"/>
      <c r="Y20" s="35">
        <v>15846</v>
      </c>
      <c r="Z20" s="31">
        <v>8750</v>
      </c>
      <c r="AA20" s="31">
        <v>150</v>
      </c>
      <c r="AB20" s="34">
        <v>1111</v>
      </c>
      <c r="AC20" s="31">
        <v>22620</v>
      </c>
      <c r="AD20" s="33">
        <v>15120</v>
      </c>
      <c r="AE20" s="33">
        <v>3834</v>
      </c>
      <c r="AF20" s="31">
        <v>615</v>
      </c>
      <c r="AG20" s="36">
        <v>140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14295</v>
      </c>
      <c r="G21" s="32">
        <f>F21/200*25</f>
        <v>1786.8749999999998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40869</v>
      </c>
      <c r="U21" s="32">
        <f>T21/215*25</f>
        <v>4752.2093023255811</v>
      </c>
      <c r="V21" s="34"/>
      <c r="W21" s="32">
        <v>14758.190000000002</v>
      </c>
      <c r="X21" s="34"/>
      <c r="Y21" s="32">
        <v>6280.3999999999942</v>
      </c>
      <c r="Z21" s="38">
        <v>2730</v>
      </c>
      <c r="AA21" s="38">
        <v>131</v>
      </c>
      <c r="AB21" s="34">
        <v>0</v>
      </c>
      <c r="AC21" s="38">
        <v>42487</v>
      </c>
      <c r="AD21" s="34">
        <v>1244</v>
      </c>
      <c r="AE21" s="34">
        <v>17377</v>
      </c>
      <c r="AF21" s="38">
        <v>1230</v>
      </c>
      <c r="AG21" s="39">
        <v>116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>SUM(F20:F21)</f>
        <v>36295</v>
      </c>
      <c r="G22" s="43">
        <f t="shared" si="1"/>
        <v>4431.1057692307695</v>
      </c>
      <c r="H22" s="44" t="e">
        <f t="shared" si="1"/>
        <v>#REF!</v>
      </c>
      <c r="I22" s="44" t="e">
        <f t="shared" si="1"/>
        <v>#REF!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>SUM(T20:T21)</f>
        <v>106444</v>
      </c>
      <c r="U22" s="43">
        <f t="shared" si="1"/>
        <v>12377.20930232558</v>
      </c>
      <c r="V22" s="44" t="e">
        <f t="shared" si="1"/>
        <v>#REF!</v>
      </c>
      <c r="W22" s="45">
        <f t="shared" si="1"/>
        <v>55883.19</v>
      </c>
      <c r="X22" s="44">
        <f t="shared" si="1"/>
        <v>0</v>
      </c>
      <c r="Y22" s="43">
        <f>SUM(Y20:Y21)</f>
        <v>22126.399999999994</v>
      </c>
      <c r="Z22" s="42">
        <f t="shared" si="1"/>
        <v>11480</v>
      </c>
      <c r="AA22" s="42">
        <f t="shared" si="1"/>
        <v>281</v>
      </c>
      <c r="AB22" s="44">
        <f t="shared" si="1"/>
        <v>1111</v>
      </c>
      <c r="AC22" s="42">
        <f t="shared" si="1"/>
        <v>65107</v>
      </c>
      <c r="AD22" s="44">
        <f>SUM(AD20:AD21)</f>
        <v>16364</v>
      </c>
      <c r="AE22" s="44">
        <f>SUM(AE20:AE21)</f>
        <v>21211</v>
      </c>
      <c r="AF22" s="42">
        <f t="shared" si="1"/>
        <v>1845</v>
      </c>
      <c r="AG22" s="46">
        <f t="shared" si="1"/>
        <v>256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15000</v>
      </c>
      <c r="G23" s="32">
        <f>F23/200*25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16125</v>
      </c>
      <c r="U23" s="32">
        <f>T23/215*25</f>
        <v>1875</v>
      </c>
      <c r="V23" s="31"/>
      <c r="W23" s="31">
        <v>15000</v>
      </c>
      <c r="X23" s="31"/>
      <c r="Y23" s="31">
        <v>5000</v>
      </c>
      <c r="Z23" s="31">
        <v>2000</v>
      </c>
      <c r="AA23" s="31"/>
      <c r="AB23" s="31"/>
      <c r="AC23" s="31">
        <v>15000</v>
      </c>
      <c r="AD23" s="31"/>
      <c r="AE23" s="48">
        <v>13500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51295</v>
      </c>
      <c r="G24" s="52">
        <f t="shared" si="2"/>
        <v>6306.1057692307695</v>
      </c>
      <c r="H24" s="51" t="e">
        <f t="shared" si="2"/>
        <v>#REF!</v>
      </c>
      <c r="I24" s="51" t="e">
        <f t="shared" si="2"/>
        <v>#REF!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>T22+T23</f>
        <v>122569</v>
      </c>
      <c r="U24" s="52">
        <f t="shared" si="2"/>
        <v>14252.20930232558</v>
      </c>
      <c r="V24" s="51" t="e">
        <f t="shared" si="2"/>
        <v>#REF!</v>
      </c>
      <c r="W24" s="52">
        <f t="shared" si="2"/>
        <v>70883.19</v>
      </c>
      <c r="X24" s="51">
        <f t="shared" si="2"/>
        <v>0</v>
      </c>
      <c r="Y24" s="52">
        <f t="shared" si="2"/>
        <v>27126.399999999994</v>
      </c>
      <c r="Z24" s="51">
        <f t="shared" si="2"/>
        <v>13480</v>
      </c>
      <c r="AA24" s="51">
        <f t="shared" si="2"/>
        <v>281</v>
      </c>
      <c r="AB24" s="51">
        <f t="shared" si="2"/>
        <v>1111</v>
      </c>
      <c r="AC24" s="51">
        <f t="shared" si="2"/>
        <v>80107</v>
      </c>
      <c r="AD24" s="51">
        <f t="shared" si="2"/>
        <v>16364</v>
      </c>
      <c r="AE24" s="51">
        <f t="shared" si="2"/>
        <v>34711</v>
      </c>
      <c r="AF24" s="51">
        <f t="shared" si="2"/>
        <v>1845</v>
      </c>
      <c r="AG24" s="53">
        <f t="shared" si="2"/>
        <v>256</v>
      </c>
    </row>
    <row r="25" spans="1:35" ht="75.75" customHeight="1" x14ac:dyDescent="0.3">
      <c r="A25" s="158" t="s">
        <v>44</v>
      </c>
      <c r="B25" s="159"/>
      <c r="C25" s="160"/>
      <c r="D25" s="85">
        <v>0</v>
      </c>
      <c r="E25" s="85">
        <v>0</v>
      </c>
      <c r="F25" s="31">
        <v>7975</v>
      </c>
      <c r="G25" s="32">
        <f>F25/200*25</f>
        <v>996.875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13395</v>
      </c>
      <c r="U25" s="32">
        <f>T25/215*25</f>
        <v>1557.5581395348838</v>
      </c>
      <c r="V25" s="47"/>
      <c r="W25" s="35">
        <v>6812.4</v>
      </c>
      <c r="X25" s="47"/>
      <c r="Y25" s="55">
        <v>3018.0600000000004</v>
      </c>
      <c r="Z25" s="31">
        <v>1242</v>
      </c>
      <c r="AA25" s="38"/>
      <c r="AB25" s="47"/>
      <c r="AC25" s="38">
        <v>10691</v>
      </c>
      <c r="AD25" s="47"/>
      <c r="AE25" s="47">
        <v>4866</v>
      </c>
      <c r="AF25" s="38"/>
      <c r="AG25" s="56">
        <v>10</v>
      </c>
    </row>
    <row r="26" spans="1:35" s="4" customFormat="1" ht="100.5" customHeight="1" thickBot="1" x14ac:dyDescent="0.25">
      <c r="A26" s="57">
        <v>46012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43320</v>
      </c>
      <c r="G26" s="58">
        <f>G24-G25</f>
        <v>5309.2307692307695</v>
      </c>
      <c r="H26" s="58" t="e">
        <f>H24-H25-#REF!</f>
        <v>#REF!</v>
      </c>
      <c r="I26" s="58" t="e">
        <f>I24-I25-#REF!</f>
        <v>#REF!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109174</v>
      </c>
      <c r="U26" s="58">
        <f>U24-U25</f>
        <v>12694.651162790697</v>
      </c>
      <c r="V26" s="58" t="e">
        <f>V24-V25-#REF!</f>
        <v>#REF!</v>
      </c>
      <c r="W26" s="59">
        <f>W24-W25</f>
        <v>64070.79</v>
      </c>
      <c r="X26" s="58" t="e">
        <f>X24-X25-#REF!</f>
        <v>#REF!</v>
      </c>
      <c r="Y26" s="59">
        <f t="shared" ref="Y26:AG26" si="3">Y24-Y25</f>
        <v>24108.339999999993</v>
      </c>
      <c r="Z26" s="58">
        <f t="shared" si="3"/>
        <v>12238</v>
      </c>
      <c r="AA26" s="58">
        <f t="shared" si="3"/>
        <v>281</v>
      </c>
      <c r="AB26" s="58">
        <f t="shared" si="3"/>
        <v>1111</v>
      </c>
      <c r="AC26" s="58">
        <f t="shared" si="3"/>
        <v>69416</v>
      </c>
      <c r="AD26" s="58">
        <f t="shared" si="3"/>
        <v>16364</v>
      </c>
      <c r="AE26" s="58">
        <f t="shared" si="3"/>
        <v>29845</v>
      </c>
      <c r="AF26" s="58">
        <f t="shared" si="3"/>
        <v>1845</v>
      </c>
      <c r="AG26" s="58">
        <f t="shared" si="3"/>
        <v>246</v>
      </c>
    </row>
    <row r="27" spans="1:35" ht="24.7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ht="24.7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52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212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5"/>
  <sheetViews>
    <sheetView topLeftCell="A13" zoomScale="70" zoomScaleNormal="70" workbookViewId="0">
      <selection activeCell="Y33" sqref="Y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35.28515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245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5"/>
      <c r="O15" s="5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46013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37000</v>
      </c>
      <c r="G20" s="32">
        <f>F20/208*25</f>
        <v>4447.1153846153848</v>
      </c>
      <c r="H20" s="33" t="e">
        <f>#REF!</f>
        <v>#REF!</v>
      </c>
      <c r="I20" s="33" t="e">
        <f>#REF!</f>
        <v>#REF!</v>
      </c>
      <c r="J20" s="33">
        <v>0</v>
      </c>
      <c r="K20" s="34">
        <f>J20/208*25</f>
        <v>0</v>
      </c>
      <c r="L20" s="33">
        <v>0</v>
      </c>
      <c r="M20" s="34">
        <f>L20/150*25</f>
        <v>0</v>
      </c>
      <c r="N20" s="33" t="e">
        <f>#REF!</f>
        <v>#REF!</v>
      </c>
      <c r="O20" s="33" t="e">
        <f>#REF!</f>
        <v>#REF!</v>
      </c>
      <c r="P20" s="31">
        <v>0</v>
      </c>
      <c r="Q20" s="34">
        <f>P20/38*25</f>
        <v>0</v>
      </c>
      <c r="R20" s="33">
        <v>0</v>
      </c>
      <c r="S20" s="34">
        <f>R20/135*25</f>
        <v>0</v>
      </c>
      <c r="T20" s="31">
        <v>81700</v>
      </c>
      <c r="U20" s="34">
        <f>T20/215*25</f>
        <v>9500</v>
      </c>
      <c r="V20" s="33" t="e">
        <f>#REF!</f>
        <v>#REF!</v>
      </c>
      <c r="W20" s="33">
        <v>56125</v>
      </c>
      <c r="X20" s="33"/>
      <c r="Y20" s="35">
        <v>20846</v>
      </c>
      <c r="Z20" s="31">
        <v>10750</v>
      </c>
      <c r="AA20" s="31">
        <v>150</v>
      </c>
      <c r="AB20" s="34">
        <v>1111</v>
      </c>
      <c r="AC20" s="31">
        <v>37620</v>
      </c>
      <c r="AD20" s="33">
        <v>15120</v>
      </c>
      <c r="AE20" s="33">
        <v>17334</v>
      </c>
      <c r="AF20" s="31">
        <v>615</v>
      </c>
      <c r="AG20" s="36">
        <v>140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6320</v>
      </c>
      <c r="G21" s="32">
        <f>F21/200*25</f>
        <v>790</v>
      </c>
      <c r="H21" s="34" t="s">
        <v>40</v>
      </c>
      <c r="I21" s="34" t="s">
        <v>40</v>
      </c>
      <c r="J21" s="34"/>
      <c r="K21" s="34">
        <f>J21/208*25</f>
        <v>0</v>
      </c>
      <c r="L21" s="33">
        <v>0</v>
      </c>
      <c r="M21" s="34">
        <f>L21/150*25</f>
        <v>0</v>
      </c>
      <c r="N21" s="33" t="e">
        <f>#REF!</f>
        <v>#REF!</v>
      </c>
      <c r="O21" s="33" t="e">
        <f>#REF!</f>
        <v>#REF!</v>
      </c>
      <c r="P21" s="31">
        <v>0</v>
      </c>
      <c r="Q21" s="32">
        <f>P21/38*25</f>
        <v>0</v>
      </c>
      <c r="R21" s="38">
        <v>0</v>
      </c>
      <c r="S21" s="32">
        <f>R21/135*25</f>
        <v>0</v>
      </c>
      <c r="T21" s="38">
        <v>27474</v>
      </c>
      <c r="U21" s="32">
        <f>T21/215*25</f>
        <v>3194.6511627906975</v>
      </c>
      <c r="V21" s="34"/>
      <c r="W21" s="32">
        <v>7945.7900000000027</v>
      </c>
      <c r="X21" s="34"/>
      <c r="Y21" s="32">
        <v>3262.3399999999947</v>
      </c>
      <c r="Z21" s="38">
        <v>1488</v>
      </c>
      <c r="AA21" s="38">
        <v>131</v>
      </c>
      <c r="AB21" s="34">
        <v>0</v>
      </c>
      <c r="AC21" s="38">
        <v>31796</v>
      </c>
      <c r="AD21" s="34">
        <v>1244</v>
      </c>
      <c r="AE21" s="34">
        <v>12511</v>
      </c>
      <c r="AF21" s="38">
        <v>1230</v>
      </c>
      <c r="AG21" s="39">
        <v>106</v>
      </c>
      <c r="AH21" s="40"/>
      <c r="AI21" s="40"/>
    </row>
    <row r="22" spans="1:35" ht="45" customHeight="1" x14ac:dyDescent="0.3">
      <c r="A22" s="166"/>
      <c r="B22" s="169"/>
      <c r="C22" s="37" t="s">
        <v>247</v>
      </c>
      <c r="D22" s="87"/>
      <c r="E22" s="38"/>
      <c r="F22" s="31">
        <v>1219</v>
      </c>
      <c r="G22" s="32">
        <v>152.375</v>
      </c>
      <c r="H22" s="33"/>
      <c r="I22" s="33"/>
      <c r="J22" s="33"/>
      <c r="K22" s="33"/>
      <c r="L22" s="33"/>
      <c r="M22" s="33"/>
      <c r="N22" s="33"/>
      <c r="O22" s="33"/>
      <c r="P22" s="31">
        <v>0</v>
      </c>
      <c r="Q22" s="35">
        <v>0</v>
      </c>
      <c r="R22" s="31"/>
      <c r="S22" s="35"/>
      <c r="T22" s="31">
        <v>3012</v>
      </c>
      <c r="U22" s="32">
        <v>350.23255813953489</v>
      </c>
      <c r="V22" s="33"/>
      <c r="W22" s="35">
        <v>1271.6000000000001</v>
      </c>
      <c r="X22" s="33"/>
      <c r="Y22" s="35">
        <v>571.05000000000007</v>
      </c>
      <c r="Z22" s="31">
        <v>235</v>
      </c>
      <c r="AA22" s="31">
        <v>2</v>
      </c>
      <c r="AB22" s="33"/>
      <c r="AC22" s="31">
        <v>2025</v>
      </c>
      <c r="AD22" s="33"/>
      <c r="AE22" s="33">
        <v>953</v>
      </c>
      <c r="AF22" s="31">
        <v>300</v>
      </c>
      <c r="AG22" s="36"/>
      <c r="AH22" s="40"/>
      <c r="AI22" s="40"/>
    </row>
    <row r="23" spans="1:35" ht="70.5" customHeight="1" x14ac:dyDescent="0.3">
      <c r="A23" s="166"/>
      <c r="B23" s="169"/>
      <c r="C23" s="37" t="s">
        <v>250</v>
      </c>
      <c r="D23" s="87"/>
      <c r="E23" s="38"/>
      <c r="F23" s="31">
        <f>F21-F22</f>
        <v>5101</v>
      </c>
      <c r="G23" s="31">
        <f t="shared" ref="G23:AG23" si="1">G21-G22</f>
        <v>637.625</v>
      </c>
      <c r="H23" s="31" t="e">
        <f t="shared" si="1"/>
        <v>#VALUE!</v>
      </c>
      <c r="I23" s="31" t="e">
        <f t="shared" si="1"/>
        <v>#VALUE!</v>
      </c>
      <c r="J23" s="31">
        <f t="shared" si="1"/>
        <v>0</v>
      </c>
      <c r="K23" s="31">
        <f t="shared" si="1"/>
        <v>0</v>
      </c>
      <c r="L23" s="31">
        <f t="shared" si="1"/>
        <v>0</v>
      </c>
      <c r="M23" s="31">
        <f t="shared" si="1"/>
        <v>0</v>
      </c>
      <c r="N23" s="31" t="e">
        <f t="shared" si="1"/>
        <v>#REF!</v>
      </c>
      <c r="O23" s="31" t="e">
        <f t="shared" si="1"/>
        <v>#REF!</v>
      </c>
      <c r="P23" s="31">
        <f t="shared" si="1"/>
        <v>0</v>
      </c>
      <c r="Q23" s="31">
        <f t="shared" si="1"/>
        <v>0</v>
      </c>
      <c r="R23" s="31">
        <f t="shared" si="1"/>
        <v>0</v>
      </c>
      <c r="S23" s="31">
        <f t="shared" si="1"/>
        <v>0</v>
      </c>
      <c r="T23" s="31">
        <f t="shared" si="1"/>
        <v>24462</v>
      </c>
      <c r="U23" s="31">
        <f t="shared" si="1"/>
        <v>2844.4186046511627</v>
      </c>
      <c r="V23" s="31">
        <f t="shared" si="1"/>
        <v>0</v>
      </c>
      <c r="W23" s="31">
        <f t="shared" si="1"/>
        <v>6674.1900000000023</v>
      </c>
      <c r="X23" s="31">
        <f t="shared" si="1"/>
        <v>0</v>
      </c>
      <c r="Y23" s="31">
        <f t="shared" si="1"/>
        <v>2691.2899999999945</v>
      </c>
      <c r="Z23" s="31">
        <f t="shared" si="1"/>
        <v>1253</v>
      </c>
      <c r="AA23" s="31">
        <f t="shared" si="1"/>
        <v>129</v>
      </c>
      <c r="AB23" s="31">
        <f t="shared" si="1"/>
        <v>0</v>
      </c>
      <c r="AC23" s="31">
        <f t="shared" si="1"/>
        <v>29771</v>
      </c>
      <c r="AD23" s="31">
        <f t="shared" si="1"/>
        <v>1244</v>
      </c>
      <c r="AE23" s="31">
        <f t="shared" si="1"/>
        <v>11558</v>
      </c>
      <c r="AF23" s="31">
        <f t="shared" si="1"/>
        <v>930</v>
      </c>
      <c r="AG23" s="31">
        <f t="shared" si="1"/>
        <v>106</v>
      </c>
      <c r="AH23" s="40"/>
      <c r="AI23" s="40"/>
    </row>
    <row r="24" spans="1:35" ht="61.5" customHeight="1" x14ac:dyDescent="0.3">
      <c r="A24" s="167"/>
      <c r="B24" s="170"/>
      <c r="C24" s="41" t="s">
        <v>41</v>
      </c>
      <c r="D24" s="42">
        <f t="shared" ref="D24:AG24" si="2">SUM(D20:D21)</f>
        <v>0</v>
      </c>
      <c r="E24" s="84">
        <f t="shared" si="2"/>
        <v>0</v>
      </c>
      <c r="F24" s="42">
        <f t="shared" si="2"/>
        <v>43320</v>
      </c>
      <c r="G24" s="43">
        <f t="shared" si="2"/>
        <v>5237.1153846153848</v>
      </c>
      <c r="H24" s="44" t="e">
        <f t="shared" si="2"/>
        <v>#REF!</v>
      </c>
      <c r="I24" s="44" t="e">
        <f t="shared" si="2"/>
        <v>#REF!</v>
      </c>
      <c r="J24" s="44">
        <f t="shared" si="2"/>
        <v>0</v>
      </c>
      <c r="K24" s="44">
        <f t="shared" si="2"/>
        <v>0</v>
      </c>
      <c r="L24" s="44">
        <f t="shared" si="2"/>
        <v>0</v>
      </c>
      <c r="M24" s="45">
        <f t="shared" si="2"/>
        <v>0</v>
      </c>
      <c r="N24" s="44" t="e">
        <f t="shared" si="2"/>
        <v>#REF!</v>
      </c>
      <c r="O24" s="44" t="e">
        <f t="shared" si="2"/>
        <v>#REF!</v>
      </c>
      <c r="P24" s="42">
        <f t="shared" si="2"/>
        <v>0</v>
      </c>
      <c r="Q24" s="43">
        <f t="shared" si="2"/>
        <v>0</v>
      </c>
      <c r="R24" s="42">
        <f t="shared" si="2"/>
        <v>0</v>
      </c>
      <c r="S24" s="43">
        <f t="shared" si="2"/>
        <v>0</v>
      </c>
      <c r="T24" s="42">
        <f t="shared" si="2"/>
        <v>109174</v>
      </c>
      <c r="U24" s="43">
        <f t="shared" si="2"/>
        <v>12694.651162790698</v>
      </c>
      <c r="V24" s="44" t="e">
        <f t="shared" si="2"/>
        <v>#REF!</v>
      </c>
      <c r="W24" s="45">
        <f t="shared" si="2"/>
        <v>64070.79</v>
      </c>
      <c r="X24" s="44">
        <f t="shared" si="2"/>
        <v>0</v>
      </c>
      <c r="Y24" s="43">
        <f t="shared" si="2"/>
        <v>24108.339999999997</v>
      </c>
      <c r="Z24" s="42">
        <f t="shared" si="2"/>
        <v>12238</v>
      </c>
      <c r="AA24" s="42">
        <f t="shared" si="2"/>
        <v>281</v>
      </c>
      <c r="AB24" s="44">
        <f t="shared" si="2"/>
        <v>1111</v>
      </c>
      <c r="AC24" s="42">
        <f t="shared" si="2"/>
        <v>69416</v>
      </c>
      <c r="AD24" s="44">
        <f t="shared" si="2"/>
        <v>16364</v>
      </c>
      <c r="AE24" s="44">
        <f t="shared" si="2"/>
        <v>29845</v>
      </c>
      <c r="AF24" s="42">
        <f t="shared" si="2"/>
        <v>1845</v>
      </c>
      <c r="AG24" s="46">
        <f t="shared" si="2"/>
        <v>246</v>
      </c>
      <c r="AH24" s="63"/>
    </row>
    <row r="25" spans="1:35" ht="48" customHeight="1" x14ac:dyDescent="0.3">
      <c r="A25" s="171" t="s">
        <v>42</v>
      </c>
      <c r="B25" s="172"/>
      <c r="C25" s="173"/>
      <c r="D25" s="31"/>
      <c r="E25" s="38"/>
      <c r="F25" s="31"/>
      <c r="G25" s="32">
        <f>F25/200*25</f>
        <v>0</v>
      </c>
      <c r="H25" s="31"/>
      <c r="I25" s="31"/>
      <c r="J25" s="47"/>
      <c r="K25" s="34"/>
      <c r="L25" s="47"/>
      <c r="M25" s="34"/>
      <c r="N25" s="47"/>
      <c r="O25" s="34"/>
      <c r="P25" s="31"/>
      <c r="Q25" s="34"/>
      <c r="R25" s="31"/>
      <c r="S25" s="34"/>
      <c r="T25" s="31"/>
      <c r="U25" s="32">
        <f>T25/215*25</f>
        <v>0</v>
      </c>
      <c r="V25" s="31"/>
      <c r="W25" s="31"/>
      <c r="X25" s="31"/>
      <c r="Y25" s="31"/>
      <c r="Z25" s="31"/>
      <c r="AA25" s="31"/>
      <c r="AB25" s="31"/>
      <c r="AC25" s="31"/>
      <c r="AD25" s="31"/>
      <c r="AE25" s="48"/>
      <c r="AF25" s="31"/>
      <c r="AG25" s="49"/>
      <c r="AI25" s="50"/>
    </row>
    <row r="26" spans="1:35" ht="54" customHeight="1" x14ac:dyDescent="0.3">
      <c r="A26" s="174" t="s">
        <v>43</v>
      </c>
      <c r="B26" s="175"/>
      <c r="C26" s="176"/>
      <c r="D26" s="51">
        <f t="shared" ref="D26:AG26" si="3">D24+D25</f>
        <v>0</v>
      </c>
      <c r="E26" s="51">
        <f t="shared" si="3"/>
        <v>0</v>
      </c>
      <c r="F26" s="51">
        <f t="shared" si="3"/>
        <v>43320</v>
      </c>
      <c r="G26" s="52">
        <f t="shared" si="3"/>
        <v>5237.1153846153848</v>
      </c>
      <c r="H26" s="51" t="e">
        <f t="shared" si="3"/>
        <v>#REF!</v>
      </c>
      <c r="I26" s="51" t="e">
        <f t="shared" si="3"/>
        <v>#REF!</v>
      </c>
      <c r="J26" s="51">
        <f t="shared" si="3"/>
        <v>0</v>
      </c>
      <c r="K26" s="51">
        <f t="shared" si="3"/>
        <v>0</v>
      </c>
      <c r="L26" s="51">
        <f t="shared" si="3"/>
        <v>0</v>
      </c>
      <c r="M26" s="51">
        <f t="shared" si="3"/>
        <v>0</v>
      </c>
      <c r="N26" s="51" t="e">
        <f t="shared" si="3"/>
        <v>#REF!</v>
      </c>
      <c r="O26" s="51" t="e">
        <f t="shared" si="3"/>
        <v>#REF!</v>
      </c>
      <c r="P26" s="51">
        <f t="shared" si="3"/>
        <v>0</v>
      </c>
      <c r="Q26" s="52">
        <f t="shared" si="3"/>
        <v>0</v>
      </c>
      <c r="R26" s="51">
        <f t="shared" si="3"/>
        <v>0</v>
      </c>
      <c r="S26" s="51">
        <f t="shared" si="3"/>
        <v>0</v>
      </c>
      <c r="T26" s="51">
        <f t="shared" si="3"/>
        <v>109174</v>
      </c>
      <c r="U26" s="52">
        <f t="shared" si="3"/>
        <v>12694.651162790698</v>
      </c>
      <c r="V26" s="51" t="e">
        <f t="shared" si="3"/>
        <v>#REF!</v>
      </c>
      <c r="W26" s="52">
        <f t="shared" si="3"/>
        <v>64070.79</v>
      </c>
      <c r="X26" s="51">
        <f t="shared" si="3"/>
        <v>0</v>
      </c>
      <c r="Y26" s="52">
        <f t="shared" si="3"/>
        <v>24108.339999999997</v>
      </c>
      <c r="Z26" s="51">
        <f t="shared" si="3"/>
        <v>12238</v>
      </c>
      <c r="AA26" s="51">
        <f t="shared" si="3"/>
        <v>281</v>
      </c>
      <c r="AB26" s="51">
        <f t="shared" si="3"/>
        <v>1111</v>
      </c>
      <c r="AC26" s="51">
        <f t="shared" si="3"/>
        <v>69416</v>
      </c>
      <c r="AD26" s="51">
        <f t="shared" si="3"/>
        <v>16364</v>
      </c>
      <c r="AE26" s="51">
        <f t="shared" si="3"/>
        <v>29845</v>
      </c>
      <c r="AF26" s="51">
        <f t="shared" si="3"/>
        <v>1845</v>
      </c>
      <c r="AG26" s="53">
        <f t="shared" si="3"/>
        <v>246</v>
      </c>
    </row>
    <row r="27" spans="1:35" ht="75.75" customHeight="1" x14ac:dyDescent="0.3">
      <c r="A27" s="158" t="s">
        <v>44</v>
      </c>
      <c r="B27" s="159"/>
      <c r="C27" s="160"/>
      <c r="D27" s="85">
        <v>0</v>
      </c>
      <c r="E27" s="85">
        <v>0</v>
      </c>
      <c r="F27" s="31">
        <v>1219</v>
      </c>
      <c r="G27" s="32">
        <f>F27/200*25</f>
        <v>152.375</v>
      </c>
      <c r="H27" s="47"/>
      <c r="I27" s="47"/>
      <c r="J27" s="47"/>
      <c r="K27" s="38"/>
      <c r="L27" s="47"/>
      <c r="M27" s="32"/>
      <c r="N27" s="47"/>
      <c r="O27" s="47"/>
      <c r="P27" s="47">
        <v>0</v>
      </c>
      <c r="Q27" s="32">
        <v>0</v>
      </c>
      <c r="R27" s="38"/>
      <c r="S27" s="32"/>
      <c r="T27" s="31">
        <v>3012</v>
      </c>
      <c r="U27" s="32">
        <f>T27/215*25</f>
        <v>350.23255813953489</v>
      </c>
      <c r="V27" s="47"/>
      <c r="W27" s="35">
        <v>1271.6000000000001</v>
      </c>
      <c r="X27" s="47"/>
      <c r="Y27" s="55">
        <v>571.05000000000007</v>
      </c>
      <c r="Z27" s="31">
        <v>235</v>
      </c>
      <c r="AA27" s="38">
        <v>2</v>
      </c>
      <c r="AB27" s="47"/>
      <c r="AC27" s="38">
        <v>2025</v>
      </c>
      <c r="AD27" s="47"/>
      <c r="AE27" s="47">
        <v>953</v>
      </c>
      <c r="AF27" s="38"/>
      <c r="AG27" s="56"/>
    </row>
    <row r="28" spans="1:35" s="4" customFormat="1" ht="100.5" customHeight="1" thickBot="1" x14ac:dyDescent="0.25">
      <c r="A28" s="57">
        <v>46019</v>
      </c>
      <c r="B28" s="161" t="s">
        <v>45</v>
      </c>
      <c r="C28" s="162"/>
      <c r="D28" s="58">
        <f>D26-D27</f>
        <v>0</v>
      </c>
      <c r="E28" s="58">
        <f>E26-E27</f>
        <v>0</v>
      </c>
      <c r="F28" s="58">
        <f>F26-F27</f>
        <v>42101</v>
      </c>
      <c r="G28" s="58">
        <f>G26-G27</f>
        <v>5084.7403846153848</v>
      </c>
      <c r="H28" s="58" t="e">
        <f>H26-H27-#REF!</f>
        <v>#REF!</v>
      </c>
      <c r="I28" s="58" t="e">
        <f>I26-I27-#REF!</f>
        <v>#REF!</v>
      </c>
      <c r="J28" s="58" t="e">
        <f>J26-J27-#REF!</f>
        <v>#REF!</v>
      </c>
      <c r="K28" s="58" t="e">
        <f>K26-K27-#REF!</f>
        <v>#REF!</v>
      </c>
      <c r="L28" s="58" t="e">
        <f>L26-L27-#REF!</f>
        <v>#REF!</v>
      </c>
      <c r="M28" s="58" t="e">
        <f>M26-M27-#REF!</f>
        <v>#REF!</v>
      </c>
      <c r="N28" s="58" t="e">
        <f>N26-N27-#REF!</f>
        <v>#REF!</v>
      </c>
      <c r="O28" s="58" t="e">
        <f>O26-O27-#REF!</f>
        <v>#REF!</v>
      </c>
      <c r="P28" s="58" t="e">
        <f>P26-P27-#REF!</f>
        <v>#REF!</v>
      </c>
      <c r="Q28" s="58" t="e">
        <f>Q26-Q27-#REF!</f>
        <v>#REF!</v>
      </c>
      <c r="R28" s="58" t="e">
        <f>R26-R27-#REF!</f>
        <v>#REF!</v>
      </c>
      <c r="S28" s="58" t="e">
        <f>S26-S27-#REF!</f>
        <v>#REF!</v>
      </c>
      <c r="T28" s="58">
        <f>T26-T27</f>
        <v>106162</v>
      </c>
      <c r="U28" s="58">
        <f>U26-U27</f>
        <v>12344.418604651164</v>
      </c>
      <c r="V28" s="58" t="e">
        <f>V26-V27-#REF!</f>
        <v>#REF!</v>
      </c>
      <c r="W28" s="59">
        <f>W26-W27</f>
        <v>62799.19</v>
      </c>
      <c r="X28" s="58" t="e">
        <f>X26-X27-#REF!</f>
        <v>#REF!</v>
      </c>
      <c r="Y28" s="59">
        <f t="shared" ref="Y28:AG28" si="4">Y26-Y27</f>
        <v>23537.289999999997</v>
      </c>
      <c r="Z28" s="58">
        <f t="shared" si="4"/>
        <v>12003</v>
      </c>
      <c r="AA28" s="58">
        <f t="shared" si="4"/>
        <v>279</v>
      </c>
      <c r="AB28" s="58">
        <f t="shared" si="4"/>
        <v>1111</v>
      </c>
      <c r="AC28" s="58">
        <f t="shared" si="4"/>
        <v>67391</v>
      </c>
      <c r="AD28" s="58">
        <f t="shared" si="4"/>
        <v>16364</v>
      </c>
      <c r="AE28" s="58">
        <f t="shared" si="4"/>
        <v>28892</v>
      </c>
      <c r="AF28" s="58">
        <f t="shared" si="4"/>
        <v>1845</v>
      </c>
      <c r="AG28" s="58">
        <f t="shared" si="4"/>
        <v>246</v>
      </c>
    </row>
    <row r="29" spans="1:35" ht="24.75" customHeight="1" x14ac:dyDescent="0.3"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5" ht="24.75" customHeight="1" x14ac:dyDescent="0.3"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</row>
    <row r="31" spans="1:35" s="64" customFormat="1" ht="24" customHeight="1" x14ac:dyDescent="0.35">
      <c r="A31" s="64" t="s">
        <v>46</v>
      </c>
      <c r="G31" s="64" t="s">
        <v>47</v>
      </c>
      <c r="O31" s="65"/>
      <c r="R31" s="64" t="s">
        <v>48</v>
      </c>
      <c r="Y31" s="64" t="s">
        <v>48</v>
      </c>
      <c r="AC31" s="66" t="s">
        <v>49</v>
      </c>
      <c r="AE31" s="67"/>
      <c r="AF31" s="65"/>
      <c r="AG31" s="65"/>
    </row>
    <row r="32" spans="1:35" s="64" customFormat="1" ht="37.5" customHeight="1" x14ac:dyDescent="0.35">
      <c r="A32" s="68"/>
      <c r="B32" s="65"/>
      <c r="G32" s="69"/>
      <c r="H32" s="69"/>
      <c r="I32" s="69"/>
      <c r="J32" s="69"/>
      <c r="K32" s="69"/>
      <c r="L32" s="69"/>
      <c r="M32" s="69"/>
      <c r="N32" s="69"/>
      <c r="O32" s="69"/>
      <c r="P32" s="69"/>
      <c r="R32" s="69"/>
      <c r="S32" s="69"/>
      <c r="Y32" s="69"/>
      <c r="AC32" s="69"/>
      <c r="AE32" s="69"/>
      <c r="AF32" s="69"/>
      <c r="AG32" s="69"/>
      <c r="AH32" s="65"/>
    </row>
    <row r="33" spans="1:34" s="64" customFormat="1" ht="24" customHeight="1" x14ac:dyDescent="0.35">
      <c r="A33" s="70" t="s">
        <v>211</v>
      </c>
      <c r="B33" s="65"/>
      <c r="G33" s="70" t="s">
        <v>51</v>
      </c>
      <c r="H33" s="71"/>
      <c r="I33" s="71"/>
      <c r="J33" s="71"/>
      <c r="N33" s="65"/>
      <c r="O33" s="65"/>
      <c r="R33" s="70" t="s">
        <v>52</v>
      </c>
      <c r="Y33" s="70" t="s">
        <v>66</v>
      </c>
      <c r="AC33" s="71" t="s">
        <v>53</v>
      </c>
      <c r="AH33" s="65"/>
    </row>
    <row r="34" spans="1:34" s="64" customFormat="1" ht="21.75" customHeight="1" x14ac:dyDescent="0.35">
      <c r="A34" s="68" t="s">
        <v>232</v>
      </c>
      <c r="B34" s="65"/>
      <c r="C34" s="65"/>
      <c r="D34" s="65"/>
      <c r="G34" s="68" t="s">
        <v>55</v>
      </c>
      <c r="H34" s="65"/>
      <c r="I34" s="65"/>
      <c r="J34" s="65"/>
      <c r="K34" s="65"/>
      <c r="L34" s="65"/>
      <c r="M34" s="65"/>
      <c r="N34" s="65"/>
      <c r="O34" s="65"/>
      <c r="P34" s="65"/>
      <c r="R34" s="65" t="s">
        <v>56</v>
      </c>
      <c r="S34" s="65"/>
      <c r="Y34" s="65" t="s">
        <v>61</v>
      </c>
      <c r="AC34" s="68" t="s">
        <v>230</v>
      </c>
      <c r="AE34" s="65"/>
      <c r="AF34" s="65"/>
      <c r="AG34" s="65"/>
    </row>
    <row r="35" spans="1:34" s="64" customFormat="1" ht="26.25" customHeight="1" x14ac:dyDescent="0.35">
      <c r="A35" s="68" t="s">
        <v>59</v>
      </c>
      <c r="B35" s="65"/>
      <c r="C35" s="65"/>
      <c r="D35" s="65"/>
      <c r="G35" s="68" t="s">
        <v>208</v>
      </c>
      <c r="H35" s="65"/>
      <c r="I35" s="65"/>
      <c r="J35" s="65"/>
      <c r="K35" s="65"/>
      <c r="L35" s="65"/>
      <c r="M35" s="65"/>
      <c r="N35" s="65"/>
      <c r="O35" s="65"/>
      <c r="P35" s="65"/>
      <c r="R35" s="65"/>
      <c r="S35" s="65"/>
      <c r="T35" s="65"/>
      <c r="U35" s="65"/>
      <c r="V35" s="65"/>
      <c r="X35" s="65" t="s">
        <v>61</v>
      </c>
      <c r="Z35" s="65"/>
      <c r="AA35" s="65"/>
      <c r="AB35" s="65"/>
      <c r="AC35" s="65"/>
      <c r="AE35" s="65"/>
      <c r="AF35" s="73"/>
      <c r="AG35" s="73"/>
    </row>
    <row r="36" spans="1:34" s="65" customFormat="1" ht="24" customHeight="1" x14ac:dyDescent="0.35">
      <c r="A36" s="68"/>
      <c r="W36" s="74"/>
      <c r="AC36" s="75"/>
    </row>
    <row r="37" spans="1:34" s="65" customFormat="1" ht="24" customHeight="1" x14ac:dyDescent="0.3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73"/>
    </row>
    <row r="38" spans="1:34" s="65" customFormat="1" ht="23.25" customHeight="1" x14ac:dyDescent="0.35">
      <c r="A38" s="70" t="s">
        <v>73</v>
      </c>
      <c r="B38" s="70"/>
      <c r="C38" s="73"/>
      <c r="D38" s="73"/>
      <c r="E38" s="73"/>
      <c r="F38" s="73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U38" s="64"/>
      <c r="V38" s="64"/>
      <c r="W38" s="64"/>
      <c r="X38" s="64"/>
      <c r="Y38" s="64"/>
      <c r="Z38" s="64"/>
      <c r="AA38" s="64"/>
      <c r="AB38" s="64"/>
      <c r="AC38" s="64"/>
      <c r="AD38" s="76"/>
      <c r="AE38" s="64"/>
      <c r="AF38" s="64"/>
      <c r="AG38" s="64"/>
    </row>
    <row r="39" spans="1:34" s="64" customFormat="1" ht="24" customHeight="1" x14ac:dyDescent="0.3">
      <c r="A39" s="68" t="s">
        <v>62</v>
      </c>
    </row>
    <row r="40" spans="1:34" s="64" customFormat="1" ht="25.5" customHeight="1" x14ac:dyDescent="0.3">
      <c r="A40" s="68" t="s">
        <v>63</v>
      </c>
    </row>
    <row r="41" spans="1:34" ht="13.5" customHeight="1" x14ac:dyDescent="0.3"/>
    <row r="42" spans="1:34" ht="13.5" customHeight="1" x14ac:dyDescent="0.35">
      <c r="B42" s="77"/>
      <c r="C42" s="77"/>
      <c r="D42" s="77"/>
      <c r="E42" s="77"/>
    </row>
    <row r="44" spans="1:34" ht="22.5" x14ac:dyDescent="0.35">
      <c r="B44" s="77"/>
      <c r="C44" s="77"/>
      <c r="D44" s="77"/>
      <c r="E44" s="77"/>
    </row>
    <row r="45" spans="1:34" ht="15.75" customHeight="1" x14ac:dyDescent="0.3"/>
    <row r="48" spans="1:34" ht="15.75" customHeight="1" x14ac:dyDescent="0.3"/>
    <row r="50" spans="1:33" ht="22.5" x14ac:dyDescent="0.35"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</row>
    <row r="52" spans="1:33" s="77" customFormat="1" ht="22.5" x14ac:dyDescent="0.35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5" spans="1:33" ht="22.5" x14ac:dyDescent="0.35">
      <c r="A55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6:C26"/>
    <mergeCell ref="A27:C27"/>
    <mergeCell ref="B28:C28"/>
    <mergeCell ref="P18:Q18"/>
    <mergeCell ref="R18:S18"/>
    <mergeCell ref="A20:A24"/>
    <mergeCell ref="B20:B24"/>
    <mergeCell ref="A25:C25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4" orientation="landscape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3"/>
  <sheetViews>
    <sheetView topLeftCell="A10" zoomScale="70" zoomScaleNormal="70" workbookViewId="0">
      <selection activeCell="W27" sqref="W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246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46020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42101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106162</v>
      </c>
      <c r="U20" s="34">
        <v>12344.418604651162</v>
      </c>
      <c r="V20" s="33" t="e">
        <v>#REF!</v>
      </c>
      <c r="W20" s="33">
        <v>62799.19</v>
      </c>
      <c r="X20" s="33">
        <v>0</v>
      </c>
      <c r="Y20" s="35">
        <v>23537.289999999994</v>
      </c>
      <c r="Z20" s="31">
        <v>12003</v>
      </c>
      <c r="AA20" s="31">
        <v>279</v>
      </c>
      <c r="AB20" s="34">
        <v>1111</v>
      </c>
      <c r="AC20" s="31">
        <v>67391</v>
      </c>
      <c r="AD20" s="33">
        <v>16364</v>
      </c>
      <c r="AE20" s="33">
        <v>28892</v>
      </c>
      <c r="AF20" s="31">
        <v>1845</v>
      </c>
      <c r="AG20" s="36">
        <v>246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  <c r="AF21" s="38">
        <v>0</v>
      </c>
      <c r="AG21" s="56">
        <v>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42101</v>
      </c>
      <c r="G22" s="43">
        <f t="shared" si="1"/>
        <v>5084.7403846153848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106162</v>
      </c>
      <c r="U22" s="43">
        <f t="shared" si="1"/>
        <v>12344.418604651162</v>
      </c>
      <c r="V22" s="44" t="e">
        <f t="shared" si="1"/>
        <v>#REF!</v>
      </c>
      <c r="W22" s="45">
        <f t="shared" si="1"/>
        <v>62799.19</v>
      </c>
      <c r="X22" s="44">
        <f t="shared" si="1"/>
        <v>0</v>
      </c>
      <c r="Y22" s="43">
        <f t="shared" si="1"/>
        <v>23537.289999999994</v>
      </c>
      <c r="Z22" s="42">
        <f t="shared" si="1"/>
        <v>12003</v>
      </c>
      <c r="AA22" s="42">
        <f t="shared" si="1"/>
        <v>279</v>
      </c>
      <c r="AB22" s="44">
        <f t="shared" si="1"/>
        <v>1111</v>
      </c>
      <c r="AC22" s="42">
        <f t="shared" si="1"/>
        <v>67391</v>
      </c>
      <c r="AD22" s="44">
        <f t="shared" si="1"/>
        <v>16364</v>
      </c>
      <c r="AE22" s="44">
        <f t="shared" si="1"/>
        <v>28892</v>
      </c>
      <c r="AF22" s="42">
        <f t="shared" si="1"/>
        <v>1845</v>
      </c>
      <c r="AG22" s="46">
        <f t="shared" si="1"/>
        <v>246</v>
      </c>
      <c r="AH22" s="63"/>
    </row>
    <row r="23" spans="1:35" ht="61.5" customHeight="1" x14ac:dyDescent="0.3">
      <c r="A23" s="228" t="s">
        <v>248</v>
      </c>
      <c r="B23" s="229"/>
      <c r="C23" s="230"/>
      <c r="D23" s="104"/>
      <c r="E23" s="105"/>
      <c r="F23" s="106">
        <v>12000</v>
      </c>
      <c r="G23" s="106">
        <v>1500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>
        <v>32250</v>
      </c>
      <c r="U23" s="106">
        <v>3750</v>
      </c>
      <c r="V23" s="106"/>
      <c r="W23" s="106">
        <v>11750</v>
      </c>
      <c r="X23" s="106"/>
      <c r="Y23" s="106">
        <v>6561</v>
      </c>
      <c r="Z23" s="106">
        <v>2700</v>
      </c>
      <c r="AA23" s="106">
        <v>0</v>
      </c>
      <c r="AB23" s="106">
        <v>0</v>
      </c>
      <c r="AC23" s="106">
        <v>36515</v>
      </c>
      <c r="AD23" s="106"/>
      <c r="AE23" s="106">
        <v>12250</v>
      </c>
      <c r="AF23" s="106">
        <v>300</v>
      </c>
      <c r="AG23" s="108">
        <v>60</v>
      </c>
      <c r="AH23" s="63"/>
    </row>
    <row r="24" spans="1:35" ht="48" customHeight="1" x14ac:dyDescent="0.3">
      <c r="A24" s="171" t="s">
        <v>42</v>
      </c>
      <c r="B24" s="172"/>
      <c r="C24" s="173"/>
      <c r="D24" s="31"/>
      <c r="E24" s="38"/>
      <c r="F24" s="31"/>
      <c r="G24" s="32"/>
      <c r="H24" s="31"/>
      <c r="I24" s="31"/>
      <c r="J24" s="47"/>
      <c r="K24" s="34"/>
      <c r="L24" s="47"/>
      <c r="M24" s="34"/>
      <c r="N24" s="47"/>
      <c r="O24" s="34"/>
      <c r="P24" s="31"/>
      <c r="Q24" s="34"/>
      <c r="R24" s="31"/>
      <c r="S24" s="34"/>
      <c r="T24" s="31"/>
      <c r="U24" s="32"/>
      <c r="V24" s="31"/>
      <c r="W24" s="31"/>
      <c r="X24" s="31"/>
      <c r="Y24" s="31"/>
      <c r="Z24" s="31"/>
      <c r="AA24" s="31"/>
      <c r="AB24" s="31"/>
      <c r="AC24" s="31"/>
      <c r="AD24" s="31"/>
      <c r="AE24" s="48"/>
      <c r="AF24" s="31"/>
      <c r="AG24" s="49"/>
      <c r="AI24" s="50"/>
    </row>
    <row r="25" spans="1:35" ht="54" customHeight="1" x14ac:dyDescent="0.3">
      <c r="A25" s="174" t="s">
        <v>43</v>
      </c>
      <c r="B25" s="175"/>
      <c r="C25" s="176"/>
      <c r="D25" s="51">
        <f t="shared" ref="D25:AG25" si="2">D22+D24</f>
        <v>0</v>
      </c>
      <c r="E25" s="51">
        <f t="shared" si="2"/>
        <v>0</v>
      </c>
      <c r="F25" s="51">
        <f t="shared" si="2"/>
        <v>42101</v>
      </c>
      <c r="G25" s="52">
        <f t="shared" si="2"/>
        <v>5084.7403846153848</v>
      </c>
      <c r="H25" s="51" t="e">
        <f t="shared" si="2"/>
        <v>#VALUE!</v>
      </c>
      <c r="I25" s="51" t="e">
        <f t="shared" si="2"/>
        <v>#VALUE!</v>
      </c>
      <c r="J25" s="51">
        <f t="shared" si="2"/>
        <v>0</v>
      </c>
      <c r="K25" s="51">
        <f t="shared" si="2"/>
        <v>0</v>
      </c>
      <c r="L25" s="51">
        <f t="shared" si="2"/>
        <v>0</v>
      </c>
      <c r="M25" s="51">
        <f t="shared" si="2"/>
        <v>0</v>
      </c>
      <c r="N25" s="51" t="e">
        <f t="shared" si="2"/>
        <v>#REF!</v>
      </c>
      <c r="O25" s="51" t="e">
        <f t="shared" si="2"/>
        <v>#REF!</v>
      </c>
      <c r="P25" s="51">
        <f t="shared" si="2"/>
        <v>0</v>
      </c>
      <c r="Q25" s="52">
        <f t="shared" si="2"/>
        <v>0</v>
      </c>
      <c r="R25" s="51">
        <f t="shared" si="2"/>
        <v>0</v>
      </c>
      <c r="S25" s="51">
        <f t="shared" si="2"/>
        <v>0</v>
      </c>
      <c r="T25" s="51">
        <f t="shared" si="2"/>
        <v>106162</v>
      </c>
      <c r="U25" s="52">
        <f t="shared" si="2"/>
        <v>12344.418604651162</v>
      </c>
      <c r="V25" s="51" t="e">
        <f t="shared" si="2"/>
        <v>#REF!</v>
      </c>
      <c r="W25" s="52">
        <f t="shared" si="2"/>
        <v>62799.19</v>
      </c>
      <c r="X25" s="51">
        <f t="shared" si="2"/>
        <v>0</v>
      </c>
      <c r="Y25" s="52">
        <f t="shared" si="2"/>
        <v>23537.289999999994</v>
      </c>
      <c r="Z25" s="51">
        <f t="shared" si="2"/>
        <v>12003</v>
      </c>
      <c r="AA25" s="51">
        <f t="shared" si="2"/>
        <v>279</v>
      </c>
      <c r="AB25" s="51">
        <f t="shared" si="2"/>
        <v>1111</v>
      </c>
      <c r="AC25" s="51">
        <f t="shared" si="2"/>
        <v>67391</v>
      </c>
      <c r="AD25" s="51">
        <f t="shared" si="2"/>
        <v>16364</v>
      </c>
      <c r="AE25" s="51">
        <f t="shared" si="2"/>
        <v>28892</v>
      </c>
      <c r="AF25" s="51">
        <f t="shared" si="2"/>
        <v>1845</v>
      </c>
      <c r="AG25" s="53">
        <f t="shared" si="2"/>
        <v>246</v>
      </c>
    </row>
    <row r="26" spans="1:35" ht="75.75" customHeight="1" x14ac:dyDescent="0.3">
      <c r="A26" s="225" t="s">
        <v>249</v>
      </c>
      <c r="B26" s="226"/>
      <c r="C26" s="227"/>
      <c r="D26" s="85">
        <v>0</v>
      </c>
      <c r="E26" s="85">
        <v>0</v>
      </c>
      <c r="F26" s="31">
        <v>1577</v>
      </c>
      <c r="G26" s="32">
        <f>F26/200*25</f>
        <v>197.125</v>
      </c>
      <c r="H26" s="47"/>
      <c r="I26" s="47"/>
      <c r="J26" s="47"/>
      <c r="K26" s="38"/>
      <c r="L26" s="47"/>
      <c r="M26" s="32"/>
      <c r="N26" s="47"/>
      <c r="O26" s="47"/>
      <c r="P26" s="47">
        <v>0</v>
      </c>
      <c r="Q26" s="32">
        <v>0</v>
      </c>
      <c r="R26" s="38"/>
      <c r="S26" s="32"/>
      <c r="T26" s="31">
        <v>2542</v>
      </c>
      <c r="U26" s="32">
        <f>T26/215*25</f>
        <v>295.58139534883725</v>
      </c>
      <c r="V26" s="47"/>
      <c r="W26" s="35">
        <v>1568.1</v>
      </c>
      <c r="X26" s="47"/>
      <c r="Y26" s="55">
        <v>729</v>
      </c>
      <c r="Z26" s="31">
        <v>300</v>
      </c>
      <c r="AA26" s="38"/>
      <c r="AB26" s="47"/>
      <c r="AC26" s="38">
        <v>2233</v>
      </c>
      <c r="AD26" s="47"/>
      <c r="AE26" s="47">
        <v>1085</v>
      </c>
      <c r="AF26" s="38">
        <v>150</v>
      </c>
      <c r="AG26" s="56"/>
    </row>
    <row r="27" spans="1:35" s="4" customFormat="1" ht="100.5" customHeight="1" thickBot="1" x14ac:dyDescent="0.25">
      <c r="A27" s="57">
        <v>46026</v>
      </c>
      <c r="B27" s="161" t="s">
        <v>45</v>
      </c>
      <c r="C27" s="162"/>
      <c r="D27" s="58">
        <f>D25-D26</f>
        <v>0</v>
      </c>
      <c r="E27" s="58">
        <f>E25-E26</f>
        <v>0</v>
      </c>
      <c r="F27" s="58">
        <f>F25-F26</f>
        <v>40524</v>
      </c>
      <c r="G27" s="58">
        <f>G25-G26</f>
        <v>4887.6153846153848</v>
      </c>
      <c r="H27" s="58" t="e">
        <f>H25-H26-#REF!</f>
        <v>#VALUE!</v>
      </c>
      <c r="I27" s="58" t="e">
        <f>I25-I26-#REF!</f>
        <v>#VALUE!</v>
      </c>
      <c r="J27" s="58" t="e">
        <f>J25-J26-#REF!</f>
        <v>#REF!</v>
      </c>
      <c r="K27" s="58" t="e">
        <f>K25-K26-#REF!</f>
        <v>#REF!</v>
      </c>
      <c r="L27" s="58" t="e">
        <f>L25-L26-#REF!</f>
        <v>#REF!</v>
      </c>
      <c r="M27" s="58" t="e">
        <f>M25-M26-#REF!</f>
        <v>#REF!</v>
      </c>
      <c r="N27" s="58" t="e">
        <f>N25-N26-#REF!</f>
        <v>#REF!</v>
      </c>
      <c r="O27" s="58" t="e">
        <f>O25-O26-#REF!</f>
        <v>#REF!</v>
      </c>
      <c r="P27" s="58" t="e">
        <f>P25-P26-#REF!</f>
        <v>#REF!</v>
      </c>
      <c r="Q27" s="58" t="e">
        <f>Q25-Q26-#REF!</f>
        <v>#REF!</v>
      </c>
      <c r="R27" s="58" t="e">
        <f>R25-R26-#REF!</f>
        <v>#REF!</v>
      </c>
      <c r="S27" s="58" t="e">
        <f>S25-S26-#REF!</f>
        <v>#REF!</v>
      </c>
      <c r="T27" s="58">
        <f>T25-T26</f>
        <v>103620</v>
      </c>
      <c r="U27" s="58">
        <f>U25-U26</f>
        <v>12048.837209302324</v>
      </c>
      <c r="V27" s="58" t="e">
        <f>V25-V26-#REF!</f>
        <v>#REF!</v>
      </c>
      <c r="W27" s="59">
        <f>W25-W26</f>
        <v>61231.090000000004</v>
      </c>
      <c r="X27" s="58" t="e">
        <f>X25-X26-#REF!</f>
        <v>#REF!</v>
      </c>
      <c r="Y27" s="59">
        <f t="shared" ref="Y27:AG27" si="3">Y25-Y26</f>
        <v>22808.289999999994</v>
      </c>
      <c r="Z27" s="58">
        <f t="shared" si="3"/>
        <v>11703</v>
      </c>
      <c r="AA27" s="58">
        <f t="shared" si="3"/>
        <v>279</v>
      </c>
      <c r="AB27" s="58">
        <f t="shared" si="3"/>
        <v>1111</v>
      </c>
      <c r="AC27" s="58">
        <f t="shared" si="3"/>
        <v>65158</v>
      </c>
      <c r="AD27" s="58">
        <f t="shared" si="3"/>
        <v>16364</v>
      </c>
      <c r="AE27" s="58">
        <f t="shared" si="3"/>
        <v>27807</v>
      </c>
      <c r="AF27" s="58">
        <f t="shared" si="3"/>
        <v>1695</v>
      </c>
      <c r="AG27" s="109">
        <f t="shared" si="3"/>
        <v>246</v>
      </c>
    </row>
    <row r="28" spans="1:35" ht="17.25" customHeight="1" x14ac:dyDescent="0.3"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5" s="64" customFormat="1" ht="24" customHeight="1" x14ac:dyDescent="0.35">
      <c r="A29" s="64" t="s">
        <v>46</v>
      </c>
      <c r="G29" s="64" t="s">
        <v>47</v>
      </c>
      <c r="O29" s="65"/>
      <c r="R29" s="64" t="s">
        <v>48</v>
      </c>
      <c r="Y29" s="64" t="s">
        <v>48</v>
      </c>
      <c r="AC29" s="66" t="s">
        <v>49</v>
      </c>
      <c r="AE29" s="67"/>
      <c r="AF29" s="65"/>
      <c r="AG29" s="65"/>
    </row>
    <row r="30" spans="1:35" s="64" customFormat="1" ht="37.5" customHeight="1" x14ac:dyDescent="0.35">
      <c r="A30" s="68"/>
      <c r="B30" s="65"/>
      <c r="G30" s="69"/>
      <c r="H30" s="69"/>
      <c r="I30" s="69"/>
      <c r="J30" s="69"/>
      <c r="K30" s="69"/>
      <c r="L30" s="69"/>
      <c r="M30" s="69"/>
      <c r="N30" s="69"/>
      <c r="O30" s="69"/>
      <c r="P30" s="69"/>
      <c r="R30" s="69"/>
      <c r="S30" s="69"/>
      <c r="Y30" s="69"/>
      <c r="AC30" s="69"/>
      <c r="AE30" s="69"/>
      <c r="AF30" s="69"/>
      <c r="AG30" s="69"/>
      <c r="AH30" s="65"/>
    </row>
    <row r="31" spans="1:35" s="64" customFormat="1" ht="24" customHeight="1" x14ac:dyDescent="0.35">
      <c r="A31" s="70" t="s">
        <v>211</v>
      </c>
      <c r="B31" s="65"/>
      <c r="G31" s="70" t="s">
        <v>51</v>
      </c>
      <c r="H31" s="71"/>
      <c r="I31" s="71"/>
      <c r="J31" s="71"/>
      <c r="N31" s="65"/>
      <c r="O31" s="65"/>
      <c r="R31" s="70" t="s">
        <v>52</v>
      </c>
      <c r="Y31" s="70" t="s">
        <v>66</v>
      </c>
      <c r="AC31" s="71" t="s">
        <v>53</v>
      </c>
      <c r="AH31" s="65"/>
    </row>
    <row r="32" spans="1:35" s="64" customFormat="1" ht="21.75" customHeight="1" x14ac:dyDescent="0.35">
      <c r="A32" s="68" t="s">
        <v>232</v>
      </c>
      <c r="B32" s="65"/>
      <c r="C32" s="65"/>
      <c r="D32" s="65"/>
      <c r="G32" s="68" t="s">
        <v>55</v>
      </c>
      <c r="H32" s="65"/>
      <c r="I32" s="65"/>
      <c r="J32" s="65"/>
      <c r="K32" s="65"/>
      <c r="L32" s="65"/>
      <c r="M32" s="65"/>
      <c r="N32" s="65"/>
      <c r="O32" s="65"/>
      <c r="P32" s="65"/>
      <c r="R32" s="65" t="s">
        <v>56</v>
      </c>
      <c r="S32" s="65"/>
      <c r="Y32" s="65" t="s">
        <v>61</v>
      </c>
      <c r="AC32" s="68" t="s">
        <v>230</v>
      </c>
      <c r="AE32" s="65"/>
      <c r="AF32" s="65"/>
      <c r="AG32" s="65"/>
    </row>
    <row r="33" spans="1:34" s="64" customFormat="1" ht="26.25" customHeight="1" x14ac:dyDescent="0.35">
      <c r="A33" s="68" t="s">
        <v>59</v>
      </c>
      <c r="B33" s="65"/>
      <c r="C33" s="65"/>
      <c r="D33" s="65"/>
      <c r="G33" s="68" t="s">
        <v>208</v>
      </c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X33" s="65" t="s">
        <v>61</v>
      </c>
      <c r="Z33" s="65"/>
      <c r="AA33" s="65"/>
      <c r="AB33" s="65"/>
      <c r="AC33" s="65"/>
      <c r="AE33" s="65"/>
      <c r="AF33" s="73"/>
      <c r="AG33" s="73"/>
    </row>
    <row r="34" spans="1:34" s="65" customFormat="1" ht="24" customHeight="1" x14ac:dyDescent="0.35">
      <c r="A34" s="68"/>
      <c r="W34" s="74"/>
      <c r="AC34" s="75"/>
    </row>
    <row r="35" spans="1:34" s="65" customFormat="1" ht="24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73"/>
    </row>
    <row r="36" spans="1:34" s="65" customFormat="1" ht="23.25" customHeight="1" x14ac:dyDescent="0.35">
      <c r="A36" s="70" t="s">
        <v>73</v>
      </c>
      <c r="B36" s="70"/>
      <c r="C36" s="73"/>
      <c r="D36" s="73"/>
      <c r="E36" s="73"/>
      <c r="F36" s="7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U36" s="64"/>
      <c r="V36" s="64"/>
      <c r="W36" s="64"/>
      <c r="X36" s="64"/>
      <c r="Y36" s="64"/>
      <c r="Z36" s="64"/>
      <c r="AA36" s="64"/>
      <c r="AB36" s="64"/>
      <c r="AC36" s="64"/>
      <c r="AD36" s="76"/>
      <c r="AE36" s="64"/>
      <c r="AF36" s="64"/>
      <c r="AG36" s="64"/>
    </row>
    <row r="37" spans="1:34" s="64" customFormat="1" ht="24" customHeight="1" x14ac:dyDescent="0.3">
      <c r="A37" s="68" t="s">
        <v>62</v>
      </c>
    </row>
    <row r="38" spans="1:34" s="64" customFormat="1" ht="25.5" customHeight="1" x14ac:dyDescent="0.3">
      <c r="A38" s="68" t="s">
        <v>63</v>
      </c>
    </row>
    <row r="39" spans="1:34" ht="13.5" customHeight="1" x14ac:dyDescent="0.3"/>
    <row r="40" spans="1:34" ht="13.5" customHeight="1" x14ac:dyDescent="0.35">
      <c r="B40" s="77"/>
      <c r="C40" s="77"/>
      <c r="D40" s="77"/>
      <c r="E40" s="77"/>
    </row>
    <row r="42" spans="1:34" ht="22.5" x14ac:dyDescent="0.35">
      <c r="B42" s="77"/>
      <c r="C42" s="77"/>
      <c r="D42" s="77"/>
      <c r="E42" s="77"/>
    </row>
    <row r="43" spans="1:34" ht="15.75" customHeight="1" x14ac:dyDescent="0.3"/>
    <row r="46" spans="1:34" ht="15.75" customHeight="1" x14ac:dyDescent="0.3"/>
    <row r="48" spans="1:34" ht="22.5" x14ac:dyDescent="0.35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50" spans="1:33" s="77" customFormat="1" ht="22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3" spans="1:33" ht="22.5" x14ac:dyDescent="0.35">
      <c r="A53" s="77"/>
    </row>
  </sheetData>
  <mergeCells count="46">
    <mergeCell ref="A25:C25"/>
    <mergeCell ref="A26:C26"/>
    <mergeCell ref="B27:C27"/>
    <mergeCell ref="P18:Q18"/>
    <mergeCell ref="D18:E18"/>
    <mergeCell ref="F18:G18"/>
    <mergeCell ref="H18:I18"/>
    <mergeCell ref="J18:K18"/>
    <mergeCell ref="L18:M18"/>
    <mergeCell ref="A20:A22"/>
    <mergeCell ref="B20:B22"/>
    <mergeCell ref="A24:C24"/>
    <mergeCell ref="A16:A19"/>
    <mergeCell ref="B16:C19"/>
    <mergeCell ref="A23:C23"/>
    <mergeCell ref="N16:O16"/>
    <mergeCell ref="R17:S17"/>
    <mergeCell ref="T17:U17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N17:O17"/>
    <mergeCell ref="P17:Q17"/>
    <mergeCell ref="N18:O18"/>
    <mergeCell ref="R18:S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P16:Q16"/>
    <mergeCell ref="R16:S16"/>
    <mergeCell ref="T16:U16"/>
    <mergeCell ref="T18:U18"/>
  </mergeCells>
  <phoneticPr fontId="21" type="noConversion"/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16" zoomScale="70" zoomScaleNormal="70" workbookViewId="0">
      <selection activeCell="AC33" sqref="AC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251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0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46027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30101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73912</v>
      </c>
      <c r="U20" s="34">
        <v>12344.418604651162</v>
      </c>
      <c r="V20" s="33" t="e">
        <v>#REF!</v>
      </c>
      <c r="W20" s="33">
        <v>51049.19</v>
      </c>
      <c r="X20" s="33">
        <v>0</v>
      </c>
      <c r="Y20" s="35">
        <v>16976.289999999994</v>
      </c>
      <c r="Z20" s="31">
        <v>9303</v>
      </c>
      <c r="AA20" s="31">
        <v>179</v>
      </c>
      <c r="AB20" s="34">
        <v>1111</v>
      </c>
      <c r="AC20" s="31">
        <v>30876</v>
      </c>
      <c r="AD20" s="33">
        <v>16364</v>
      </c>
      <c r="AE20" s="33">
        <v>16642</v>
      </c>
      <c r="AF20" s="31">
        <v>1545</v>
      </c>
      <c r="AG20" s="36">
        <v>186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10423</v>
      </c>
      <c r="G21" s="32">
        <f>F21/200*25</f>
        <v>1302.875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29708</v>
      </c>
      <c r="U21" s="32">
        <f>T21/215*25</f>
        <v>3454.4186046511627</v>
      </c>
      <c r="V21" s="38">
        <v>0</v>
      </c>
      <c r="W21" s="38">
        <v>10181.9</v>
      </c>
      <c r="X21" s="38">
        <v>0</v>
      </c>
      <c r="Y21" s="38">
        <v>5832</v>
      </c>
      <c r="Z21" s="38">
        <v>2400</v>
      </c>
      <c r="AA21" s="38">
        <v>100</v>
      </c>
      <c r="AB21" s="38">
        <v>0</v>
      </c>
      <c r="AC21" s="38">
        <v>34282</v>
      </c>
      <c r="AD21" s="38">
        <v>0</v>
      </c>
      <c r="AE21" s="38">
        <v>11165</v>
      </c>
      <c r="AF21" s="38">
        <v>150</v>
      </c>
      <c r="AG21" s="56">
        <v>60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40524</v>
      </c>
      <c r="G22" s="43">
        <f t="shared" si="1"/>
        <v>6387.6153846153848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103620</v>
      </c>
      <c r="U22" s="43">
        <f t="shared" si="1"/>
        <v>15798.837209302324</v>
      </c>
      <c r="V22" s="44" t="e">
        <f t="shared" si="1"/>
        <v>#REF!</v>
      </c>
      <c r="W22" s="45">
        <f t="shared" si="1"/>
        <v>61231.090000000004</v>
      </c>
      <c r="X22" s="44">
        <f t="shared" si="1"/>
        <v>0</v>
      </c>
      <c r="Y22" s="43">
        <f t="shared" si="1"/>
        <v>22808.289999999994</v>
      </c>
      <c r="Z22" s="42">
        <f t="shared" si="1"/>
        <v>11703</v>
      </c>
      <c r="AA22" s="42">
        <f t="shared" si="1"/>
        <v>279</v>
      </c>
      <c r="AB22" s="44">
        <f t="shared" si="1"/>
        <v>1111</v>
      </c>
      <c r="AC22" s="42">
        <f t="shared" si="1"/>
        <v>65158</v>
      </c>
      <c r="AD22" s="44">
        <f t="shared" si="1"/>
        <v>16364</v>
      </c>
      <c r="AE22" s="44">
        <f t="shared" si="1"/>
        <v>27807</v>
      </c>
      <c r="AF22" s="42">
        <f t="shared" si="1"/>
        <v>1695</v>
      </c>
      <c r="AG22" s="46">
        <f t="shared" si="1"/>
        <v>246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40524</v>
      </c>
      <c r="G24" s="52">
        <f t="shared" si="2"/>
        <v>6387.6153846153848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103620</v>
      </c>
      <c r="U24" s="52">
        <f t="shared" si="2"/>
        <v>15798.837209302324</v>
      </c>
      <c r="V24" s="51" t="e">
        <f t="shared" si="2"/>
        <v>#REF!</v>
      </c>
      <c r="W24" s="52">
        <f t="shared" si="2"/>
        <v>61231.090000000004</v>
      </c>
      <c r="X24" s="51">
        <f t="shared" si="2"/>
        <v>0</v>
      </c>
      <c r="Y24" s="52">
        <f t="shared" si="2"/>
        <v>22808.289999999994</v>
      </c>
      <c r="Z24" s="51">
        <f t="shared" si="2"/>
        <v>11703</v>
      </c>
      <c r="AA24" s="51">
        <f t="shared" si="2"/>
        <v>279</v>
      </c>
      <c r="AB24" s="51">
        <f t="shared" si="2"/>
        <v>1111</v>
      </c>
      <c r="AC24" s="51">
        <f t="shared" si="2"/>
        <v>65158</v>
      </c>
      <c r="AD24" s="51">
        <f t="shared" si="2"/>
        <v>16364</v>
      </c>
      <c r="AE24" s="51">
        <f t="shared" si="2"/>
        <v>27807</v>
      </c>
      <c r="AF24" s="51">
        <f t="shared" si="2"/>
        <v>1695</v>
      </c>
      <c r="AG24" s="53">
        <f t="shared" si="2"/>
        <v>246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7843</v>
      </c>
      <c r="G25" s="32">
        <f>F25/200*25</f>
        <v>980.37500000000011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15432</v>
      </c>
      <c r="U25" s="32">
        <f>T25/215*25</f>
        <v>1794.4186046511629</v>
      </c>
      <c r="V25" s="47"/>
      <c r="W25" s="35">
        <v>7632.2000000000007</v>
      </c>
      <c r="X25" s="47"/>
      <c r="Y25" s="55">
        <v>3392.2800000000007</v>
      </c>
      <c r="Z25" s="31">
        <v>1396</v>
      </c>
      <c r="AA25" s="38"/>
      <c r="AB25" s="47"/>
      <c r="AC25" s="38">
        <v>11304</v>
      </c>
      <c r="AD25" s="47"/>
      <c r="AE25" s="47">
        <v>5469</v>
      </c>
      <c r="AF25" s="38"/>
      <c r="AG25" s="56">
        <v>20</v>
      </c>
    </row>
    <row r="26" spans="1:35" s="4" customFormat="1" ht="100.5" customHeight="1" thickBot="1" x14ac:dyDescent="0.25">
      <c r="A26" s="57">
        <v>46033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32681</v>
      </c>
      <c r="G26" s="58">
        <f>G24-G25</f>
        <v>5407.2403846153848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88188</v>
      </c>
      <c r="U26" s="58">
        <f>U24-U25</f>
        <v>14004.418604651162</v>
      </c>
      <c r="V26" s="58" t="e">
        <f>V24-V25-#REF!</f>
        <v>#REF!</v>
      </c>
      <c r="W26" s="59">
        <f>W24-W25</f>
        <v>53598.89</v>
      </c>
      <c r="X26" s="58" t="e">
        <f>X24-X25-#REF!</f>
        <v>#REF!</v>
      </c>
      <c r="Y26" s="59">
        <f t="shared" ref="Y26:AG26" si="3">Y24-Y25</f>
        <v>19416.009999999995</v>
      </c>
      <c r="Z26" s="58">
        <f t="shared" si="3"/>
        <v>10307</v>
      </c>
      <c r="AA26" s="58">
        <f t="shared" si="3"/>
        <v>279</v>
      </c>
      <c r="AB26" s="58">
        <f t="shared" si="3"/>
        <v>1111</v>
      </c>
      <c r="AC26" s="58">
        <f t="shared" si="3"/>
        <v>53854</v>
      </c>
      <c r="AD26" s="58">
        <f t="shared" si="3"/>
        <v>16364</v>
      </c>
      <c r="AE26" s="58">
        <f t="shared" si="3"/>
        <v>22338</v>
      </c>
      <c r="AF26" s="58">
        <f t="shared" si="3"/>
        <v>1695</v>
      </c>
      <c r="AG26" s="109">
        <f t="shared" si="3"/>
        <v>226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66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61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73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23:C23"/>
    <mergeCell ref="A24:C24"/>
    <mergeCell ref="A25:C25"/>
    <mergeCell ref="B26:C26"/>
    <mergeCell ref="P18:Q18"/>
    <mergeCell ref="A20:A22"/>
    <mergeCell ref="B20:B22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R18:S18"/>
    <mergeCell ref="T18:U18"/>
    <mergeCell ref="T17:U17"/>
    <mergeCell ref="N17:O17"/>
    <mergeCell ref="P17:Q17"/>
    <mergeCell ref="R17:S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16" zoomScale="70" zoomScaleNormal="70" workbookViewId="0">
      <selection activeCell="W34" sqref="W3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252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1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46034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8101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63162</v>
      </c>
      <c r="U20" s="34">
        <v>12344.418604651162</v>
      </c>
      <c r="V20" s="33" t="e">
        <v>#REF!</v>
      </c>
      <c r="W20" s="33">
        <v>38799.19</v>
      </c>
      <c r="X20" s="33">
        <v>0</v>
      </c>
      <c r="Y20" s="35">
        <v>13088.289999999994</v>
      </c>
      <c r="Z20" s="31">
        <v>7703</v>
      </c>
      <c r="AA20" s="31">
        <v>179</v>
      </c>
      <c r="AB20" s="34">
        <v>1111</v>
      </c>
      <c r="AC20" s="31">
        <v>14126</v>
      </c>
      <c r="AD20" s="33">
        <v>16364</v>
      </c>
      <c r="AE20" s="33">
        <v>12592</v>
      </c>
      <c r="AF20" s="31">
        <v>1545</v>
      </c>
      <c r="AG20" s="36">
        <v>166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24580</v>
      </c>
      <c r="G21" s="32">
        <f>F21/200*25</f>
        <v>3072.5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25026</v>
      </c>
      <c r="U21" s="32">
        <f>T21/215*25</f>
        <v>2910</v>
      </c>
      <c r="V21" s="38">
        <v>0</v>
      </c>
      <c r="W21" s="38">
        <v>14799.7</v>
      </c>
      <c r="X21" s="38">
        <v>0</v>
      </c>
      <c r="Y21" s="38">
        <v>6327.7199999999993</v>
      </c>
      <c r="Z21" s="38">
        <v>2604</v>
      </c>
      <c r="AA21" s="38">
        <v>100</v>
      </c>
      <c r="AB21" s="38">
        <v>0</v>
      </c>
      <c r="AC21" s="38">
        <v>39728</v>
      </c>
      <c r="AD21" s="38">
        <v>0</v>
      </c>
      <c r="AE21" s="38">
        <v>9746</v>
      </c>
      <c r="AF21" s="38">
        <v>150</v>
      </c>
      <c r="AG21" s="56">
        <v>60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32681</v>
      </c>
      <c r="G22" s="43">
        <f t="shared" si="1"/>
        <v>8157.2403846153848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88188</v>
      </c>
      <c r="U22" s="43">
        <f t="shared" si="1"/>
        <v>15254.418604651162</v>
      </c>
      <c r="V22" s="44" t="e">
        <f t="shared" si="1"/>
        <v>#REF!</v>
      </c>
      <c r="W22" s="45">
        <f t="shared" si="1"/>
        <v>53598.89</v>
      </c>
      <c r="X22" s="44">
        <f t="shared" si="1"/>
        <v>0</v>
      </c>
      <c r="Y22" s="43">
        <f t="shared" si="1"/>
        <v>19416.009999999995</v>
      </c>
      <c r="Z22" s="42">
        <f t="shared" si="1"/>
        <v>10307</v>
      </c>
      <c r="AA22" s="42">
        <f t="shared" si="1"/>
        <v>279</v>
      </c>
      <c r="AB22" s="44">
        <f t="shared" si="1"/>
        <v>1111</v>
      </c>
      <c r="AC22" s="42">
        <f t="shared" si="1"/>
        <v>53854</v>
      </c>
      <c r="AD22" s="44">
        <f t="shared" si="1"/>
        <v>16364</v>
      </c>
      <c r="AE22" s="44">
        <f t="shared" si="1"/>
        <v>22338</v>
      </c>
      <c r="AF22" s="42">
        <f t="shared" si="1"/>
        <v>1695</v>
      </c>
      <c r="AG22" s="46">
        <f t="shared" si="1"/>
        <v>226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15000</v>
      </c>
      <c r="X23" s="31"/>
      <c r="Y23" s="31">
        <v>3000</v>
      </c>
      <c r="Z23" s="31">
        <v>2000</v>
      </c>
      <c r="AA23" s="31"/>
      <c r="AB23" s="31"/>
      <c r="AC23" s="31">
        <v>26960</v>
      </c>
      <c r="AD23" s="31"/>
      <c r="AE23" s="48">
        <v>9000</v>
      </c>
      <c r="AF23" s="31">
        <v>300</v>
      </c>
      <c r="AG23" s="49">
        <v>40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52681</v>
      </c>
      <c r="G24" s="52">
        <f t="shared" si="2"/>
        <v>10657.240384615385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109688</v>
      </c>
      <c r="U24" s="52">
        <f t="shared" si="2"/>
        <v>17754.41860465116</v>
      </c>
      <c r="V24" s="51" t="e">
        <f t="shared" si="2"/>
        <v>#REF!</v>
      </c>
      <c r="W24" s="52">
        <f t="shared" si="2"/>
        <v>68598.89</v>
      </c>
      <c r="X24" s="51">
        <f t="shared" si="2"/>
        <v>0</v>
      </c>
      <c r="Y24" s="52">
        <f t="shared" si="2"/>
        <v>22416.009999999995</v>
      </c>
      <c r="Z24" s="51">
        <f t="shared" si="2"/>
        <v>12307</v>
      </c>
      <c r="AA24" s="51">
        <f t="shared" si="2"/>
        <v>279</v>
      </c>
      <c r="AB24" s="51">
        <f t="shared" si="2"/>
        <v>1111</v>
      </c>
      <c r="AC24" s="51">
        <f t="shared" si="2"/>
        <v>80814</v>
      </c>
      <c r="AD24" s="51">
        <f t="shared" si="2"/>
        <v>16364</v>
      </c>
      <c r="AE24" s="51">
        <f t="shared" si="2"/>
        <v>31338</v>
      </c>
      <c r="AF24" s="51">
        <f t="shared" si="2"/>
        <v>1995</v>
      </c>
      <c r="AG24" s="53">
        <f t="shared" si="2"/>
        <v>266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11903</v>
      </c>
      <c r="G25" s="32">
        <f>F25/200*25</f>
        <v>1487.875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11574</v>
      </c>
      <c r="U25" s="32">
        <f>T25/215*25</f>
        <v>1345.8139534883721</v>
      </c>
      <c r="V25" s="47"/>
      <c r="W25" s="35">
        <v>7269.6</v>
      </c>
      <c r="X25" s="47"/>
      <c r="Y25" s="55">
        <v>3183.2999999999997</v>
      </c>
      <c r="Z25" s="31">
        <v>1310</v>
      </c>
      <c r="AA25" s="38"/>
      <c r="AB25" s="47"/>
      <c r="AC25" s="38">
        <v>11308</v>
      </c>
      <c r="AD25" s="47"/>
      <c r="AE25" s="47">
        <v>5072</v>
      </c>
      <c r="AF25" s="38"/>
      <c r="AG25" s="56">
        <v>22</v>
      </c>
    </row>
    <row r="26" spans="1:35" s="4" customFormat="1" ht="100.5" customHeight="1" thickBot="1" x14ac:dyDescent="0.25">
      <c r="A26" s="57">
        <v>46040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40778</v>
      </c>
      <c r="G26" s="58">
        <f>G24-G25</f>
        <v>9169.3653846153848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98114</v>
      </c>
      <c r="U26" s="58">
        <f>U24-U25</f>
        <v>16408.604651162786</v>
      </c>
      <c r="V26" s="58" t="e">
        <f>V24-V25-#REF!</f>
        <v>#REF!</v>
      </c>
      <c r="W26" s="59">
        <f>W24-W25</f>
        <v>61329.29</v>
      </c>
      <c r="X26" s="58" t="e">
        <f>X24-X25-#REF!</f>
        <v>#REF!</v>
      </c>
      <c r="Y26" s="59">
        <f t="shared" ref="Y26:AG26" si="3">Y24-Y25</f>
        <v>19232.709999999995</v>
      </c>
      <c r="Z26" s="58">
        <f t="shared" si="3"/>
        <v>10997</v>
      </c>
      <c r="AA26" s="58">
        <f t="shared" si="3"/>
        <v>279</v>
      </c>
      <c r="AB26" s="58">
        <f t="shared" si="3"/>
        <v>1111</v>
      </c>
      <c r="AC26" s="58">
        <f t="shared" si="3"/>
        <v>69506</v>
      </c>
      <c r="AD26" s="58">
        <f t="shared" si="3"/>
        <v>16364</v>
      </c>
      <c r="AE26" s="58">
        <f t="shared" si="3"/>
        <v>26266</v>
      </c>
      <c r="AF26" s="58">
        <f t="shared" si="3"/>
        <v>1995</v>
      </c>
      <c r="AG26" s="109">
        <f t="shared" si="3"/>
        <v>244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212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73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10" zoomScale="70" zoomScaleNormal="70" workbookViewId="0">
      <selection activeCell="Y26" sqref="Y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253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2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46041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12800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54180</v>
      </c>
      <c r="U20" s="34">
        <v>12344.418604651162</v>
      </c>
      <c r="V20" s="33" t="e">
        <v>#REF!</v>
      </c>
      <c r="W20" s="33">
        <v>42475</v>
      </c>
      <c r="X20" s="33">
        <v>0</v>
      </c>
      <c r="Y20" s="35">
        <v>9873.9999999999927</v>
      </c>
      <c r="Z20" s="31">
        <v>7650</v>
      </c>
      <c r="AA20" s="31">
        <v>150</v>
      </c>
      <c r="AB20" s="34">
        <v>1111</v>
      </c>
      <c r="AC20" s="31">
        <v>25030</v>
      </c>
      <c r="AD20" s="33">
        <v>16364</v>
      </c>
      <c r="AE20" s="33">
        <v>10134</v>
      </c>
      <c r="AF20" s="31">
        <v>765</v>
      </c>
      <c r="AG20" s="36">
        <v>100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27978</v>
      </c>
      <c r="G21" s="32">
        <f>F21/200*25</f>
        <v>3497.2499999999995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43934</v>
      </c>
      <c r="U21" s="32">
        <f>T21/215*25</f>
        <v>5108.604651162791</v>
      </c>
      <c r="V21" s="38">
        <v>0</v>
      </c>
      <c r="W21" s="38">
        <v>18854.29</v>
      </c>
      <c r="X21" s="38">
        <v>0</v>
      </c>
      <c r="Y21" s="38">
        <v>9358.7099999999991</v>
      </c>
      <c r="Z21" s="38">
        <v>3347</v>
      </c>
      <c r="AA21" s="38">
        <v>129</v>
      </c>
      <c r="AB21" s="38">
        <v>0</v>
      </c>
      <c r="AC21" s="38">
        <v>44476</v>
      </c>
      <c r="AD21" s="38">
        <v>0</v>
      </c>
      <c r="AE21" s="38">
        <v>16132</v>
      </c>
      <c r="AF21" s="38">
        <v>1230</v>
      </c>
      <c r="AG21" s="56">
        <v>144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40778</v>
      </c>
      <c r="G22" s="43">
        <f t="shared" si="1"/>
        <v>8581.9903846153848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98114</v>
      </c>
      <c r="U22" s="43">
        <f t="shared" si="1"/>
        <v>17453.023255813954</v>
      </c>
      <c r="V22" s="44" t="e">
        <f t="shared" si="1"/>
        <v>#REF!</v>
      </c>
      <c r="W22" s="45">
        <f t="shared" si="1"/>
        <v>61329.29</v>
      </c>
      <c r="X22" s="44">
        <f t="shared" si="1"/>
        <v>0</v>
      </c>
      <c r="Y22" s="43">
        <f t="shared" si="1"/>
        <v>19232.709999999992</v>
      </c>
      <c r="Z22" s="42">
        <f t="shared" si="1"/>
        <v>10997</v>
      </c>
      <c r="AA22" s="42">
        <f t="shared" si="1"/>
        <v>279</v>
      </c>
      <c r="AB22" s="44">
        <f t="shared" si="1"/>
        <v>1111</v>
      </c>
      <c r="AC22" s="42">
        <f t="shared" si="1"/>
        <v>69506</v>
      </c>
      <c r="AD22" s="44">
        <f t="shared" si="1"/>
        <v>16364</v>
      </c>
      <c r="AE22" s="44">
        <f t="shared" si="1"/>
        <v>26266</v>
      </c>
      <c r="AF22" s="42">
        <f t="shared" si="1"/>
        <v>1995</v>
      </c>
      <c r="AG22" s="46">
        <f t="shared" si="1"/>
        <v>244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7500</v>
      </c>
      <c r="X23" s="31"/>
      <c r="Y23" s="31">
        <v>10000</v>
      </c>
      <c r="Z23" s="31">
        <v>2000</v>
      </c>
      <c r="AA23" s="31"/>
      <c r="AB23" s="31"/>
      <c r="AC23" s="31">
        <v>24250</v>
      </c>
      <c r="AD23" s="31"/>
      <c r="AE23" s="48">
        <v>13500</v>
      </c>
      <c r="AF23" s="31">
        <v>300</v>
      </c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60778</v>
      </c>
      <c r="G24" s="52">
        <f t="shared" si="2"/>
        <v>11081.990384615385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119614</v>
      </c>
      <c r="U24" s="52">
        <f t="shared" si="2"/>
        <v>19953.023255813954</v>
      </c>
      <c r="V24" s="51" t="e">
        <f t="shared" si="2"/>
        <v>#REF!</v>
      </c>
      <c r="W24" s="52">
        <f t="shared" si="2"/>
        <v>68829.290000000008</v>
      </c>
      <c r="X24" s="51">
        <f t="shared" si="2"/>
        <v>0</v>
      </c>
      <c r="Y24" s="52">
        <f t="shared" si="2"/>
        <v>29232.709999999992</v>
      </c>
      <c r="Z24" s="51">
        <f t="shared" si="2"/>
        <v>12997</v>
      </c>
      <c r="AA24" s="51">
        <f t="shared" si="2"/>
        <v>279</v>
      </c>
      <c r="AB24" s="51">
        <f t="shared" si="2"/>
        <v>1111</v>
      </c>
      <c r="AC24" s="51">
        <f t="shared" si="2"/>
        <v>93756</v>
      </c>
      <c r="AD24" s="51">
        <f t="shared" si="2"/>
        <v>16364</v>
      </c>
      <c r="AE24" s="51">
        <f t="shared" si="2"/>
        <v>39766</v>
      </c>
      <c r="AF24" s="51">
        <f t="shared" si="2"/>
        <v>2295</v>
      </c>
      <c r="AG24" s="53">
        <f t="shared" si="2"/>
        <v>244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12625</v>
      </c>
      <c r="G25" s="32">
        <f>F25/200*25</f>
        <v>1578.125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11372</v>
      </c>
      <c r="U25" s="32">
        <f>T25/215*25</f>
        <v>1322.3255813953488</v>
      </c>
      <c r="V25" s="47"/>
      <c r="W25" s="35">
        <v>7902.7999999999993</v>
      </c>
      <c r="X25" s="47"/>
      <c r="Y25" s="55">
        <v>3331.53</v>
      </c>
      <c r="Z25" s="31">
        <v>1371</v>
      </c>
      <c r="AA25" s="38">
        <v>3</v>
      </c>
      <c r="AB25" s="47"/>
      <c r="AC25" s="38">
        <v>11844</v>
      </c>
      <c r="AD25" s="47"/>
      <c r="AE25" s="47">
        <v>5566</v>
      </c>
      <c r="AF25" s="38">
        <v>150</v>
      </c>
      <c r="AG25" s="56">
        <v>28</v>
      </c>
    </row>
    <row r="26" spans="1:35" s="4" customFormat="1" ht="100.5" customHeight="1" thickBot="1" x14ac:dyDescent="0.25">
      <c r="A26" s="57">
        <v>46047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48153</v>
      </c>
      <c r="G26" s="58">
        <f>G24-G25</f>
        <v>9503.8653846153848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108242</v>
      </c>
      <c r="U26" s="58">
        <f>U24-U25</f>
        <v>18630.697674418607</v>
      </c>
      <c r="V26" s="58" t="e">
        <f>V24-V25-#REF!</f>
        <v>#REF!</v>
      </c>
      <c r="W26" s="59">
        <f>W24-W25</f>
        <v>60926.490000000005</v>
      </c>
      <c r="X26" s="58" t="e">
        <f>X24-X25-#REF!</f>
        <v>#REF!</v>
      </c>
      <c r="Y26" s="59">
        <f t="shared" ref="Y26:AG26" si="3">Y24-Y25</f>
        <v>25901.179999999993</v>
      </c>
      <c r="Z26" s="58">
        <f t="shared" si="3"/>
        <v>11626</v>
      </c>
      <c r="AA26" s="58">
        <f t="shared" si="3"/>
        <v>276</v>
      </c>
      <c r="AB26" s="58">
        <f t="shared" si="3"/>
        <v>1111</v>
      </c>
      <c r="AC26" s="58">
        <f t="shared" si="3"/>
        <v>81912</v>
      </c>
      <c r="AD26" s="58">
        <f t="shared" si="3"/>
        <v>16364</v>
      </c>
      <c r="AE26" s="58">
        <f t="shared" si="3"/>
        <v>34200</v>
      </c>
      <c r="AF26" s="58">
        <f t="shared" si="3"/>
        <v>2145</v>
      </c>
      <c r="AG26" s="109">
        <f t="shared" si="3"/>
        <v>216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212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73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5" zoomScale="70" zoomScaleNormal="70" workbookViewId="0">
      <selection activeCell="A35" sqref="A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254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46048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10800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62780</v>
      </c>
      <c r="U20" s="34">
        <v>12344.418604651162</v>
      </c>
      <c r="V20" s="33" t="e">
        <v>#REF!</v>
      </c>
      <c r="W20" s="33">
        <v>39475</v>
      </c>
      <c r="X20" s="33">
        <v>0</v>
      </c>
      <c r="Y20" s="35">
        <v>16593.499999999993</v>
      </c>
      <c r="Z20" s="31">
        <v>8300</v>
      </c>
      <c r="AA20" s="31">
        <v>150</v>
      </c>
      <c r="AB20" s="34">
        <v>1111</v>
      </c>
      <c r="AC20" s="31">
        <v>33530</v>
      </c>
      <c r="AD20" s="33">
        <v>16364</v>
      </c>
      <c r="AE20" s="33">
        <v>17334</v>
      </c>
      <c r="AF20" s="31">
        <v>1065</v>
      </c>
      <c r="AG20" s="36">
        <v>100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37353</v>
      </c>
      <c r="G21" s="32">
        <f>F21/200*25</f>
        <v>4669.125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45462</v>
      </c>
      <c r="U21" s="32">
        <f>T21/215*25</f>
        <v>5286.2790697674418</v>
      </c>
      <c r="V21" s="38">
        <v>0</v>
      </c>
      <c r="W21" s="38">
        <v>21451.489999999998</v>
      </c>
      <c r="X21" s="38">
        <v>0</v>
      </c>
      <c r="Y21" s="38">
        <v>9307.6799999999985</v>
      </c>
      <c r="Z21" s="38">
        <v>3326</v>
      </c>
      <c r="AA21" s="38">
        <v>126</v>
      </c>
      <c r="AB21" s="38">
        <v>0</v>
      </c>
      <c r="AC21" s="38">
        <v>48382</v>
      </c>
      <c r="AD21" s="38">
        <v>0</v>
      </c>
      <c r="AE21" s="38">
        <v>16866</v>
      </c>
      <c r="AF21" s="38">
        <v>1080</v>
      </c>
      <c r="AG21" s="56">
        <v>116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48153</v>
      </c>
      <c r="G22" s="43">
        <f t="shared" si="1"/>
        <v>9753.8653846153848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108242</v>
      </c>
      <c r="U22" s="43">
        <f t="shared" si="1"/>
        <v>17630.697674418603</v>
      </c>
      <c r="V22" s="44" t="e">
        <f t="shared" si="1"/>
        <v>#REF!</v>
      </c>
      <c r="W22" s="45">
        <f t="shared" si="1"/>
        <v>60926.49</v>
      </c>
      <c r="X22" s="44">
        <f t="shared" si="1"/>
        <v>0</v>
      </c>
      <c r="Y22" s="43">
        <f t="shared" si="1"/>
        <v>25901.179999999993</v>
      </c>
      <c r="Z22" s="42">
        <f t="shared" si="1"/>
        <v>11626</v>
      </c>
      <c r="AA22" s="42">
        <f t="shared" si="1"/>
        <v>276</v>
      </c>
      <c r="AB22" s="44">
        <f t="shared" si="1"/>
        <v>1111</v>
      </c>
      <c r="AC22" s="42">
        <f t="shared" si="1"/>
        <v>81912</v>
      </c>
      <c r="AD22" s="44">
        <f t="shared" si="1"/>
        <v>16364</v>
      </c>
      <c r="AE22" s="44">
        <f t="shared" si="1"/>
        <v>34200</v>
      </c>
      <c r="AF22" s="42">
        <f t="shared" si="1"/>
        <v>2145</v>
      </c>
      <c r="AG22" s="46">
        <f t="shared" si="1"/>
        <v>216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15000</v>
      </c>
      <c r="X23" s="31"/>
      <c r="Y23" s="31">
        <v>5000</v>
      </c>
      <c r="Z23" s="31">
        <v>2000</v>
      </c>
      <c r="AA23" s="31"/>
      <c r="AB23" s="31"/>
      <c r="AC23" s="31">
        <v>16770</v>
      </c>
      <c r="AD23" s="31"/>
      <c r="AE23" s="48">
        <v>5400</v>
      </c>
      <c r="AF23" s="31"/>
      <c r="AG23" s="49">
        <v>10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68153</v>
      </c>
      <c r="G24" s="52">
        <f t="shared" si="2"/>
        <v>12253.865384615385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129742</v>
      </c>
      <c r="U24" s="52">
        <f t="shared" si="2"/>
        <v>20130.697674418603</v>
      </c>
      <c r="V24" s="51" t="e">
        <f t="shared" si="2"/>
        <v>#REF!</v>
      </c>
      <c r="W24" s="52">
        <f t="shared" si="2"/>
        <v>75926.489999999991</v>
      </c>
      <c r="X24" s="51">
        <f t="shared" si="2"/>
        <v>0</v>
      </c>
      <c r="Y24" s="52">
        <f t="shared" si="2"/>
        <v>30901.179999999993</v>
      </c>
      <c r="Z24" s="51">
        <f t="shared" si="2"/>
        <v>13626</v>
      </c>
      <c r="AA24" s="51">
        <f t="shared" si="2"/>
        <v>276</v>
      </c>
      <c r="AB24" s="51">
        <f t="shared" si="2"/>
        <v>1111</v>
      </c>
      <c r="AC24" s="51">
        <f t="shared" si="2"/>
        <v>98682</v>
      </c>
      <c r="AD24" s="51">
        <f t="shared" si="2"/>
        <v>16364</v>
      </c>
      <c r="AE24" s="51">
        <f t="shared" si="2"/>
        <v>39600</v>
      </c>
      <c r="AF24" s="51">
        <f t="shared" si="2"/>
        <v>2145</v>
      </c>
      <c r="AG24" s="53">
        <f t="shared" si="2"/>
        <v>226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12481</v>
      </c>
      <c r="G25" s="32">
        <f>F25/200*25</f>
        <v>1560.125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8761</v>
      </c>
      <c r="U25" s="32">
        <f>T25/215*25</f>
        <v>1018.7209302325581</v>
      </c>
      <c r="V25" s="47"/>
      <c r="W25" s="35">
        <v>7038.4000000000005</v>
      </c>
      <c r="X25" s="47"/>
      <c r="Y25" s="55">
        <v>2996.19</v>
      </c>
      <c r="Z25" s="31">
        <v>1233</v>
      </c>
      <c r="AA25" s="38"/>
      <c r="AB25" s="47"/>
      <c r="AC25" s="38">
        <v>10603</v>
      </c>
      <c r="AD25" s="47"/>
      <c r="AE25" s="47">
        <v>5030</v>
      </c>
      <c r="AF25" s="38">
        <v>10</v>
      </c>
      <c r="AG25" s="56">
        <v>24</v>
      </c>
    </row>
    <row r="26" spans="1:35" s="4" customFormat="1" ht="100.5" customHeight="1" thickBot="1" x14ac:dyDescent="0.25">
      <c r="A26" s="57">
        <v>46054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55672</v>
      </c>
      <c r="G26" s="58">
        <f>G24-G25</f>
        <v>10693.740384615385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120981</v>
      </c>
      <c r="U26" s="58">
        <f>U24-U25</f>
        <v>19111.976744186046</v>
      </c>
      <c r="V26" s="58" t="e">
        <f>V24-V25-#REF!</f>
        <v>#REF!</v>
      </c>
      <c r="W26" s="59">
        <f>W24-W25</f>
        <v>68888.09</v>
      </c>
      <c r="X26" s="58" t="e">
        <f>X24-X25-#REF!</f>
        <v>#REF!</v>
      </c>
      <c r="Y26" s="59">
        <f t="shared" ref="Y26:AG26" si="3">Y24-Y25</f>
        <v>27904.989999999994</v>
      </c>
      <c r="Z26" s="58">
        <f t="shared" si="3"/>
        <v>12393</v>
      </c>
      <c r="AA26" s="58">
        <f t="shared" si="3"/>
        <v>276</v>
      </c>
      <c r="AB26" s="58">
        <f t="shared" si="3"/>
        <v>1111</v>
      </c>
      <c r="AC26" s="58">
        <f t="shared" si="3"/>
        <v>88079</v>
      </c>
      <c r="AD26" s="58">
        <f t="shared" si="3"/>
        <v>16364</v>
      </c>
      <c r="AE26" s="58">
        <f t="shared" si="3"/>
        <v>34570</v>
      </c>
      <c r="AF26" s="58">
        <f t="shared" si="3"/>
        <v>2135</v>
      </c>
      <c r="AG26" s="109">
        <f t="shared" si="3"/>
        <v>202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212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155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2" zoomScale="70" zoomScaleNormal="70" workbookViewId="0">
      <selection activeCell="A35" sqref="A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255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4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46055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23800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68155</v>
      </c>
      <c r="U20" s="34">
        <v>12344.418604651162</v>
      </c>
      <c r="V20" s="33" t="e">
        <v>#REF!</v>
      </c>
      <c r="W20" s="33">
        <v>47225</v>
      </c>
      <c r="X20" s="33">
        <v>0</v>
      </c>
      <c r="Y20" s="35">
        <v>18312.499999999993</v>
      </c>
      <c r="Z20" s="31">
        <v>8950</v>
      </c>
      <c r="AA20" s="31">
        <v>150</v>
      </c>
      <c r="AB20" s="34">
        <v>1111</v>
      </c>
      <c r="AC20" s="31">
        <v>38820</v>
      </c>
      <c r="AD20" s="33">
        <v>16364</v>
      </c>
      <c r="AE20" s="33">
        <v>13734</v>
      </c>
      <c r="AF20" s="31">
        <v>1065</v>
      </c>
      <c r="AG20" s="36">
        <v>70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31872</v>
      </c>
      <c r="G21" s="32">
        <f>F21/200*25</f>
        <v>3984.0000000000005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52826</v>
      </c>
      <c r="U21" s="32">
        <f>T21/215*25</f>
        <v>6142.5581395348836</v>
      </c>
      <c r="V21" s="38">
        <v>0</v>
      </c>
      <c r="W21" s="38">
        <v>21663.089999999997</v>
      </c>
      <c r="X21" s="38">
        <v>0</v>
      </c>
      <c r="Y21" s="38">
        <v>9592.489999999998</v>
      </c>
      <c r="Z21" s="38">
        <v>3443</v>
      </c>
      <c r="AA21" s="38">
        <v>126</v>
      </c>
      <c r="AB21" s="38">
        <v>0</v>
      </c>
      <c r="AC21" s="38">
        <v>49259</v>
      </c>
      <c r="AD21" s="38">
        <v>0</v>
      </c>
      <c r="AE21" s="38">
        <v>20836</v>
      </c>
      <c r="AF21" s="38">
        <v>1070</v>
      </c>
      <c r="AG21" s="56">
        <v>132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55672</v>
      </c>
      <c r="G22" s="43">
        <f t="shared" si="1"/>
        <v>9068.7403846153848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120981</v>
      </c>
      <c r="U22" s="43">
        <f t="shared" si="1"/>
        <v>18486.976744186046</v>
      </c>
      <c r="V22" s="44" t="e">
        <f t="shared" si="1"/>
        <v>#REF!</v>
      </c>
      <c r="W22" s="45">
        <f t="shared" si="1"/>
        <v>68888.09</v>
      </c>
      <c r="X22" s="44">
        <f t="shared" si="1"/>
        <v>0</v>
      </c>
      <c r="Y22" s="43">
        <f t="shared" si="1"/>
        <v>27904.989999999991</v>
      </c>
      <c r="Z22" s="42">
        <f t="shared" si="1"/>
        <v>12393</v>
      </c>
      <c r="AA22" s="42">
        <f t="shared" si="1"/>
        <v>276</v>
      </c>
      <c r="AB22" s="44">
        <f t="shared" si="1"/>
        <v>1111</v>
      </c>
      <c r="AC22" s="42">
        <f t="shared" si="1"/>
        <v>88079</v>
      </c>
      <c r="AD22" s="44">
        <f t="shared" si="1"/>
        <v>16364</v>
      </c>
      <c r="AE22" s="44">
        <f t="shared" si="1"/>
        <v>34570</v>
      </c>
      <c r="AF22" s="42">
        <f t="shared" si="1"/>
        <v>2135</v>
      </c>
      <c r="AG22" s="46">
        <f t="shared" si="1"/>
        <v>202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55672</v>
      </c>
      <c r="G24" s="52">
        <f t="shared" si="2"/>
        <v>9068.7403846153848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120981</v>
      </c>
      <c r="U24" s="52">
        <f t="shared" si="2"/>
        <v>18486.976744186046</v>
      </c>
      <c r="V24" s="51" t="e">
        <f t="shared" si="2"/>
        <v>#REF!</v>
      </c>
      <c r="W24" s="52">
        <f t="shared" si="2"/>
        <v>68888.09</v>
      </c>
      <c r="X24" s="51">
        <f t="shared" si="2"/>
        <v>0</v>
      </c>
      <c r="Y24" s="52">
        <f t="shared" si="2"/>
        <v>27904.989999999991</v>
      </c>
      <c r="Z24" s="51">
        <f t="shared" si="2"/>
        <v>12393</v>
      </c>
      <c r="AA24" s="51">
        <f t="shared" si="2"/>
        <v>276</v>
      </c>
      <c r="AB24" s="51">
        <f t="shared" si="2"/>
        <v>1111</v>
      </c>
      <c r="AC24" s="51">
        <f t="shared" si="2"/>
        <v>88079</v>
      </c>
      <c r="AD24" s="51">
        <f t="shared" si="2"/>
        <v>16364</v>
      </c>
      <c r="AE24" s="51">
        <f t="shared" si="2"/>
        <v>34570</v>
      </c>
      <c r="AF24" s="51">
        <f t="shared" si="2"/>
        <v>2135</v>
      </c>
      <c r="AG24" s="53">
        <f t="shared" si="2"/>
        <v>202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9807</v>
      </c>
      <c r="G25" s="32">
        <f>F25/200*25</f>
        <v>1225.875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9883</v>
      </c>
      <c r="U25" s="32">
        <f>T25/215*25</f>
        <v>1149.1860465116279</v>
      </c>
      <c r="V25" s="47"/>
      <c r="W25" s="35">
        <v>6640.4000000000005</v>
      </c>
      <c r="X25" s="47"/>
      <c r="Y25" s="55">
        <v>2779.9200000000005</v>
      </c>
      <c r="Z25" s="31">
        <v>1144</v>
      </c>
      <c r="AA25" s="38"/>
      <c r="AB25" s="47"/>
      <c r="AC25" s="38">
        <v>9991</v>
      </c>
      <c r="AD25" s="47"/>
      <c r="AE25" s="47">
        <v>4668</v>
      </c>
      <c r="AF25" s="38">
        <v>190</v>
      </c>
      <c r="AG25" s="56">
        <v>38</v>
      </c>
    </row>
    <row r="26" spans="1:35" s="4" customFormat="1" ht="100.5" customHeight="1" thickBot="1" x14ac:dyDescent="0.25">
      <c r="A26" s="57">
        <v>46061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45865</v>
      </c>
      <c r="G26" s="58">
        <f>G24-G25</f>
        <v>7842.8653846153848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111098</v>
      </c>
      <c r="U26" s="58">
        <f>U24-U25</f>
        <v>17337.79069767442</v>
      </c>
      <c r="V26" s="58" t="e">
        <f>V24-V25-#REF!</f>
        <v>#REF!</v>
      </c>
      <c r="W26" s="59">
        <f>W24-W25</f>
        <v>62247.689999999995</v>
      </c>
      <c r="X26" s="58" t="e">
        <f>X24-X25-#REF!</f>
        <v>#REF!</v>
      </c>
      <c r="Y26" s="59">
        <f t="shared" ref="Y26:AG26" si="3">Y24-Y25</f>
        <v>25125.069999999989</v>
      </c>
      <c r="Z26" s="58">
        <f t="shared" si="3"/>
        <v>11249</v>
      </c>
      <c r="AA26" s="58">
        <f t="shared" si="3"/>
        <v>276</v>
      </c>
      <c r="AB26" s="58">
        <f t="shared" si="3"/>
        <v>1111</v>
      </c>
      <c r="AC26" s="58">
        <f t="shared" si="3"/>
        <v>78088</v>
      </c>
      <c r="AD26" s="58">
        <f t="shared" si="3"/>
        <v>16364</v>
      </c>
      <c r="AE26" s="58">
        <f t="shared" si="3"/>
        <v>29902</v>
      </c>
      <c r="AF26" s="58">
        <f t="shared" si="3"/>
        <v>1945</v>
      </c>
      <c r="AG26" s="109">
        <f t="shared" si="3"/>
        <v>164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212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256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2" zoomScale="70" zoomScaleNormal="70" workbookViewId="0">
      <selection activeCell="AD24" sqref="AD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257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5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46062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12800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63855</v>
      </c>
      <c r="U20" s="34">
        <v>12344.418604651162</v>
      </c>
      <c r="V20" s="33" t="e">
        <v>#REF!</v>
      </c>
      <c r="W20" s="33">
        <v>41975</v>
      </c>
      <c r="X20" s="33">
        <v>0</v>
      </c>
      <c r="Y20" s="35">
        <v>16003.999999999993</v>
      </c>
      <c r="Z20" s="31">
        <v>8000</v>
      </c>
      <c r="AA20" s="31">
        <v>150</v>
      </c>
      <c r="AB20" s="34">
        <v>1111</v>
      </c>
      <c r="AC20" s="31">
        <v>27070</v>
      </c>
      <c r="AD20" s="33">
        <v>16364</v>
      </c>
      <c r="AE20" s="33">
        <v>9234</v>
      </c>
      <c r="AF20" s="31">
        <v>1065</v>
      </c>
      <c r="AG20" s="36">
        <v>100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33065</v>
      </c>
      <c r="G21" s="32">
        <f>F21/200*25</f>
        <v>4133.125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47243</v>
      </c>
      <c r="U21" s="32">
        <f>T21/215*25</f>
        <v>5493.3720930232557</v>
      </c>
      <c r="V21" s="38">
        <v>0</v>
      </c>
      <c r="W21" s="38">
        <v>20272.689999999995</v>
      </c>
      <c r="X21" s="38">
        <v>0</v>
      </c>
      <c r="Y21" s="38">
        <v>9121.0699999999979</v>
      </c>
      <c r="Z21" s="38">
        <v>3249</v>
      </c>
      <c r="AA21" s="38">
        <v>126</v>
      </c>
      <c r="AB21" s="38">
        <v>0</v>
      </c>
      <c r="AC21" s="38">
        <v>51018</v>
      </c>
      <c r="AD21" s="38">
        <v>0</v>
      </c>
      <c r="AE21" s="38">
        <v>20668</v>
      </c>
      <c r="AF21" s="38">
        <v>880</v>
      </c>
      <c r="AG21" s="56">
        <v>64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45865</v>
      </c>
      <c r="G22" s="43">
        <f t="shared" si="1"/>
        <v>9217.8653846153848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111098</v>
      </c>
      <c r="U22" s="43">
        <f t="shared" si="1"/>
        <v>17837.79069767442</v>
      </c>
      <c r="V22" s="44" t="e">
        <f t="shared" si="1"/>
        <v>#REF!</v>
      </c>
      <c r="W22" s="45">
        <f t="shared" si="1"/>
        <v>62247.689999999995</v>
      </c>
      <c r="X22" s="44">
        <f t="shared" si="1"/>
        <v>0</v>
      </c>
      <c r="Y22" s="43">
        <f t="shared" si="1"/>
        <v>25125.069999999992</v>
      </c>
      <c r="Z22" s="42">
        <f t="shared" si="1"/>
        <v>11249</v>
      </c>
      <c r="AA22" s="42">
        <f t="shared" si="1"/>
        <v>276</v>
      </c>
      <c r="AB22" s="44">
        <f t="shared" si="1"/>
        <v>1111</v>
      </c>
      <c r="AC22" s="42">
        <f t="shared" si="1"/>
        <v>78088</v>
      </c>
      <c r="AD22" s="44">
        <f t="shared" si="1"/>
        <v>16364</v>
      </c>
      <c r="AE22" s="44">
        <f t="shared" si="1"/>
        <v>29902</v>
      </c>
      <c r="AF22" s="42">
        <f t="shared" si="1"/>
        <v>1945</v>
      </c>
      <c r="AG22" s="46">
        <f t="shared" si="1"/>
        <v>164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15000</v>
      </c>
      <c r="X23" s="31"/>
      <c r="Y23" s="31">
        <v>10000</v>
      </c>
      <c r="Z23" s="31">
        <v>2000</v>
      </c>
      <c r="AA23" s="31"/>
      <c r="AB23" s="31"/>
      <c r="AC23" s="31">
        <v>17750</v>
      </c>
      <c r="AD23" s="31"/>
      <c r="AE23" s="48">
        <v>9000</v>
      </c>
      <c r="AF23" s="31"/>
      <c r="AG23" s="49">
        <v>40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65865</v>
      </c>
      <c r="G24" s="52">
        <f t="shared" si="2"/>
        <v>11717.865384615385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132598</v>
      </c>
      <c r="U24" s="52">
        <f t="shared" si="2"/>
        <v>20337.79069767442</v>
      </c>
      <c r="V24" s="51" t="e">
        <f t="shared" si="2"/>
        <v>#REF!</v>
      </c>
      <c r="W24" s="52">
        <f t="shared" si="2"/>
        <v>77247.69</v>
      </c>
      <c r="X24" s="51">
        <f t="shared" si="2"/>
        <v>0</v>
      </c>
      <c r="Y24" s="52">
        <f t="shared" si="2"/>
        <v>35125.069999999992</v>
      </c>
      <c r="Z24" s="51">
        <f t="shared" si="2"/>
        <v>13249</v>
      </c>
      <c r="AA24" s="51">
        <f t="shared" si="2"/>
        <v>276</v>
      </c>
      <c r="AB24" s="51">
        <f t="shared" si="2"/>
        <v>1111</v>
      </c>
      <c r="AC24" s="51">
        <f t="shared" si="2"/>
        <v>95838</v>
      </c>
      <c r="AD24" s="51">
        <f t="shared" si="2"/>
        <v>16364</v>
      </c>
      <c r="AE24" s="51">
        <f t="shared" si="2"/>
        <v>38902</v>
      </c>
      <c r="AF24" s="51">
        <f t="shared" si="2"/>
        <v>1945</v>
      </c>
      <c r="AG24" s="53">
        <f t="shared" si="2"/>
        <v>204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10396</v>
      </c>
      <c r="G25" s="32">
        <f>F25/200*25</f>
        <v>1299.5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11334</v>
      </c>
      <c r="U25" s="32">
        <f>T25/215*25</f>
        <v>1317.9069767441861</v>
      </c>
      <c r="V25" s="47"/>
      <c r="W25" s="35">
        <v>7815.9</v>
      </c>
      <c r="X25" s="47"/>
      <c r="Y25" s="55">
        <v>3103.1100000000006</v>
      </c>
      <c r="Z25" s="31">
        <v>1277</v>
      </c>
      <c r="AA25" s="38"/>
      <c r="AB25" s="47"/>
      <c r="AC25" s="38">
        <v>11084</v>
      </c>
      <c r="AD25" s="47"/>
      <c r="AE25" s="47">
        <v>5540</v>
      </c>
      <c r="AF25" s="38">
        <v>150</v>
      </c>
      <c r="AG25" s="56">
        <v>40</v>
      </c>
    </row>
    <row r="26" spans="1:35" s="4" customFormat="1" ht="100.5" customHeight="1" thickBot="1" x14ac:dyDescent="0.25">
      <c r="A26" s="57">
        <v>46068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55469</v>
      </c>
      <c r="G26" s="58">
        <f>G24-G25</f>
        <v>10418.365384615385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121264</v>
      </c>
      <c r="U26" s="58">
        <f>U24-U25</f>
        <v>19019.883720930233</v>
      </c>
      <c r="V26" s="58" t="e">
        <f>V24-V25-#REF!</f>
        <v>#REF!</v>
      </c>
      <c r="W26" s="59">
        <f>W24-W25</f>
        <v>69431.790000000008</v>
      </c>
      <c r="X26" s="58" t="e">
        <f>X24-X25-#REF!</f>
        <v>#REF!</v>
      </c>
      <c r="Y26" s="59">
        <f t="shared" ref="Y26:AG26" si="3">Y24-Y25</f>
        <v>32021.959999999992</v>
      </c>
      <c r="Z26" s="58">
        <f t="shared" si="3"/>
        <v>11972</v>
      </c>
      <c r="AA26" s="58">
        <f t="shared" si="3"/>
        <v>276</v>
      </c>
      <c r="AB26" s="58">
        <f t="shared" si="3"/>
        <v>1111</v>
      </c>
      <c r="AC26" s="58">
        <f t="shared" si="3"/>
        <v>84754</v>
      </c>
      <c r="AD26" s="58">
        <f t="shared" si="3"/>
        <v>16364</v>
      </c>
      <c r="AE26" s="58">
        <f t="shared" si="3"/>
        <v>33362</v>
      </c>
      <c r="AF26" s="58">
        <f t="shared" si="3"/>
        <v>1795</v>
      </c>
      <c r="AG26" s="109">
        <f t="shared" si="3"/>
        <v>164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212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155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5" zoomScale="70" zoomScaleNormal="70" workbookViewId="0">
      <selection activeCell="Z25" sqref="Z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258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6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46069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26800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70305</v>
      </c>
      <c r="U20" s="34">
        <v>12344.418604651162</v>
      </c>
      <c r="V20" s="33" t="e">
        <v>#REF!</v>
      </c>
      <c r="W20" s="33">
        <v>50225</v>
      </c>
      <c r="X20" s="33">
        <v>0</v>
      </c>
      <c r="Y20" s="35">
        <v>23452.499999999993</v>
      </c>
      <c r="Z20" s="31">
        <v>8950</v>
      </c>
      <c r="AA20" s="31">
        <v>150</v>
      </c>
      <c r="AB20" s="34">
        <v>1111</v>
      </c>
      <c r="AC20" s="31">
        <v>36320</v>
      </c>
      <c r="AD20" s="33">
        <v>16364</v>
      </c>
      <c r="AE20" s="33">
        <v>13734</v>
      </c>
      <c r="AF20" s="31">
        <v>615</v>
      </c>
      <c r="AG20" s="36">
        <v>100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28669</v>
      </c>
      <c r="G21" s="32">
        <f>F21/200*25</f>
        <v>3583.625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50959</v>
      </c>
      <c r="U21" s="32">
        <f>T21/215*25</f>
        <v>5925.4651162790697</v>
      </c>
      <c r="V21" s="38">
        <v>0</v>
      </c>
      <c r="W21" s="38">
        <v>19206.79</v>
      </c>
      <c r="X21" s="38">
        <v>0</v>
      </c>
      <c r="Y21" s="38">
        <v>8569.4599999999955</v>
      </c>
      <c r="Z21" s="38">
        <v>3022</v>
      </c>
      <c r="AA21" s="38">
        <v>126</v>
      </c>
      <c r="AB21" s="38">
        <v>0</v>
      </c>
      <c r="AC21" s="38">
        <v>48434</v>
      </c>
      <c r="AD21" s="38">
        <v>0</v>
      </c>
      <c r="AE21" s="38">
        <v>19628</v>
      </c>
      <c r="AF21" s="38">
        <v>1180</v>
      </c>
      <c r="AG21" s="56">
        <v>64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55469</v>
      </c>
      <c r="G22" s="43">
        <f t="shared" si="1"/>
        <v>8668.3653846153848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121264</v>
      </c>
      <c r="U22" s="43">
        <f t="shared" si="1"/>
        <v>18269.883720930233</v>
      </c>
      <c r="V22" s="44" t="e">
        <f t="shared" si="1"/>
        <v>#REF!</v>
      </c>
      <c r="W22" s="45">
        <f t="shared" si="1"/>
        <v>69431.790000000008</v>
      </c>
      <c r="X22" s="44">
        <f t="shared" si="1"/>
        <v>0</v>
      </c>
      <c r="Y22" s="43">
        <f t="shared" si="1"/>
        <v>32021.959999999988</v>
      </c>
      <c r="Z22" s="42">
        <f t="shared" si="1"/>
        <v>11972</v>
      </c>
      <c r="AA22" s="42">
        <f t="shared" si="1"/>
        <v>276</v>
      </c>
      <c r="AB22" s="44">
        <f t="shared" si="1"/>
        <v>1111</v>
      </c>
      <c r="AC22" s="42">
        <f t="shared" si="1"/>
        <v>84754</v>
      </c>
      <c r="AD22" s="44">
        <f t="shared" si="1"/>
        <v>16364</v>
      </c>
      <c r="AE22" s="44">
        <f t="shared" si="1"/>
        <v>33362</v>
      </c>
      <c r="AF22" s="42">
        <f t="shared" si="1"/>
        <v>1795</v>
      </c>
      <c r="AG22" s="46">
        <f t="shared" si="1"/>
        <v>164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55469</v>
      </c>
      <c r="G24" s="52">
        <f t="shared" si="2"/>
        <v>8668.3653846153848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121264</v>
      </c>
      <c r="U24" s="52">
        <f t="shared" si="2"/>
        <v>18269.883720930233</v>
      </c>
      <c r="V24" s="51" t="e">
        <f t="shared" si="2"/>
        <v>#REF!</v>
      </c>
      <c r="W24" s="52">
        <f t="shared" si="2"/>
        <v>69431.790000000008</v>
      </c>
      <c r="X24" s="51">
        <f t="shared" si="2"/>
        <v>0</v>
      </c>
      <c r="Y24" s="52">
        <f t="shared" si="2"/>
        <v>32021.959999999988</v>
      </c>
      <c r="Z24" s="51">
        <f t="shared" si="2"/>
        <v>11972</v>
      </c>
      <c r="AA24" s="51">
        <f t="shared" si="2"/>
        <v>276</v>
      </c>
      <c r="AB24" s="51">
        <f t="shared" si="2"/>
        <v>1111</v>
      </c>
      <c r="AC24" s="51">
        <f t="shared" si="2"/>
        <v>84754</v>
      </c>
      <c r="AD24" s="51">
        <f t="shared" si="2"/>
        <v>16364</v>
      </c>
      <c r="AE24" s="51">
        <f t="shared" si="2"/>
        <v>33362</v>
      </c>
      <c r="AF24" s="51">
        <f t="shared" si="2"/>
        <v>1795</v>
      </c>
      <c r="AG24" s="53">
        <f t="shared" si="2"/>
        <v>164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10350</v>
      </c>
      <c r="G25" s="32">
        <f>F25/200*25</f>
        <v>1293.75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8523</v>
      </c>
      <c r="U25" s="32">
        <f>T25/215*25</f>
        <v>991.04651162790697</v>
      </c>
      <c r="V25" s="47"/>
      <c r="W25" s="35">
        <v>8192.6</v>
      </c>
      <c r="X25" s="47"/>
      <c r="Y25" s="55">
        <v>2517.48</v>
      </c>
      <c r="Z25" s="31">
        <v>1036</v>
      </c>
      <c r="AA25" s="38">
        <v>1</v>
      </c>
      <c r="AB25" s="47"/>
      <c r="AC25" s="38">
        <v>9072</v>
      </c>
      <c r="AD25" s="47"/>
      <c r="AE25" s="47">
        <v>4525</v>
      </c>
      <c r="AF25" s="38"/>
      <c r="AG25" s="56">
        <v>36</v>
      </c>
    </row>
    <row r="26" spans="1:35" s="4" customFormat="1" ht="100.5" customHeight="1" thickBot="1" x14ac:dyDescent="0.25">
      <c r="A26" s="57">
        <v>46075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45119</v>
      </c>
      <c r="G26" s="58">
        <f>G24-G25</f>
        <v>7374.6153846153848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112741</v>
      </c>
      <c r="U26" s="58">
        <f>U24-U25</f>
        <v>17278.837209302324</v>
      </c>
      <c r="V26" s="58" t="e">
        <f>V24-V25-#REF!</f>
        <v>#REF!</v>
      </c>
      <c r="W26" s="59">
        <f>W24-W25</f>
        <v>61239.19000000001</v>
      </c>
      <c r="X26" s="58" t="e">
        <f>X24-X25-#REF!</f>
        <v>#REF!</v>
      </c>
      <c r="Y26" s="59">
        <f t="shared" ref="Y26:AG26" si="3">Y24-Y25</f>
        <v>29504.479999999989</v>
      </c>
      <c r="Z26" s="58">
        <f t="shared" si="3"/>
        <v>10936</v>
      </c>
      <c r="AA26" s="58">
        <f t="shared" si="3"/>
        <v>275</v>
      </c>
      <c r="AB26" s="58">
        <f t="shared" si="3"/>
        <v>1111</v>
      </c>
      <c r="AC26" s="58">
        <f t="shared" si="3"/>
        <v>75682</v>
      </c>
      <c r="AD26" s="58">
        <f t="shared" si="3"/>
        <v>16364</v>
      </c>
      <c r="AE26" s="58">
        <f t="shared" si="3"/>
        <v>28837</v>
      </c>
      <c r="AF26" s="58">
        <f t="shared" si="3"/>
        <v>1795</v>
      </c>
      <c r="AG26" s="109">
        <f t="shared" si="3"/>
        <v>128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212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155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31" zoomScale="70" zoomScaleNormal="70" workbookViewId="0">
      <selection activeCell="Z34" sqref="Z3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259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7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46076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19800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68155</v>
      </c>
      <c r="U20" s="34">
        <v>12344.418604651162</v>
      </c>
      <c r="V20" s="33" t="e">
        <v>#REF!</v>
      </c>
      <c r="W20" s="33">
        <v>41600</v>
      </c>
      <c r="X20" s="33">
        <v>0</v>
      </c>
      <c r="Y20" s="35">
        <v>21629.999999999993</v>
      </c>
      <c r="Z20" s="31">
        <v>8200</v>
      </c>
      <c r="AA20" s="31">
        <v>150</v>
      </c>
      <c r="AB20" s="34">
        <v>1111</v>
      </c>
      <c r="AC20" s="31">
        <v>24320</v>
      </c>
      <c r="AD20" s="33">
        <v>16364</v>
      </c>
      <c r="AE20" s="33">
        <v>11034</v>
      </c>
      <c r="AF20" s="31">
        <v>615</v>
      </c>
      <c r="AG20" s="36">
        <v>50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25319</v>
      </c>
      <c r="G21" s="32">
        <f>F21/200*25</f>
        <v>3164.875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44586</v>
      </c>
      <c r="U21" s="32">
        <f>T21/215*25</f>
        <v>5184.4186046511632</v>
      </c>
      <c r="V21" s="38">
        <v>0</v>
      </c>
      <c r="W21" s="38">
        <v>19639.190000000002</v>
      </c>
      <c r="X21" s="38">
        <v>0</v>
      </c>
      <c r="Y21" s="38">
        <v>7874.4799999999941</v>
      </c>
      <c r="Z21" s="38">
        <v>2736</v>
      </c>
      <c r="AA21" s="38">
        <v>125</v>
      </c>
      <c r="AB21" s="38">
        <v>0</v>
      </c>
      <c r="AC21" s="38">
        <v>51362</v>
      </c>
      <c r="AD21" s="38">
        <v>0</v>
      </c>
      <c r="AE21" s="38">
        <v>17803</v>
      </c>
      <c r="AF21" s="38">
        <v>1180</v>
      </c>
      <c r="AG21" s="56">
        <v>78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45119</v>
      </c>
      <c r="G22" s="43">
        <f t="shared" si="1"/>
        <v>8249.6153846153848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112741</v>
      </c>
      <c r="U22" s="43">
        <f t="shared" si="1"/>
        <v>17528.837209302324</v>
      </c>
      <c r="V22" s="44" t="e">
        <f t="shared" si="1"/>
        <v>#REF!</v>
      </c>
      <c r="W22" s="45">
        <f t="shared" si="1"/>
        <v>61239.19</v>
      </c>
      <c r="X22" s="44">
        <f t="shared" si="1"/>
        <v>0</v>
      </c>
      <c r="Y22" s="43">
        <f t="shared" si="1"/>
        <v>29504.479999999989</v>
      </c>
      <c r="Z22" s="42">
        <f t="shared" si="1"/>
        <v>10936</v>
      </c>
      <c r="AA22" s="42">
        <f t="shared" si="1"/>
        <v>275</v>
      </c>
      <c r="AB22" s="44">
        <f t="shared" si="1"/>
        <v>1111</v>
      </c>
      <c r="AC22" s="42">
        <f t="shared" si="1"/>
        <v>75682</v>
      </c>
      <c r="AD22" s="44">
        <f t="shared" si="1"/>
        <v>16364</v>
      </c>
      <c r="AE22" s="44">
        <f t="shared" si="1"/>
        <v>28837</v>
      </c>
      <c r="AF22" s="42">
        <f t="shared" si="1"/>
        <v>1795</v>
      </c>
      <c r="AG22" s="46">
        <f t="shared" si="1"/>
        <v>128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15000</v>
      </c>
      <c r="G23" s="32">
        <f>F23/200*25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16125</v>
      </c>
      <c r="U23" s="32">
        <f>T23/215*25</f>
        <v>1875</v>
      </c>
      <c r="V23" s="31"/>
      <c r="W23" s="31">
        <v>15000</v>
      </c>
      <c r="X23" s="31"/>
      <c r="Y23" s="31">
        <v>5000</v>
      </c>
      <c r="Z23" s="31">
        <v>2000</v>
      </c>
      <c r="AA23" s="31"/>
      <c r="AB23" s="31"/>
      <c r="AC23" s="31">
        <v>14500</v>
      </c>
      <c r="AD23" s="31"/>
      <c r="AE23" s="48">
        <v>5400</v>
      </c>
      <c r="AF23" s="31">
        <v>600</v>
      </c>
      <c r="AG23" s="49">
        <v>120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60119</v>
      </c>
      <c r="G24" s="52">
        <f t="shared" si="2"/>
        <v>10124.615384615385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128866</v>
      </c>
      <c r="U24" s="52">
        <f t="shared" si="2"/>
        <v>19403.837209302324</v>
      </c>
      <c r="V24" s="51" t="e">
        <f t="shared" si="2"/>
        <v>#REF!</v>
      </c>
      <c r="W24" s="52">
        <f t="shared" si="2"/>
        <v>76239.19</v>
      </c>
      <c r="X24" s="51">
        <f t="shared" si="2"/>
        <v>0</v>
      </c>
      <c r="Y24" s="52">
        <f t="shared" si="2"/>
        <v>34504.479999999989</v>
      </c>
      <c r="Z24" s="51">
        <f t="shared" si="2"/>
        <v>12936</v>
      </c>
      <c r="AA24" s="51">
        <f t="shared" si="2"/>
        <v>275</v>
      </c>
      <c r="AB24" s="51">
        <f t="shared" si="2"/>
        <v>1111</v>
      </c>
      <c r="AC24" s="51">
        <f t="shared" si="2"/>
        <v>90182</v>
      </c>
      <c r="AD24" s="51">
        <f t="shared" si="2"/>
        <v>16364</v>
      </c>
      <c r="AE24" s="51">
        <f t="shared" si="2"/>
        <v>34237</v>
      </c>
      <c r="AF24" s="51">
        <f t="shared" si="2"/>
        <v>2395</v>
      </c>
      <c r="AG24" s="53">
        <f t="shared" si="2"/>
        <v>248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10192</v>
      </c>
      <c r="G25" s="32">
        <f>F25/200*25</f>
        <v>1274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11045</v>
      </c>
      <c r="U25" s="32">
        <f>T25/215*25</f>
        <v>1284.3023255813953</v>
      </c>
      <c r="V25" s="47"/>
      <c r="W25" s="35">
        <v>6959.85</v>
      </c>
      <c r="X25" s="47"/>
      <c r="Y25" s="55">
        <v>2911.1400000000003</v>
      </c>
      <c r="Z25" s="31">
        <v>1198</v>
      </c>
      <c r="AA25" s="38"/>
      <c r="AB25" s="47"/>
      <c r="AC25" s="38">
        <v>10217</v>
      </c>
      <c r="AD25" s="47"/>
      <c r="AE25" s="47">
        <v>4945</v>
      </c>
      <c r="AF25" s="38"/>
      <c r="AG25" s="56">
        <v>46</v>
      </c>
    </row>
    <row r="26" spans="1:35" s="4" customFormat="1" ht="100.5" customHeight="1" thickBot="1" x14ac:dyDescent="0.25">
      <c r="A26" s="57">
        <v>46082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49927</v>
      </c>
      <c r="G26" s="58">
        <f>G24-G25</f>
        <v>8850.6153846153848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117821</v>
      </c>
      <c r="U26" s="58">
        <f>U24-U25</f>
        <v>18119.534883720928</v>
      </c>
      <c r="V26" s="58" t="e">
        <f>V24-V25-#REF!</f>
        <v>#REF!</v>
      </c>
      <c r="W26" s="59">
        <f>W24-W25</f>
        <v>69279.34</v>
      </c>
      <c r="X26" s="58" t="e">
        <f>X24-X25-#REF!</f>
        <v>#REF!</v>
      </c>
      <c r="Y26" s="59">
        <f t="shared" ref="Y26:AG26" si="3">Y24-Y25</f>
        <v>31593.339999999989</v>
      </c>
      <c r="Z26" s="58">
        <f t="shared" si="3"/>
        <v>11738</v>
      </c>
      <c r="AA26" s="58">
        <f t="shared" si="3"/>
        <v>275</v>
      </c>
      <c r="AB26" s="58">
        <f t="shared" si="3"/>
        <v>1111</v>
      </c>
      <c r="AC26" s="58">
        <f t="shared" si="3"/>
        <v>79965</v>
      </c>
      <c r="AD26" s="58">
        <f t="shared" si="3"/>
        <v>16364</v>
      </c>
      <c r="AE26" s="58">
        <f t="shared" si="3"/>
        <v>29292</v>
      </c>
      <c r="AF26" s="58">
        <f t="shared" si="3"/>
        <v>2395</v>
      </c>
      <c r="AG26" s="109">
        <f t="shared" si="3"/>
        <v>202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212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2" zoomScale="70" zoomScaleNormal="70" workbookViewId="0">
      <selection activeCell="AA28" sqref="AA28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261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8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46083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28800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77400</v>
      </c>
      <c r="U20" s="34">
        <v>12344.418604651162</v>
      </c>
      <c r="V20" s="33" t="e">
        <v>#REF!</v>
      </c>
      <c r="W20" s="33">
        <v>51000</v>
      </c>
      <c r="X20" s="33">
        <v>0</v>
      </c>
      <c r="Y20" s="35">
        <v>24301.559999999994</v>
      </c>
      <c r="Z20" s="31">
        <v>9242</v>
      </c>
      <c r="AA20" s="31">
        <v>180</v>
      </c>
      <c r="AB20" s="34">
        <v>1111</v>
      </c>
      <c r="AC20" s="31">
        <v>31980</v>
      </c>
      <c r="AD20" s="33">
        <v>16364</v>
      </c>
      <c r="AE20" s="33">
        <v>11263</v>
      </c>
      <c r="AF20" s="31">
        <v>1515</v>
      </c>
      <c r="AG20" s="36">
        <v>144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21127</v>
      </c>
      <c r="G21" s="32">
        <f>F21/200*25</f>
        <v>2640.875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40421</v>
      </c>
      <c r="U21" s="32">
        <f>T21/215*25</f>
        <v>4700.1162790697681</v>
      </c>
      <c r="V21" s="38">
        <v>0</v>
      </c>
      <c r="W21" s="38">
        <v>18279.340000000004</v>
      </c>
      <c r="X21" s="38">
        <v>0</v>
      </c>
      <c r="Y21" s="38">
        <v>7291.7799999999943</v>
      </c>
      <c r="Z21" s="38">
        <v>2496</v>
      </c>
      <c r="AA21" s="38">
        <v>95</v>
      </c>
      <c r="AB21" s="38">
        <v>0</v>
      </c>
      <c r="AC21" s="38">
        <v>47985</v>
      </c>
      <c r="AD21" s="38">
        <v>0</v>
      </c>
      <c r="AE21" s="38">
        <v>18029</v>
      </c>
      <c r="AF21" s="38">
        <v>880</v>
      </c>
      <c r="AG21" s="56">
        <v>58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49927</v>
      </c>
      <c r="G22" s="43">
        <f t="shared" si="1"/>
        <v>7725.6153846153848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117821</v>
      </c>
      <c r="U22" s="43">
        <f t="shared" si="1"/>
        <v>17044.534883720931</v>
      </c>
      <c r="V22" s="44" t="e">
        <f t="shared" si="1"/>
        <v>#REF!</v>
      </c>
      <c r="W22" s="45">
        <f t="shared" si="1"/>
        <v>69279.34</v>
      </c>
      <c r="X22" s="44">
        <f t="shared" si="1"/>
        <v>0</v>
      </c>
      <c r="Y22" s="43">
        <f t="shared" si="1"/>
        <v>31593.339999999989</v>
      </c>
      <c r="Z22" s="42">
        <f t="shared" si="1"/>
        <v>11738</v>
      </c>
      <c r="AA22" s="42">
        <f t="shared" si="1"/>
        <v>275</v>
      </c>
      <c r="AB22" s="44">
        <f t="shared" si="1"/>
        <v>1111</v>
      </c>
      <c r="AC22" s="42">
        <f t="shared" si="1"/>
        <v>79965</v>
      </c>
      <c r="AD22" s="44">
        <f t="shared" si="1"/>
        <v>16364</v>
      </c>
      <c r="AE22" s="44">
        <f t="shared" si="1"/>
        <v>29292</v>
      </c>
      <c r="AF22" s="42">
        <f t="shared" si="1"/>
        <v>2395</v>
      </c>
      <c r="AG22" s="46">
        <f t="shared" si="1"/>
        <v>202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49927</v>
      </c>
      <c r="G24" s="52">
        <f t="shared" si="2"/>
        <v>7725.6153846153848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117821</v>
      </c>
      <c r="U24" s="52">
        <f t="shared" si="2"/>
        <v>17044.534883720931</v>
      </c>
      <c r="V24" s="51" t="e">
        <f t="shared" si="2"/>
        <v>#REF!</v>
      </c>
      <c r="W24" s="52">
        <f t="shared" si="2"/>
        <v>69279.34</v>
      </c>
      <c r="X24" s="51">
        <f t="shared" si="2"/>
        <v>0</v>
      </c>
      <c r="Y24" s="52">
        <f t="shared" si="2"/>
        <v>31593.339999999989</v>
      </c>
      <c r="Z24" s="51">
        <f t="shared" si="2"/>
        <v>11738</v>
      </c>
      <c r="AA24" s="51">
        <f t="shared" si="2"/>
        <v>275</v>
      </c>
      <c r="AB24" s="51">
        <f t="shared" si="2"/>
        <v>1111</v>
      </c>
      <c r="AC24" s="51">
        <f t="shared" si="2"/>
        <v>79965</v>
      </c>
      <c r="AD24" s="51">
        <f t="shared" si="2"/>
        <v>16364</v>
      </c>
      <c r="AE24" s="51">
        <f t="shared" si="2"/>
        <v>29292</v>
      </c>
      <c r="AF24" s="51">
        <f t="shared" si="2"/>
        <v>2395</v>
      </c>
      <c r="AG24" s="53">
        <f t="shared" si="2"/>
        <v>202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13560</v>
      </c>
      <c r="G25" s="32">
        <f>F25/200*25</f>
        <v>1695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10549</v>
      </c>
      <c r="U25" s="32">
        <f>T25/215*25</f>
        <v>1226.6279069767443</v>
      </c>
      <c r="V25" s="47"/>
      <c r="W25" s="35">
        <v>7704.4000000000005</v>
      </c>
      <c r="X25" s="47"/>
      <c r="Y25" s="55">
        <v>3307.2300000000005</v>
      </c>
      <c r="Z25" s="31">
        <v>1361</v>
      </c>
      <c r="AA25" s="38"/>
      <c r="AB25" s="47"/>
      <c r="AC25" s="38">
        <v>11800</v>
      </c>
      <c r="AD25" s="47"/>
      <c r="AE25" s="47">
        <v>5384</v>
      </c>
      <c r="AF25" s="38"/>
      <c r="AG25" s="56">
        <v>30</v>
      </c>
    </row>
    <row r="26" spans="1:35" s="4" customFormat="1" ht="100.5" customHeight="1" thickBot="1" x14ac:dyDescent="0.25">
      <c r="A26" s="57">
        <v>46089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36367</v>
      </c>
      <c r="G26" s="58">
        <f>G24-G25</f>
        <v>6030.6153846153848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107272</v>
      </c>
      <c r="U26" s="58">
        <f>U24-U25</f>
        <v>15817.906976744187</v>
      </c>
      <c r="V26" s="58" t="e">
        <f>V24-V25-#REF!</f>
        <v>#REF!</v>
      </c>
      <c r="W26" s="59">
        <f>W24-W25</f>
        <v>61574.939999999995</v>
      </c>
      <c r="X26" s="58" t="e">
        <f>X24-X25-#REF!</f>
        <v>#REF!</v>
      </c>
      <c r="Y26" s="59">
        <f t="shared" ref="Y26:AG26" si="3">Y24-Y25</f>
        <v>28286.10999999999</v>
      </c>
      <c r="Z26" s="58">
        <f t="shared" si="3"/>
        <v>10377</v>
      </c>
      <c r="AA26" s="58">
        <f t="shared" si="3"/>
        <v>275</v>
      </c>
      <c r="AB26" s="58">
        <f t="shared" si="3"/>
        <v>1111</v>
      </c>
      <c r="AC26" s="58">
        <f t="shared" si="3"/>
        <v>68165</v>
      </c>
      <c r="AD26" s="58">
        <f t="shared" si="3"/>
        <v>16364</v>
      </c>
      <c r="AE26" s="58">
        <f t="shared" si="3"/>
        <v>23908</v>
      </c>
      <c r="AF26" s="58">
        <f t="shared" si="3"/>
        <v>2395</v>
      </c>
      <c r="AG26" s="109">
        <f t="shared" si="3"/>
        <v>172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66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61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2" zoomScale="70" zoomScaleNormal="70" workbookViewId="0">
      <selection activeCell="A35" sqref="A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262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19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46090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15800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70950</v>
      </c>
      <c r="U20" s="34">
        <v>12344.418604651162</v>
      </c>
      <c r="V20" s="33" t="e">
        <v>#REF!</v>
      </c>
      <c r="W20" s="33">
        <v>45475</v>
      </c>
      <c r="X20" s="33">
        <v>0</v>
      </c>
      <c r="Y20" s="35">
        <v>21871.559999999994</v>
      </c>
      <c r="Z20" s="31">
        <v>8242</v>
      </c>
      <c r="AA20" s="31">
        <v>180</v>
      </c>
      <c r="AB20" s="34">
        <v>1111</v>
      </c>
      <c r="AC20" s="31">
        <v>22230</v>
      </c>
      <c r="AD20" s="33">
        <v>16364</v>
      </c>
      <c r="AE20" s="33">
        <v>7663</v>
      </c>
      <c r="AF20" s="31">
        <v>1515</v>
      </c>
      <c r="AG20" s="36">
        <v>90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20567</v>
      </c>
      <c r="G21" s="32">
        <f>F21/200*25</f>
        <v>2570.875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36322</v>
      </c>
      <c r="U21" s="32">
        <f>T21/215*25</f>
        <v>4223.4883720930238</v>
      </c>
      <c r="V21" s="38">
        <v>0</v>
      </c>
      <c r="W21" s="38">
        <v>16099.94</v>
      </c>
      <c r="X21" s="38">
        <v>0</v>
      </c>
      <c r="Y21" s="38">
        <v>6414.5499999999947</v>
      </c>
      <c r="Z21" s="38">
        <v>2135</v>
      </c>
      <c r="AA21" s="38">
        <v>95</v>
      </c>
      <c r="AB21" s="38">
        <v>0</v>
      </c>
      <c r="AC21" s="38">
        <v>45935</v>
      </c>
      <c r="AD21" s="38">
        <v>0</v>
      </c>
      <c r="AE21" s="38">
        <v>16245</v>
      </c>
      <c r="AF21" s="38">
        <v>880</v>
      </c>
      <c r="AG21" s="56">
        <v>82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36367</v>
      </c>
      <c r="G22" s="43">
        <f t="shared" si="1"/>
        <v>7655.6153846153848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107272</v>
      </c>
      <c r="U22" s="43">
        <f t="shared" si="1"/>
        <v>16567.906976744187</v>
      </c>
      <c r="V22" s="44" t="e">
        <f t="shared" si="1"/>
        <v>#REF!</v>
      </c>
      <c r="W22" s="45">
        <f t="shared" si="1"/>
        <v>61574.94</v>
      </c>
      <c r="X22" s="44">
        <f t="shared" si="1"/>
        <v>0</v>
      </c>
      <c r="Y22" s="43">
        <f t="shared" si="1"/>
        <v>28286.10999999999</v>
      </c>
      <c r="Z22" s="42">
        <f t="shared" si="1"/>
        <v>10377</v>
      </c>
      <c r="AA22" s="42">
        <f t="shared" si="1"/>
        <v>275</v>
      </c>
      <c r="AB22" s="44">
        <f t="shared" si="1"/>
        <v>1111</v>
      </c>
      <c r="AC22" s="42">
        <f t="shared" si="1"/>
        <v>68165</v>
      </c>
      <c r="AD22" s="44">
        <f t="shared" si="1"/>
        <v>16364</v>
      </c>
      <c r="AE22" s="44">
        <f t="shared" si="1"/>
        <v>23908</v>
      </c>
      <c r="AF22" s="42">
        <f t="shared" si="1"/>
        <v>2395</v>
      </c>
      <c r="AG22" s="46">
        <f t="shared" si="1"/>
        <v>172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>
        <v>10000</v>
      </c>
      <c r="G23" s="32">
        <f>F23/200*25</f>
        <v>1250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10750</v>
      </c>
      <c r="U23" s="32">
        <f>T23/215*25</f>
        <v>1250</v>
      </c>
      <c r="V23" s="31"/>
      <c r="W23" s="31">
        <v>15000</v>
      </c>
      <c r="X23" s="31"/>
      <c r="Y23" s="31">
        <v>2000</v>
      </c>
      <c r="Z23" s="31">
        <v>1000</v>
      </c>
      <c r="AA23" s="31"/>
      <c r="AB23" s="31"/>
      <c r="AC23" s="31">
        <v>18500</v>
      </c>
      <c r="AD23" s="31"/>
      <c r="AE23" s="48">
        <v>10400</v>
      </c>
      <c r="AF23" s="31"/>
      <c r="AG23" s="49">
        <v>60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46367</v>
      </c>
      <c r="G24" s="52">
        <f t="shared" si="2"/>
        <v>8905.6153846153848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118022</v>
      </c>
      <c r="U24" s="52">
        <f t="shared" si="2"/>
        <v>17817.906976744187</v>
      </c>
      <c r="V24" s="51" t="e">
        <f t="shared" si="2"/>
        <v>#REF!</v>
      </c>
      <c r="W24" s="52">
        <f t="shared" si="2"/>
        <v>76574.94</v>
      </c>
      <c r="X24" s="51">
        <f t="shared" si="2"/>
        <v>0</v>
      </c>
      <c r="Y24" s="52">
        <f t="shared" si="2"/>
        <v>30286.10999999999</v>
      </c>
      <c r="Z24" s="51">
        <f t="shared" si="2"/>
        <v>11377</v>
      </c>
      <c r="AA24" s="51">
        <f t="shared" si="2"/>
        <v>275</v>
      </c>
      <c r="AB24" s="51">
        <f t="shared" si="2"/>
        <v>1111</v>
      </c>
      <c r="AC24" s="51">
        <f t="shared" si="2"/>
        <v>86665</v>
      </c>
      <c r="AD24" s="51">
        <f t="shared" si="2"/>
        <v>16364</v>
      </c>
      <c r="AE24" s="51">
        <f t="shared" si="2"/>
        <v>34308</v>
      </c>
      <c r="AF24" s="51">
        <f t="shared" si="2"/>
        <v>2395</v>
      </c>
      <c r="AG24" s="53">
        <f t="shared" si="2"/>
        <v>232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12615</v>
      </c>
      <c r="G25" s="32">
        <f>F25/200*25</f>
        <v>1576.875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10035</v>
      </c>
      <c r="U25" s="32">
        <f>T25/215*25</f>
        <v>1166.8604651162791</v>
      </c>
      <c r="V25" s="47"/>
      <c r="W25" s="35">
        <v>7572.02</v>
      </c>
      <c r="X25" s="47"/>
      <c r="Y25" s="55">
        <v>3139.56</v>
      </c>
      <c r="Z25" s="31">
        <v>1292</v>
      </c>
      <c r="AA25" s="38"/>
      <c r="AB25" s="47"/>
      <c r="AC25" s="38">
        <v>11418</v>
      </c>
      <c r="AD25" s="47"/>
      <c r="AE25" s="47">
        <v>5290</v>
      </c>
      <c r="AF25" s="38"/>
      <c r="AG25" s="56">
        <v>28</v>
      </c>
    </row>
    <row r="26" spans="1:35" s="4" customFormat="1" ht="100.5" customHeight="1" thickBot="1" x14ac:dyDescent="0.25">
      <c r="A26" s="57">
        <v>46096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33752</v>
      </c>
      <c r="G26" s="58">
        <f>G24-G25</f>
        <v>7328.7403846153848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107987</v>
      </c>
      <c r="U26" s="58">
        <f>U24-U25</f>
        <v>16651.046511627908</v>
      </c>
      <c r="V26" s="58" t="e">
        <f>V24-V25-#REF!</f>
        <v>#REF!</v>
      </c>
      <c r="W26" s="59">
        <f>W24-W25</f>
        <v>69002.92</v>
      </c>
      <c r="X26" s="58" t="e">
        <f>X24-X25-#REF!</f>
        <v>#REF!</v>
      </c>
      <c r="Y26" s="59">
        <f t="shared" ref="Y26:AG26" si="3">Y24-Y25</f>
        <v>27146.549999999988</v>
      </c>
      <c r="Z26" s="58">
        <f t="shared" si="3"/>
        <v>10085</v>
      </c>
      <c r="AA26" s="58">
        <f t="shared" si="3"/>
        <v>275</v>
      </c>
      <c r="AB26" s="58">
        <f t="shared" si="3"/>
        <v>1111</v>
      </c>
      <c r="AC26" s="58">
        <f t="shared" si="3"/>
        <v>75247</v>
      </c>
      <c r="AD26" s="58">
        <f t="shared" si="3"/>
        <v>16364</v>
      </c>
      <c r="AE26" s="58">
        <f t="shared" si="3"/>
        <v>29018</v>
      </c>
      <c r="AF26" s="58">
        <f t="shared" si="3"/>
        <v>2395</v>
      </c>
      <c r="AG26" s="109">
        <f t="shared" si="3"/>
        <v>204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66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61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2" zoomScale="70" zoomScaleNormal="70" workbookViewId="0">
      <selection activeCell="A35" sqref="A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263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20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46097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11800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66650</v>
      </c>
      <c r="U20" s="34">
        <v>12344.418604651162</v>
      </c>
      <c r="V20" s="33" t="e">
        <v>#REF!</v>
      </c>
      <c r="W20" s="33">
        <v>50975</v>
      </c>
      <c r="X20" s="33">
        <v>0</v>
      </c>
      <c r="Y20" s="35">
        <v>18768.559999999994</v>
      </c>
      <c r="Z20" s="31">
        <v>7142</v>
      </c>
      <c r="AA20" s="31">
        <v>180</v>
      </c>
      <c r="AB20" s="34">
        <v>1111</v>
      </c>
      <c r="AC20" s="31">
        <v>27730</v>
      </c>
      <c r="AD20" s="33">
        <v>16364</v>
      </c>
      <c r="AE20" s="33">
        <v>10863</v>
      </c>
      <c r="AF20" s="31">
        <v>1515</v>
      </c>
      <c r="AG20" s="36">
        <v>120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21952</v>
      </c>
      <c r="G21" s="32">
        <f>F21/200*25</f>
        <v>2744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41337</v>
      </c>
      <c r="U21" s="32">
        <f>T21/215*25</f>
        <v>4806.6279069767443</v>
      </c>
      <c r="V21" s="38">
        <v>0</v>
      </c>
      <c r="W21" s="38">
        <v>18027.920000000002</v>
      </c>
      <c r="X21" s="38">
        <v>0</v>
      </c>
      <c r="Y21" s="38">
        <v>8377.9899999999925</v>
      </c>
      <c r="Z21" s="38">
        <v>2943</v>
      </c>
      <c r="AA21" s="38">
        <v>95</v>
      </c>
      <c r="AB21" s="38">
        <v>0</v>
      </c>
      <c r="AC21" s="38">
        <v>47517</v>
      </c>
      <c r="AD21" s="38">
        <v>0</v>
      </c>
      <c r="AE21" s="38">
        <v>18155</v>
      </c>
      <c r="AF21" s="38">
        <v>880</v>
      </c>
      <c r="AG21" s="56">
        <v>84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33752</v>
      </c>
      <c r="G22" s="43">
        <f t="shared" si="1"/>
        <v>7828.7403846153848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107987</v>
      </c>
      <c r="U22" s="43">
        <f t="shared" si="1"/>
        <v>17151.046511627908</v>
      </c>
      <c r="V22" s="44" t="e">
        <f t="shared" si="1"/>
        <v>#REF!</v>
      </c>
      <c r="W22" s="45">
        <f t="shared" si="1"/>
        <v>69002.92</v>
      </c>
      <c r="X22" s="44">
        <f t="shared" si="1"/>
        <v>0</v>
      </c>
      <c r="Y22" s="43">
        <f t="shared" si="1"/>
        <v>27146.549999999988</v>
      </c>
      <c r="Z22" s="42">
        <f t="shared" si="1"/>
        <v>10085</v>
      </c>
      <c r="AA22" s="42">
        <f t="shared" si="1"/>
        <v>275</v>
      </c>
      <c r="AB22" s="44">
        <f t="shared" si="1"/>
        <v>1111</v>
      </c>
      <c r="AC22" s="42">
        <f t="shared" si="1"/>
        <v>75247</v>
      </c>
      <c r="AD22" s="44">
        <f t="shared" si="1"/>
        <v>16364</v>
      </c>
      <c r="AE22" s="44">
        <f t="shared" si="1"/>
        <v>29018</v>
      </c>
      <c r="AF22" s="42">
        <f t="shared" si="1"/>
        <v>2395</v>
      </c>
      <c r="AG22" s="46">
        <f t="shared" si="1"/>
        <v>204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32250</v>
      </c>
      <c r="U23" s="32">
        <f>T23/215*25</f>
        <v>3750</v>
      </c>
      <c r="V23" s="31"/>
      <c r="W23" s="31">
        <v>15000</v>
      </c>
      <c r="X23" s="31"/>
      <c r="Y23" s="31">
        <v>2000</v>
      </c>
      <c r="Z23" s="31">
        <v>1000</v>
      </c>
      <c r="AA23" s="31"/>
      <c r="AB23" s="31"/>
      <c r="AC23" s="31">
        <v>17250</v>
      </c>
      <c r="AD23" s="31"/>
      <c r="AE23" s="48">
        <v>14200</v>
      </c>
      <c r="AF23" s="31"/>
      <c r="AG23" s="49">
        <v>60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33752</v>
      </c>
      <c r="G24" s="52">
        <f t="shared" si="2"/>
        <v>7828.7403846153848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140237</v>
      </c>
      <c r="U24" s="52">
        <f t="shared" si="2"/>
        <v>20901.046511627908</v>
      </c>
      <c r="V24" s="51" t="e">
        <f t="shared" si="2"/>
        <v>#REF!</v>
      </c>
      <c r="W24" s="52">
        <f t="shared" si="2"/>
        <v>84002.92</v>
      </c>
      <c r="X24" s="51">
        <f t="shared" si="2"/>
        <v>0</v>
      </c>
      <c r="Y24" s="52">
        <f t="shared" si="2"/>
        <v>29146.549999999988</v>
      </c>
      <c r="Z24" s="51">
        <f t="shared" si="2"/>
        <v>11085</v>
      </c>
      <c r="AA24" s="51">
        <f t="shared" si="2"/>
        <v>275</v>
      </c>
      <c r="AB24" s="51">
        <f t="shared" si="2"/>
        <v>1111</v>
      </c>
      <c r="AC24" s="51">
        <f t="shared" si="2"/>
        <v>92497</v>
      </c>
      <c r="AD24" s="51">
        <f t="shared" si="2"/>
        <v>16364</v>
      </c>
      <c r="AE24" s="51">
        <f t="shared" si="2"/>
        <v>43218</v>
      </c>
      <c r="AF24" s="51">
        <f t="shared" si="2"/>
        <v>2395</v>
      </c>
      <c r="AG24" s="53">
        <f t="shared" si="2"/>
        <v>264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12980</v>
      </c>
      <c r="G25" s="32">
        <f>F25/200*25</f>
        <v>1622.5000000000002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10339</v>
      </c>
      <c r="U25" s="32">
        <f>T25/215*25</f>
        <v>1202.2093023255813</v>
      </c>
      <c r="V25" s="47"/>
      <c r="W25" s="35">
        <v>10161.800000000001</v>
      </c>
      <c r="X25" s="47"/>
      <c r="Y25" s="55">
        <v>3331.53</v>
      </c>
      <c r="Z25" s="31">
        <v>1371</v>
      </c>
      <c r="AA25" s="38"/>
      <c r="AB25" s="47"/>
      <c r="AC25" s="38">
        <v>11883</v>
      </c>
      <c r="AD25" s="47"/>
      <c r="AE25" s="47">
        <v>5906</v>
      </c>
      <c r="AF25" s="38">
        <v>90</v>
      </c>
      <c r="AG25" s="56">
        <v>40</v>
      </c>
    </row>
    <row r="26" spans="1:35" s="4" customFormat="1" ht="100.5" customHeight="1" thickBot="1" x14ac:dyDescent="0.25">
      <c r="A26" s="57">
        <v>46103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20772</v>
      </c>
      <c r="G26" s="58">
        <f>G24-G25</f>
        <v>6206.2403846153848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129898</v>
      </c>
      <c r="U26" s="58">
        <f>U24-U25</f>
        <v>19698.837209302328</v>
      </c>
      <c r="V26" s="58" t="e">
        <f>V24-V25-#REF!</f>
        <v>#REF!</v>
      </c>
      <c r="W26" s="59">
        <f>W24-W25</f>
        <v>73841.119999999995</v>
      </c>
      <c r="X26" s="58" t="e">
        <f>X24-X25-#REF!</f>
        <v>#REF!</v>
      </c>
      <c r="Y26" s="59">
        <f t="shared" ref="Y26:AG26" si="3">Y24-Y25</f>
        <v>25815.01999999999</v>
      </c>
      <c r="Z26" s="58">
        <f t="shared" si="3"/>
        <v>9714</v>
      </c>
      <c r="AA26" s="58">
        <f t="shared" si="3"/>
        <v>275</v>
      </c>
      <c r="AB26" s="58">
        <f t="shared" si="3"/>
        <v>1111</v>
      </c>
      <c r="AC26" s="58">
        <f t="shared" si="3"/>
        <v>80614</v>
      </c>
      <c r="AD26" s="58">
        <f t="shared" si="3"/>
        <v>16364</v>
      </c>
      <c r="AE26" s="58">
        <f t="shared" si="3"/>
        <v>37312</v>
      </c>
      <c r="AF26" s="58">
        <f t="shared" si="3"/>
        <v>2305</v>
      </c>
      <c r="AG26" s="109">
        <f t="shared" si="3"/>
        <v>224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211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56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155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19" zoomScale="70" zoomScaleNormal="70" workbookViewId="0">
      <selection activeCell="AB26" sqref="AB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264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21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46104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94385</v>
      </c>
      <c r="U20" s="34">
        <v>12344.418604651162</v>
      </c>
      <c r="V20" s="33" t="e">
        <v>#REF!</v>
      </c>
      <c r="W20" s="33">
        <v>59600</v>
      </c>
      <c r="X20" s="33">
        <v>0</v>
      </c>
      <c r="Y20" s="35">
        <v>18095.559999999994</v>
      </c>
      <c r="Z20" s="31">
        <v>7042</v>
      </c>
      <c r="AA20" s="31">
        <v>180</v>
      </c>
      <c r="AB20" s="34">
        <v>1111</v>
      </c>
      <c r="AC20" s="31">
        <v>35070</v>
      </c>
      <c r="AD20" s="33">
        <v>16364</v>
      </c>
      <c r="AE20" s="33">
        <v>22163</v>
      </c>
      <c r="AF20" s="31">
        <v>1515</v>
      </c>
      <c r="AG20" s="36">
        <v>180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20772</v>
      </c>
      <c r="G21" s="32">
        <f>F21/200*25</f>
        <v>2596.5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35513</v>
      </c>
      <c r="U21" s="32">
        <f>T21/215*25</f>
        <v>4129.4186046511622</v>
      </c>
      <c r="V21" s="38">
        <v>0</v>
      </c>
      <c r="W21" s="38">
        <v>14241.120000000003</v>
      </c>
      <c r="X21" s="38">
        <v>0</v>
      </c>
      <c r="Y21" s="38">
        <v>7719.4599999999919</v>
      </c>
      <c r="Z21" s="38">
        <v>2672</v>
      </c>
      <c r="AA21" s="38">
        <v>95</v>
      </c>
      <c r="AB21" s="38">
        <v>0</v>
      </c>
      <c r="AC21" s="38">
        <v>45544</v>
      </c>
      <c r="AD21" s="38">
        <v>0</v>
      </c>
      <c r="AE21" s="38">
        <v>15149</v>
      </c>
      <c r="AF21" s="38">
        <v>790</v>
      </c>
      <c r="AG21" s="56">
        <v>44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20772</v>
      </c>
      <c r="G22" s="43">
        <f t="shared" si="1"/>
        <v>7681.2403846153848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129898</v>
      </c>
      <c r="U22" s="43">
        <f t="shared" si="1"/>
        <v>16473.837209302324</v>
      </c>
      <c r="V22" s="44" t="e">
        <f t="shared" si="1"/>
        <v>#REF!</v>
      </c>
      <c r="W22" s="45">
        <f t="shared" si="1"/>
        <v>73841.119999999995</v>
      </c>
      <c r="X22" s="44">
        <f t="shared" si="1"/>
        <v>0</v>
      </c>
      <c r="Y22" s="43">
        <f t="shared" si="1"/>
        <v>25815.019999999986</v>
      </c>
      <c r="Z22" s="42">
        <f t="shared" si="1"/>
        <v>9714</v>
      </c>
      <c r="AA22" s="42">
        <f t="shared" si="1"/>
        <v>275</v>
      </c>
      <c r="AB22" s="44">
        <f t="shared" si="1"/>
        <v>1111</v>
      </c>
      <c r="AC22" s="42">
        <f t="shared" si="1"/>
        <v>80614</v>
      </c>
      <c r="AD22" s="44">
        <f t="shared" si="1"/>
        <v>16364</v>
      </c>
      <c r="AE22" s="44">
        <f t="shared" si="1"/>
        <v>37312</v>
      </c>
      <c r="AF22" s="42">
        <f t="shared" si="1"/>
        <v>2305</v>
      </c>
      <c r="AG22" s="46">
        <f t="shared" si="1"/>
        <v>224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20772</v>
      </c>
      <c r="G24" s="52">
        <f t="shared" si="2"/>
        <v>7681.2403846153848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129898</v>
      </c>
      <c r="U24" s="52">
        <f t="shared" si="2"/>
        <v>16473.837209302324</v>
      </c>
      <c r="V24" s="51" t="e">
        <f t="shared" si="2"/>
        <v>#REF!</v>
      </c>
      <c r="W24" s="52">
        <f t="shared" si="2"/>
        <v>73841.119999999995</v>
      </c>
      <c r="X24" s="51">
        <f t="shared" si="2"/>
        <v>0</v>
      </c>
      <c r="Y24" s="52">
        <f t="shared" si="2"/>
        <v>25815.019999999986</v>
      </c>
      <c r="Z24" s="51">
        <f t="shared" si="2"/>
        <v>9714</v>
      </c>
      <c r="AA24" s="51">
        <f t="shared" si="2"/>
        <v>275</v>
      </c>
      <c r="AB24" s="51">
        <f t="shared" si="2"/>
        <v>1111</v>
      </c>
      <c r="AC24" s="51">
        <f t="shared" si="2"/>
        <v>80614</v>
      </c>
      <c r="AD24" s="51">
        <f t="shared" si="2"/>
        <v>16364</v>
      </c>
      <c r="AE24" s="51">
        <f t="shared" si="2"/>
        <v>37312</v>
      </c>
      <c r="AF24" s="51">
        <f t="shared" si="2"/>
        <v>2305</v>
      </c>
      <c r="AG24" s="53">
        <f t="shared" si="2"/>
        <v>224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12512</v>
      </c>
      <c r="G25" s="32">
        <f>F25/200*25</f>
        <v>1564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11504</v>
      </c>
      <c r="U25" s="32">
        <f>T25/215*25</f>
        <v>1337.6744186046512</v>
      </c>
      <c r="V25" s="47"/>
      <c r="W25" s="35">
        <v>7296.2</v>
      </c>
      <c r="X25" s="47"/>
      <c r="Y25" s="55">
        <v>3287.7900000000004</v>
      </c>
      <c r="Z25" s="31">
        <v>1353</v>
      </c>
      <c r="AA25" s="38"/>
      <c r="AB25" s="47"/>
      <c r="AC25" s="38">
        <v>11025</v>
      </c>
      <c r="AD25" s="47"/>
      <c r="AE25" s="47">
        <v>5915</v>
      </c>
      <c r="AF25" s="38"/>
      <c r="AG25" s="56">
        <v>42</v>
      </c>
    </row>
    <row r="26" spans="1:35" s="4" customFormat="1" ht="100.5" customHeight="1" thickBot="1" x14ac:dyDescent="0.25">
      <c r="A26" s="57">
        <v>46110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8260</v>
      </c>
      <c r="G26" s="58">
        <f>G24-G25</f>
        <v>6117.2403846153848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118394</v>
      </c>
      <c r="U26" s="58">
        <f>U24-U25</f>
        <v>15136.162790697674</v>
      </c>
      <c r="V26" s="58" t="e">
        <f>V24-V25-#REF!</f>
        <v>#REF!</v>
      </c>
      <c r="W26" s="59">
        <f>W24-W25</f>
        <v>66544.92</v>
      </c>
      <c r="X26" s="58" t="e">
        <f>X24-X25-#REF!</f>
        <v>#REF!</v>
      </c>
      <c r="Y26" s="59">
        <f t="shared" ref="Y26:AG26" si="3">Y24-Y25</f>
        <v>22527.229999999985</v>
      </c>
      <c r="Z26" s="58">
        <f t="shared" si="3"/>
        <v>8361</v>
      </c>
      <c r="AA26" s="58">
        <f t="shared" si="3"/>
        <v>275</v>
      </c>
      <c r="AB26" s="58">
        <f t="shared" si="3"/>
        <v>1111</v>
      </c>
      <c r="AC26" s="58">
        <f t="shared" si="3"/>
        <v>69589</v>
      </c>
      <c r="AD26" s="58">
        <f t="shared" si="3"/>
        <v>16364</v>
      </c>
      <c r="AE26" s="58">
        <f t="shared" si="3"/>
        <v>31397</v>
      </c>
      <c r="AF26" s="58">
        <f t="shared" si="3"/>
        <v>2305</v>
      </c>
      <c r="AG26" s="109">
        <f t="shared" si="3"/>
        <v>182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265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56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2" zoomScale="70" zoomScaleNormal="70" workbookViewId="0">
      <selection activeCell="G39" sqref="G39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266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22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88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46111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94385</v>
      </c>
      <c r="U20" s="34">
        <v>12344.418604651162</v>
      </c>
      <c r="V20" s="33" t="e">
        <v>#REF!</v>
      </c>
      <c r="W20" s="33">
        <v>59600</v>
      </c>
      <c r="X20" s="33">
        <v>0</v>
      </c>
      <c r="Y20" s="35">
        <v>18095.559999999994</v>
      </c>
      <c r="Z20" s="31">
        <v>7042</v>
      </c>
      <c r="AA20" s="31">
        <v>180</v>
      </c>
      <c r="AB20" s="34">
        <v>1111</v>
      </c>
      <c r="AC20" s="31">
        <v>35070</v>
      </c>
      <c r="AD20" s="33">
        <v>16364</v>
      </c>
      <c r="AE20" s="33">
        <v>22163</v>
      </c>
      <c r="AF20" s="31">
        <v>1215</v>
      </c>
      <c r="AG20" s="36">
        <v>90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8260</v>
      </c>
      <c r="G21" s="32">
        <f>F21/200*25</f>
        <v>1032.5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24009</v>
      </c>
      <c r="U21" s="32">
        <f>T21/215*25</f>
        <v>2791.7441860465119</v>
      </c>
      <c r="V21" s="38">
        <v>0</v>
      </c>
      <c r="W21" s="38">
        <v>6944.9200000000037</v>
      </c>
      <c r="X21" s="38">
        <v>0</v>
      </c>
      <c r="Y21" s="38">
        <v>4431.6699999999928</v>
      </c>
      <c r="Z21" s="38">
        <v>1319</v>
      </c>
      <c r="AA21" s="38">
        <v>95</v>
      </c>
      <c r="AB21" s="38">
        <v>0</v>
      </c>
      <c r="AC21" s="38">
        <v>34519</v>
      </c>
      <c r="AD21" s="38">
        <v>0</v>
      </c>
      <c r="AE21" s="38">
        <v>9234</v>
      </c>
      <c r="AF21" s="38">
        <v>1090</v>
      </c>
      <c r="AG21" s="56">
        <v>92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8260</v>
      </c>
      <c r="G22" s="43">
        <f t="shared" si="1"/>
        <v>6117.2403846153848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118394</v>
      </c>
      <c r="U22" s="43">
        <f t="shared" si="1"/>
        <v>15136.162790697674</v>
      </c>
      <c r="V22" s="44" t="e">
        <f t="shared" si="1"/>
        <v>#REF!</v>
      </c>
      <c r="W22" s="45">
        <f t="shared" si="1"/>
        <v>66544.92</v>
      </c>
      <c r="X22" s="44">
        <f t="shared" si="1"/>
        <v>0</v>
      </c>
      <c r="Y22" s="43">
        <f t="shared" si="1"/>
        <v>22527.229999999989</v>
      </c>
      <c r="Z22" s="42">
        <f t="shared" si="1"/>
        <v>8361</v>
      </c>
      <c r="AA22" s="42">
        <f t="shared" si="1"/>
        <v>275</v>
      </c>
      <c r="AB22" s="44">
        <f t="shared" si="1"/>
        <v>1111</v>
      </c>
      <c r="AC22" s="42">
        <f t="shared" si="1"/>
        <v>69589</v>
      </c>
      <c r="AD22" s="44">
        <f t="shared" si="1"/>
        <v>16364</v>
      </c>
      <c r="AE22" s="44">
        <f t="shared" si="1"/>
        <v>31397</v>
      </c>
      <c r="AF22" s="42">
        <f t="shared" si="1"/>
        <v>2305</v>
      </c>
      <c r="AG22" s="46">
        <f t="shared" si="1"/>
        <v>182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/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8260</v>
      </c>
      <c r="G24" s="52">
        <f t="shared" si="2"/>
        <v>6117.2403846153848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118394</v>
      </c>
      <c r="U24" s="52">
        <f t="shared" si="2"/>
        <v>15136.162790697674</v>
      </c>
      <c r="V24" s="51" t="e">
        <f t="shared" si="2"/>
        <v>#REF!</v>
      </c>
      <c r="W24" s="52">
        <f t="shared" si="2"/>
        <v>66544.92</v>
      </c>
      <c r="X24" s="51">
        <f t="shared" si="2"/>
        <v>0</v>
      </c>
      <c r="Y24" s="52">
        <f t="shared" si="2"/>
        <v>22527.229999999989</v>
      </c>
      <c r="Z24" s="51">
        <f t="shared" si="2"/>
        <v>8361</v>
      </c>
      <c r="AA24" s="51">
        <f t="shared" si="2"/>
        <v>275</v>
      </c>
      <c r="AB24" s="51">
        <f t="shared" si="2"/>
        <v>1111</v>
      </c>
      <c r="AC24" s="51">
        <f t="shared" si="2"/>
        <v>69589</v>
      </c>
      <c r="AD24" s="51">
        <f t="shared" si="2"/>
        <v>16364</v>
      </c>
      <c r="AE24" s="51">
        <f t="shared" si="2"/>
        <v>31397</v>
      </c>
      <c r="AF24" s="51">
        <f t="shared" si="2"/>
        <v>2305</v>
      </c>
      <c r="AG24" s="53">
        <f t="shared" si="2"/>
        <v>182</v>
      </c>
    </row>
    <row r="25" spans="1:35" ht="75.75" customHeight="1" x14ac:dyDescent="0.3">
      <c r="A25" s="225" t="s">
        <v>249</v>
      </c>
      <c r="B25" s="226"/>
      <c r="C25" s="227"/>
      <c r="D25" s="85">
        <v>0</v>
      </c>
      <c r="E25" s="85">
        <v>0</v>
      </c>
      <c r="F25" s="31">
        <v>2934</v>
      </c>
      <c r="G25" s="32">
        <f>F25/200*25</f>
        <v>366.75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4336</v>
      </c>
      <c r="U25" s="32">
        <f>T25/215*25</f>
        <v>504.18604651162798</v>
      </c>
      <c r="V25" s="47"/>
      <c r="W25" s="35">
        <v>2339.4</v>
      </c>
      <c r="X25" s="47"/>
      <c r="Y25" s="55">
        <v>1098.3600000000001</v>
      </c>
      <c r="Z25" s="31">
        <v>452</v>
      </c>
      <c r="AA25" s="38"/>
      <c r="AB25" s="47"/>
      <c r="AC25" s="38">
        <v>3487</v>
      </c>
      <c r="AD25" s="47"/>
      <c r="AE25" s="47">
        <v>1912</v>
      </c>
      <c r="AF25" s="38"/>
      <c r="AG25" s="56">
        <v>14</v>
      </c>
    </row>
    <row r="26" spans="1:35" s="4" customFormat="1" ht="100.5" customHeight="1" thickBot="1" x14ac:dyDescent="0.25">
      <c r="A26" s="57">
        <v>46117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5326</v>
      </c>
      <c r="G26" s="58">
        <f>G24-G25</f>
        <v>5750.4903846153848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114058</v>
      </c>
      <c r="U26" s="58">
        <f>U24-U25</f>
        <v>14631.976744186046</v>
      </c>
      <c r="V26" s="58" t="e">
        <f>V24-V25-#REF!</f>
        <v>#REF!</v>
      </c>
      <c r="W26" s="59">
        <f>W24-W25</f>
        <v>64205.52</v>
      </c>
      <c r="X26" s="58" t="e">
        <f>X24-X25-#REF!</f>
        <v>#REF!</v>
      </c>
      <c r="Y26" s="59">
        <f t="shared" ref="Y26:AG26" si="3">Y24-Y25</f>
        <v>21428.869999999988</v>
      </c>
      <c r="Z26" s="58">
        <f t="shared" si="3"/>
        <v>7909</v>
      </c>
      <c r="AA26" s="58">
        <f t="shared" si="3"/>
        <v>275</v>
      </c>
      <c r="AB26" s="58">
        <f t="shared" si="3"/>
        <v>1111</v>
      </c>
      <c r="AC26" s="58">
        <f t="shared" si="3"/>
        <v>66102</v>
      </c>
      <c r="AD26" s="58">
        <f t="shared" si="3"/>
        <v>16364</v>
      </c>
      <c r="AE26" s="58">
        <f t="shared" si="3"/>
        <v>29485</v>
      </c>
      <c r="AF26" s="58">
        <f t="shared" si="3"/>
        <v>2305</v>
      </c>
      <c r="AG26" s="109">
        <f t="shared" si="3"/>
        <v>168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G28" s="64" t="s">
        <v>47</v>
      </c>
      <c r="O28" s="65"/>
      <c r="R28" s="64" t="s">
        <v>48</v>
      </c>
      <c r="Y28" s="64" t="s">
        <v>48</v>
      </c>
      <c r="AC28" s="66" t="s">
        <v>49</v>
      </c>
      <c r="AE28" s="67"/>
      <c r="AF28" s="65"/>
      <c r="AG28" s="65"/>
    </row>
    <row r="29" spans="1:35" s="64" customFormat="1" ht="37.5" customHeight="1" x14ac:dyDescent="0.35">
      <c r="A29" s="68"/>
      <c r="B29" s="65"/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69"/>
      <c r="S29" s="69"/>
      <c r="Y29" s="69"/>
      <c r="AC29" s="69"/>
      <c r="AE29" s="69"/>
      <c r="AF29" s="69"/>
      <c r="AG29" s="69"/>
      <c r="AH29" s="65"/>
    </row>
    <row r="30" spans="1:35" s="64" customFormat="1" ht="24" customHeight="1" x14ac:dyDescent="0.35">
      <c r="A30" s="70" t="s">
        <v>265</v>
      </c>
      <c r="B30" s="65"/>
      <c r="G30" s="70" t="s">
        <v>51</v>
      </c>
      <c r="H30" s="71"/>
      <c r="I30" s="71"/>
      <c r="J30" s="71"/>
      <c r="N30" s="65"/>
      <c r="O30" s="65"/>
      <c r="R30" s="70" t="s">
        <v>52</v>
      </c>
      <c r="Y30" s="70" t="s">
        <v>52</v>
      </c>
      <c r="AC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D31" s="65"/>
      <c r="G31" s="68" t="s">
        <v>55</v>
      </c>
      <c r="H31" s="65"/>
      <c r="I31" s="65"/>
      <c r="J31" s="65"/>
      <c r="K31" s="65"/>
      <c r="L31" s="65"/>
      <c r="M31" s="65"/>
      <c r="N31" s="65"/>
      <c r="O31" s="65"/>
      <c r="P31" s="65"/>
      <c r="R31" s="65" t="s">
        <v>56</v>
      </c>
      <c r="S31" s="65"/>
      <c r="Y31" s="65" t="s">
        <v>56</v>
      </c>
      <c r="AC31" s="68" t="s">
        <v>230</v>
      </c>
      <c r="AE31" s="65"/>
      <c r="AF31" s="65"/>
      <c r="AG31" s="65"/>
    </row>
    <row r="32" spans="1:35" s="64" customFormat="1" ht="26.25" customHeight="1" x14ac:dyDescent="0.35">
      <c r="A32" s="68" t="s">
        <v>59</v>
      </c>
      <c r="B32" s="65"/>
      <c r="C32" s="65"/>
      <c r="D32" s="65"/>
      <c r="G32" s="68" t="s">
        <v>208</v>
      </c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256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13" zoomScale="70" zoomScaleNormal="70" workbookViewId="0">
      <selection activeCell="G42" sqref="G4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customWidth="1"/>
    <col min="5" max="5" width="11.7109375" style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267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2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268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46118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94385</v>
      </c>
      <c r="U20" s="34">
        <v>12344.418604651162</v>
      </c>
      <c r="V20" s="33" t="e">
        <v>#REF!</v>
      </c>
      <c r="W20" s="33">
        <v>57600</v>
      </c>
      <c r="X20" s="33">
        <v>0</v>
      </c>
      <c r="Y20" s="35">
        <v>18095.559999999994</v>
      </c>
      <c r="Z20" s="31">
        <v>6542</v>
      </c>
      <c r="AA20" s="31">
        <v>180</v>
      </c>
      <c r="AB20" s="34">
        <v>1111</v>
      </c>
      <c r="AC20" s="31">
        <v>35070</v>
      </c>
      <c r="AD20" s="33">
        <v>16364</v>
      </c>
      <c r="AE20" s="33">
        <v>22163</v>
      </c>
      <c r="AF20" s="31">
        <v>1215</v>
      </c>
      <c r="AG20" s="36">
        <v>90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5326</v>
      </c>
      <c r="G21" s="32">
        <f>F21/200*25</f>
        <v>665.75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19673</v>
      </c>
      <c r="U21" s="32">
        <f>T21/215*25</f>
        <v>2287.558139534884</v>
      </c>
      <c r="V21" s="38">
        <v>0</v>
      </c>
      <c r="W21" s="38">
        <v>6605.52</v>
      </c>
      <c r="X21" s="38">
        <v>0</v>
      </c>
      <c r="Y21" s="38">
        <v>3333.3099999999927</v>
      </c>
      <c r="Z21" s="38">
        <v>1367</v>
      </c>
      <c r="AA21" s="38">
        <v>95</v>
      </c>
      <c r="AB21" s="38">
        <v>0</v>
      </c>
      <c r="AC21" s="38">
        <v>31032</v>
      </c>
      <c r="AD21" s="38">
        <v>0</v>
      </c>
      <c r="AE21" s="38">
        <v>7322</v>
      </c>
      <c r="AF21" s="38">
        <v>1090</v>
      </c>
      <c r="AG21" s="56">
        <v>78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5326</v>
      </c>
      <c r="G22" s="43">
        <f t="shared" si="1"/>
        <v>5750.4903846153848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114058</v>
      </c>
      <c r="U22" s="43">
        <f t="shared" si="1"/>
        <v>14631.976744186046</v>
      </c>
      <c r="V22" s="44" t="e">
        <f t="shared" si="1"/>
        <v>#REF!</v>
      </c>
      <c r="W22" s="45">
        <f t="shared" si="1"/>
        <v>64205.520000000004</v>
      </c>
      <c r="X22" s="44">
        <f t="shared" si="1"/>
        <v>0</v>
      </c>
      <c r="Y22" s="43">
        <f t="shared" si="1"/>
        <v>21428.869999999988</v>
      </c>
      <c r="Z22" s="42">
        <f t="shared" si="1"/>
        <v>7909</v>
      </c>
      <c r="AA22" s="42">
        <f t="shared" si="1"/>
        <v>275</v>
      </c>
      <c r="AB22" s="44">
        <f t="shared" si="1"/>
        <v>1111</v>
      </c>
      <c r="AC22" s="42">
        <f t="shared" si="1"/>
        <v>66102</v>
      </c>
      <c r="AD22" s="44">
        <f t="shared" si="1"/>
        <v>16364</v>
      </c>
      <c r="AE22" s="44">
        <f t="shared" si="1"/>
        <v>29485</v>
      </c>
      <c r="AF22" s="42">
        <f t="shared" si="1"/>
        <v>2305</v>
      </c>
      <c r="AG22" s="46">
        <f t="shared" si="1"/>
        <v>168</v>
      </c>
      <c r="AH22" s="63"/>
    </row>
    <row r="23" spans="1:35" ht="48" customHeight="1" x14ac:dyDescent="0.3">
      <c r="A23" s="171" t="s">
        <v>42</v>
      </c>
      <c r="B23" s="172"/>
      <c r="C23" s="173"/>
      <c r="D23" s="31">
        <v>15000</v>
      </c>
      <c r="E23" s="38">
        <f>D23/200*25</f>
        <v>1875</v>
      </c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16125</v>
      </c>
      <c r="U23" s="32">
        <f>T23/215*25</f>
        <v>1875</v>
      </c>
      <c r="V23" s="31"/>
      <c r="W23" s="31">
        <v>8750</v>
      </c>
      <c r="X23" s="31"/>
      <c r="Y23" s="31">
        <v>3000</v>
      </c>
      <c r="Z23" s="31">
        <v>1000</v>
      </c>
      <c r="AA23" s="31"/>
      <c r="AB23" s="31"/>
      <c r="AC23" s="31">
        <v>20250</v>
      </c>
      <c r="AD23" s="31"/>
      <c r="AE23" s="48">
        <v>6600</v>
      </c>
      <c r="AF23" s="31"/>
      <c r="AG23" s="49">
        <v>200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15000</v>
      </c>
      <c r="E24" s="51">
        <f t="shared" si="2"/>
        <v>1875</v>
      </c>
      <c r="F24" s="51">
        <f t="shared" si="2"/>
        <v>5326</v>
      </c>
      <c r="G24" s="52">
        <f t="shared" si="2"/>
        <v>5750.4903846153848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130183</v>
      </c>
      <c r="U24" s="52">
        <f t="shared" si="2"/>
        <v>16506.976744186046</v>
      </c>
      <c r="V24" s="51" t="e">
        <f t="shared" si="2"/>
        <v>#REF!</v>
      </c>
      <c r="W24" s="52">
        <f t="shared" si="2"/>
        <v>72955.520000000004</v>
      </c>
      <c r="X24" s="51">
        <f t="shared" si="2"/>
        <v>0</v>
      </c>
      <c r="Y24" s="52">
        <f t="shared" si="2"/>
        <v>24428.869999999988</v>
      </c>
      <c r="Z24" s="51">
        <f t="shared" si="2"/>
        <v>8909</v>
      </c>
      <c r="AA24" s="51">
        <f t="shared" si="2"/>
        <v>275</v>
      </c>
      <c r="AB24" s="51">
        <f t="shared" si="2"/>
        <v>1111</v>
      </c>
      <c r="AC24" s="51">
        <f t="shared" si="2"/>
        <v>86352</v>
      </c>
      <c r="AD24" s="51">
        <f t="shared" si="2"/>
        <v>16364</v>
      </c>
      <c r="AE24" s="51">
        <f t="shared" si="2"/>
        <v>36085</v>
      </c>
      <c r="AF24" s="51">
        <f t="shared" si="2"/>
        <v>2305</v>
      </c>
      <c r="AG24" s="53">
        <f t="shared" si="2"/>
        <v>368</v>
      </c>
    </row>
    <row r="25" spans="1:35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3360</v>
      </c>
      <c r="G25" s="32">
        <f>F25/200*25</f>
        <v>420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21187</v>
      </c>
      <c r="U25" s="32">
        <f>T25/215*25</f>
        <v>2463.6046511627906</v>
      </c>
      <c r="V25" s="47"/>
      <c r="W25" s="35">
        <v>7664.4000000000005</v>
      </c>
      <c r="X25" s="47"/>
      <c r="Y25" s="55">
        <v>3103.11</v>
      </c>
      <c r="Z25" s="31">
        <v>1277</v>
      </c>
      <c r="AA25" s="38"/>
      <c r="AB25" s="47"/>
      <c r="AC25" s="38">
        <v>11755</v>
      </c>
      <c r="AD25" s="47"/>
      <c r="AE25" s="47">
        <v>5661</v>
      </c>
      <c r="AF25" s="38">
        <v>30</v>
      </c>
      <c r="AG25" s="56">
        <v>42</v>
      </c>
    </row>
    <row r="26" spans="1:35" s="4" customFormat="1" ht="100.5" customHeight="1" thickBot="1" x14ac:dyDescent="0.25">
      <c r="A26" s="57">
        <v>46124</v>
      </c>
      <c r="B26" s="161" t="s">
        <v>45</v>
      </c>
      <c r="C26" s="162"/>
      <c r="D26" s="58">
        <f>D24-D25</f>
        <v>15000</v>
      </c>
      <c r="E26" s="58">
        <f>E24-E25</f>
        <v>1875</v>
      </c>
      <c r="F26" s="58">
        <f>F24-F25</f>
        <v>1966</v>
      </c>
      <c r="G26" s="58">
        <f>G24-G25</f>
        <v>5330.4903846153848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108996</v>
      </c>
      <c r="U26" s="58">
        <f>U24-U25</f>
        <v>14043.372093023256</v>
      </c>
      <c r="V26" s="58" t="e">
        <f>V24-V25-#REF!</f>
        <v>#REF!</v>
      </c>
      <c r="W26" s="59">
        <f>W24-W25</f>
        <v>65291.12</v>
      </c>
      <c r="X26" s="58" t="e">
        <f>X24-X25-#REF!</f>
        <v>#REF!</v>
      </c>
      <c r="Y26" s="59">
        <f t="shared" ref="Y26:AG26" si="3">Y24-Y25</f>
        <v>21325.759999999987</v>
      </c>
      <c r="Z26" s="58">
        <f t="shared" si="3"/>
        <v>7632</v>
      </c>
      <c r="AA26" s="58">
        <f t="shared" si="3"/>
        <v>275</v>
      </c>
      <c r="AB26" s="58">
        <f t="shared" si="3"/>
        <v>1111</v>
      </c>
      <c r="AC26" s="58">
        <f t="shared" si="3"/>
        <v>74597</v>
      </c>
      <c r="AD26" s="58">
        <f t="shared" si="3"/>
        <v>16364</v>
      </c>
      <c r="AE26" s="58">
        <f t="shared" si="3"/>
        <v>30424</v>
      </c>
      <c r="AF26" s="58">
        <f t="shared" si="3"/>
        <v>2275</v>
      </c>
      <c r="AG26" s="109">
        <f t="shared" si="3"/>
        <v>326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5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</row>
    <row r="30" spans="1:35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52</v>
      </c>
      <c r="AD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56</v>
      </c>
      <c r="AD31" s="68" t="s">
        <v>230</v>
      </c>
      <c r="AG31" s="65"/>
    </row>
    <row r="32" spans="1:35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155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4" zoomScale="70" zoomScaleNormal="70" workbookViewId="0">
      <selection activeCell="AA24" sqref="AA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269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194"/>
      <c r="B15" s="195"/>
      <c r="C15" s="196"/>
      <c r="D15" s="194"/>
      <c r="E15" s="195"/>
      <c r="F15" s="195"/>
      <c r="G15" s="195"/>
      <c r="H15" s="195"/>
      <c r="I15" s="195"/>
      <c r="J15" s="195"/>
      <c r="K15" s="195"/>
      <c r="L15" s="195"/>
      <c r="M15" s="196"/>
      <c r="N15" s="107"/>
      <c r="O15" s="107"/>
      <c r="P15" s="206"/>
      <c r="Q15" s="207"/>
      <c r="R15" s="207"/>
      <c r="S15" s="207"/>
      <c r="T15" s="207"/>
      <c r="U15" s="207"/>
      <c r="V15" s="208"/>
      <c r="W15" s="216" t="s">
        <v>3</v>
      </c>
      <c r="X15" s="217"/>
      <c r="Y15" s="217"/>
      <c r="Z15" s="218"/>
      <c r="AA15" s="210"/>
      <c r="AB15" s="206"/>
      <c r="AC15" s="207"/>
      <c r="AD15" s="207"/>
      <c r="AE15" s="208"/>
      <c r="AF15" s="214"/>
      <c r="AG15" s="215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6"/>
      <c r="F16" s="185" t="s">
        <v>9</v>
      </c>
      <c r="G16" s="186"/>
      <c r="H16" s="187" t="s">
        <v>10</v>
      </c>
      <c r="I16" s="188"/>
      <c r="J16" s="185" t="s">
        <v>9</v>
      </c>
      <c r="K16" s="186"/>
      <c r="L16" s="185" t="s">
        <v>9</v>
      </c>
      <c r="M16" s="186"/>
      <c r="N16" s="187" t="s">
        <v>10</v>
      </c>
      <c r="O16" s="188"/>
      <c r="P16" s="185" t="s">
        <v>9</v>
      </c>
      <c r="Q16" s="186"/>
      <c r="R16" s="185" t="s">
        <v>9</v>
      </c>
      <c r="S16" s="186"/>
      <c r="T16" s="185" t="s">
        <v>9</v>
      </c>
      <c r="U16" s="186"/>
      <c r="V16" s="6" t="s">
        <v>11</v>
      </c>
      <c r="W16" s="7" t="s">
        <v>12</v>
      </c>
      <c r="X16" s="7" t="s">
        <v>13</v>
      </c>
      <c r="Y16" s="8" t="s">
        <v>13</v>
      </c>
      <c r="Z16" s="6" t="s">
        <v>14</v>
      </c>
      <c r="AA16" s="81" t="s">
        <v>15</v>
      </c>
      <c r="AB16" s="10" t="s">
        <v>16</v>
      </c>
      <c r="AC16" s="10" t="s">
        <v>17</v>
      </c>
      <c r="AD16" s="93" t="s">
        <v>18</v>
      </c>
      <c r="AE16" s="10" t="s">
        <v>20</v>
      </c>
      <c r="AF16" s="12" t="s">
        <v>21</v>
      </c>
      <c r="AG16" s="124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64"/>
      <c r="F17" s="163">
        <v>200</v>
      </c>
      <c r="G17" s="164"/>
      <c r="H17" s="177">
        <v>200</v>
      </c>
      <c r="I17" s="178"/>
      <c r="J17" s="163">
        <v>208</v>
      </c>
      <c r="K17" s="164"/>
      <c r="L17" s="163">
        <v>150</v>
      </c>
      <c r="M17" s="164"/>
      <c r="N17" s="177">
        <v>150</v>
      </c>
      <c r="O17" s="178"/>
      <c r="P17" s="163">
        <v>38</v>
      </c>
      <c r="Q17" s="164"/>
      <c r="R17" s="163">
        <v>135</v>
      </c>
      <c r="S17" s="164"/>
      <c r="T17" s="163">
        <v>215</v>
      </c>
      <c r="U17" s="164"/>
      <c r="V17" s="14" t="s">
        <v>23</v>
      </c>
      <c r="W17" s="15"/>
      <c r="X17" s="15" t="s">
        <v>24</v>
      </c>
      <c r="Y17" s="16"/>
      <c r="Z17" s="14"/>
      <c r="AA17" s="82" t="s">
        <v>25</v>
      </c>
      <c r="AB17" s="17" t="s">
        <v>26</v>
      </c>
      <c r="AC17" s="17" t="s">
        <v>27</v>
      </c>
      <c r="AD17" s="17" t="s">
        <v>26</v>
      </c>
      <c r="AE17" s="19" t="s">
        <v>158</v>
      </c>
      <c r="AF17" s="19"/>
      <c r="AG17" s="19"/>
    </row>
    <row r="18" spans="1:35" s="4" customFormat="1" ht="19.5" customHeight="1" x14ac:dyDescent="0.2">
      <c r="A18" s="180"/>
      <c r="B18" s="183"/>
      <c r="C18" s="183"/>
      <c r="D18" s="163" t="s">
        <v>268</v>
      </c>
      <c r="E18" s="164"/>
      <c r="F18" s="163" t="s">
        <v>225</v>
      </c>
      <c r="G18" s="164"/>
      <c r="H18" s="177" t="s">
        <v>31</v>
      </c>
      <c r="I18" s="178"/>
      <c r="J18" s="163" t="s">
        <v>32</v>
      </c>
      <c r="K18" s="164"/>
      <c r="L18" s="163" t="s">
        <v>30</v>
      </c>
      <c r="M18" s="164"/>
      <c r="N18" s="177" t="s">
        <v>33</v>
      </c>
      <c r="O18" s="178"/>
      <c r="P18" s="163" t="s">
        <v>33</v>
      </c>
      <c r="Q18" s="164"/>
      <c r="R18" s="163" t="s">
        <v>33</v>
      </c>
      <c r="S18" s="164"/>
      <c r="T18" s="163" t="s">
        <v>33</v>
      </c>
      <c r="U18" s="164"/>
      <c r="V18" s="14"/>
      <c r="W18" s="16"/>
      <c r="X18" s="16"/>
      <c r="Y18" s="16"/>
      <c r="Z18" s="14"/>
      <c r="AA18" s="16"/>
      <c r="AB18" s="20"/>
      <c r="AC18" s="16"/>
      <c r="AD18" s="21"/>
      <c r="AE18" s="16"/>
      <c r="AF18" s="16"/>
      <c r="AG18" s="16"/>
    </row>
    <row r="19" spans="1:35" s="4" customFormat="1" ht="22.5" thickBot="1" x14ac:dyDescent="0.25">
      <c r="A19" s="181"/>
      <c r="B19" s="184"/>
      <c r="C19" s="184"/>
      <c r="D19" s="22" t="s">
        <v>34</v>
      </c>
      <c r="E19" s="23" t="s">
        <v>35</v>
      </c>
      <c r="F19" s="22" t="s">
        <v>34</v>
      </c>
      <c r="G19" s="23" t="s">
        <v>35</v>
      </c>
      <c r="H19" s="24" t="s">
        <v>34</v>
      </c>
      <c r="I19" s="25" t="s">
        <v>35</v>
      </c>
      <c r="J19" s="22" t="s">
        <v>34</v>
      </c>
      <c r="K19" s="23" t="s">
        <v>35</v>
      </c>
      <c r="L19" s="22" t="s">
        <v>34</v>
      </c>
      <c r="M19" s="23" t="s">
        <v>35</v>
      </c>
      <c r="N19" s="24" t="s">
        <v>34</v>
      </c>
      <c r="O19" s="25" t="s">
        <v>35</v>
      </c>
      <c r="P19" s="22" t="s">
        <v>34</v>
      </c>
      <c r="Q19" s="23" t="s">
        <v>35</v>
      </c>
      <c r="R19" s="22" t="s">
        <v>34</v>
      </c>
      <c r="S19" s="23" t="s">
        <v>35</v>
      </c>
      <c r="T19" s="22" t="s">
        <v>34</v>
      </c>
      <c r="U19" s="23" t="s">
        <v>35</v>
      </c>
      <c r="V19" s="26" t="s">
        <v>34</v>
      </c>
      <c r="W19" s="27" t="s">
        <v>35</v>
      </c>
      <c r="X19" s="27" t="s">
        <v>36</v>
      </c>
      <c r="Y19" s="27" t="s">
        <v>36</v>
      </c>
      <c r="Z19" s="26" t="s">
        <v>34</v>
      </c>
      <c r="AA19" s="26" t="s">
        <v>34</v>
      </c>
      <c r="AB19" s="28" t="s">
        <v>34</v>
      </c>
      <c r="AC19" s="27" t="s">
        <v>34</v>
      </c>
      <c r="AD19" s="29" t="s">
        <v>34</v>
      </c>
      <c r="AE19" s="27" t="s">
        <v>36</v>
      </c>
      <c r="AF19" s="27" t="s">
        <v>36</v>
      </c>
      <c r="AG19" s="27" t="s">
        <v>34</v>
      </c>
    </row>
    <row r="20" spans="1:35" ht="54" customHeight="1" x14ac:dyDescent="0.3">
      <c r="A20" s="165">
        <v>46125</v>
      </c>
      <c r="B20" s="168" t="s">
        <v>37</v>
      </c>
      <c r="C20" s="30" t="s">
        <v>38</v>
      </c>
      <c r="D20" s="86">
        <v>0</v>
      </c>
      <c r="E20" s="38">
        <f t="shared" ref="E20" si="0">D20/200*25</f>
        <v>0</v>
      </c>
      <c r="F20" s="31">
        <v>14000</v>
      </c>
      <c r="G20" s="32">
        <v>5084.7403846153848</v>
      </c>
      <c r="H20" s="33" t="e">
        <v>#VALUE!</v>
      </c>
      <c r="I20" s="33" t="e">
        <v>#VALUE!</v>
      </c>
      <c r="J20" s="33">
        <v>0</v>
      </c>
      <c r="K20" s="34">
        <v>0</v>
      </c>
      <c r="L20" s="33">
        <v>0</v>
      </c>
      <c r="M20" s="34">
        <v>0</v>
      </c>
      <c r="N20" s="33" t="e">
        <v>#REF!</v>
      </c>
      <c r="O20" s="33" t="e">
        <v>#REF!</v>
      </c>
      <c r="P20" s="31">
        <v>0</v>
      </c>
      <c r="Q20" s="34">
        <v>0</v>
      </c>
      <c r="R20" s="33">
        <v>0</v>
      </c>
      <c r="S20" s="34">
        <v>0</v>
      </c>
      <c r="T20" s="31">
        <v>89010</v>
      </c>
      <c r="U20" s="34">
        <v>12344.418604651162</v>
      </c>
      <c r="V20" s="33" t="e">
        <v>#REF!</v>
      </c>
      <c r="W20" s="33">
        <v>59350</v>
      </c>
      <c r="X20" s="33">
        <v>0</v>
      </c>
      <c r="Y20" s="35">
        <v>17693.559999999994</v>
      </c>
      <c r="Z20" s="31">
        <v>6142</v>
      </c>
      <c r="AA20" s="31">
        <v>180</v>
      </c>
      <c r="AB20" s="34">
        <v>1111</v>
      </c>
      <c r="AC20" s="31">
        <v>47720</v>
      </c>
      <c r="AD20" s="33">
        <v>16364</v>
      </c>
      <c r="AE20" s="33">
        <v>23963</v>
      </c>
      <c r="AF20" s="31">
        <v>1215</v>
      </c>
      <c r="AG20" s="36">
        <v>230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2966</v>
      </c>
      <c r="G21" s="32">
        <f>F21/200*25</f>
        <v>370.75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19986</v>
      </c>
      <c r="U21" s="32">
        <f>T21/215*25</f>
        <v>2323.953488372093</v>
      </c>
      <c r="V21" s="38">
        <v>0</v>
      </c>
      <c r="W21" s="38">
        <v>5941.12</v>
      </c>
      <c r="X21" s="38">
        <v>0</v>
      </c>
      <c r="Y21" s="38">
        <v>3632.1999999999925</v>
      </c>
      <c r="Z21" s="38">
        <v>1490</v>
      </c>
      <c r="AA21" s="38">
        <v>95</v>
      </c>
      <c r="AB21" s="38">
        <v>0</v>
      </c>
      <c r="AC21" s="38">
        <v>26877</v>
      </c>
      <c r="AD21" s="38">
        <v>0</v>
      </c>
      <c r="AE21" s="38">
        <v>6461</v>
      </c>
      <c r="AF21" s="38">
        <v>1060</v>
      </c>
      <c r="AG21" s="56">
        <v>96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16966</v>
      </c>
      <c r="G22" s="43">
        <f t="shared" si="1"/>
        <v>5455.4903846153848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108996</v>
      </c>
      <c r="U22" s="43">
        <f t="shared" si="1"/>
        <v>14668.372093023256</v>
      </c>
      <c r="V22" s="44" t="e">
        <f t="shared" si="1"/>
        <v>#REF!</v>
      </c>
      <c r="W22" s="45">
        <f t="shared" si="1"/>
        <v>65291.12</v>
      </c>
      <c r="X22" s="44">
        <f t="shared" si="1"/>
        <v>0</v>
      </c>
      <c r="Y22" s="43">
        <f t="shared" si="1"/>
        <v>21325.759999999987</v>
      </c>
      <c r="Z22" s="42">
        <f t="shared" si="1"/>
        <v>7632</v>
      </c>
      <c r="AA22" s="42">
        <f t="shared" si="1"/>
        <v>275</v>
      </c>
      <c r="AB22" s="44">
        <f t="shared" si="1"/>
        <v>1111</v>
      </c>
      <c r="AC22" s="42">
        <f t="shared" si="1"/>
        <v>74597</v>
      </c>
      <c r="AD22" s="44">
        <f t="shared" si="1"/>
        <v>16364</v>
      </c>
      <c r="AE22" s="44">
        <f t="shared" si="1"/>
        <v>30424</v>
      </c>
      <c r="AF22" s="42">
        <f t="shared" si="1"/>
        <v>2275</v>
      </c>
      <c r="AG22" s="46">
        <f t="shared" si="1"/>
        <v>326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>
        <v>15000</v>
      </c>
      <c r="X23" s="31"/>
      <c r="Y23" s="31">
        <v>4000</v>
      </c>
      <c r="Z23" s="31">
        <v>1000</v>
      </c>
      <c r="AA23" s="31"/>
      <c r="AB23" s="31"/>
      <c r="AC23" s="31">
        <v>7500</v>
      </c>
      <c r="AD23" s="31"/>
      <c r="AE23" s="48">
        <v>6600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16966</v>
      </c>
      <c r="G24" s="52">
        <f t="shared" si="2"/>
        <v>5455.4903846153848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108996</v>
      </c>
      <c r="U24" s="52">
        <f t="shared" si="2"/>
        <v>14668.372093023256</v>
      </c>
      <c r="V24" s="51" t="e">
        <f t="shared" si="2"/>
        <v>#REF!</v>
      </c>
      <c r="W24" s="52">
        <f t="shared" si="2"/>
        <v>80291.12</v>
      </c>
      <c r="X24" s="51">
        <f t="shared" si="2"/>
        <v>0</v>
      </c>
      <c r="Y24" s="52">
        <f t="shared" si="2"/>
        <v>25325.759999999987</v>
      </c>
      <c r="Z24" s="51">
        <f t="shared" si="2"/>
        <v>8632</v>
      </c>
      <c r="AA24" s="51">
        <f t="shared" si="2"/>
        <v>275</v>
      </c>
      <c r="AB24" s="51">
        <f t="shared" si="2"/>
        <v>1111</v>
      </c>
      <c r="AC24" s="51">
        <f t="shared" si="2"/>
        <v>82097</v>
      </c>
      <c r="AD24" s="51">
        <f t="shared" si="2"/>
        <v>16364</v>
      </c>
      <c r="AE24" s="51">
        <f t="shared" si="2"/>
        <v>37024</v>
      </c>
      <c r="AF24" s="51">
        <f t="shared" si="2"/>
        <v>2275</v>
      </c>
      <c r="AG24" s="53">
        <f t="shared" si="2"/>
        <v>326</v>
      </c>
    </row>
    <row r="25" spans="1:35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2956</v>
      </c>
      <c r="G25" s="32">
        <f>F25/200*25</f>
        <v>369.5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17701</v>
      </c>
      <c r="U25" s="32">
        <f>T25/215*25</f>
        <v>2058.2558139534881</v>
      </c>
      <c r="V25" s="47"/>
      <c r="W25" s="35">
        <v>6761.0000000000009</v>
      </c>
      <c r="X25" s="47"/>
      <c r="Y25" s="55">
        <v>2952.4500000000003</v>
      </c>
      <c r="Z25" s="31">
        <v>1215</v>
      </c>
      <c r="AA25" s="38"/>
      <c r="AB25" s="47"/>
      <c r="AC25" s="38">
        <v>10241</v>
      </c>
      <c r="AD25" s="47"/>
      <c r="AE25" s="47">
        <v>4951</v>
      </c>
      <c r="AF25" s="38"/>
      <c r="AG25" s="56">
        <v>36</v>
      </c>
    </row>
    <row r="26" spans="1:35" s="4" customFormat="1" ht="100.5" customHeight="1" thickBot="1" x14ac:dyDescent="0.25">
      <c r="A26" s="57">
        <v>46131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14010</v>
      </c>
      <c r="G26" s="58">
        <f>G24-G25</f>
        <v>5085.9903846153848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91295</v>
      </c>
      <c r="U26" s="58">
        <f>U24-U25</f>
        <v>12610.116279069767</v>
      </c>
      <c r="V26" s="58" t="e">
        <f>V24-V25-#REF!</f>
        <v>#REF!</v>
      </c>
      <c r="W26" s="59">
        <f>W24-W25</f>
        <v>73530.12</v>
      </c>
      <c r="X26" s="58" t="e">
        <f>X24-X25-#REF!</f>
        <v>#REF!</v>
      </c>
      <c r="Y26" s="59">
        <f t="shared" ref="Y26:AG26" si="3">Y24-Y25</f>
        <v>22373.309999999987</v>
      </c>
      <c r="Z26" s="58">
        <f t="shared" si="3"/>
        <v>7417</v>
      </c>
      <c r="AA26" s="58">
        <f t="shared" si="3"/>
        <v>275</v>
      </c>
      <c r="AB26" s="58">
        <f t="shared" si="3"/>
        <v>1111</v>
      </c>
      <c r="AC26" s="58">
        <f t="shared" si="3"/>
        <v>71856</v>
      </c>
      <c r="AD26" s="58">
        <f t="shared" si="3"/>
        <v>16364</v>
      </c>
      <c r="AE26" s="58">
        <f t="shared" si="3"/>
        <v>32073</v>
      </c>
      <c r="AF26" s="58">
        <f t="shared" si="3"/>
        <v>2275</v>
      </c>
      <c r="AG26" s="109">
        <f t="shared" si="3"/>
        <v>290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5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</row>
    <row r="30" spans="1:35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66</v>
      </c>
      <c r="AD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61</v>
      </c>
      <c r="AD31" s="68" t="s">
        <v>230</v>
      </c>
      <c r="AG31" s="65"/>
    </row>
    <row r="32" spans="1:35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256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J52"/>
  <sheetViews>
    <sheetView topLeftCell="A10" zoomScale="70" zoomScaleNormal="70" workbookViewId="0">
      <selection activeCell="T26" sqref="T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270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233"/>
      <c r="B15" s="234"/>
      <c r="C15" s="235"/>
      <c r="D15" s="233"/>
      <c r="E15" s="234"/>
      <c r="F15" s="234"/>
      <c r="G15" s="234"/>
      <c r="H15" s="234"/>
      <c r="I15" s="234"/>
      <c r="J15" s="234"/>
      <c r="K15" s="234"/>
      <c r="L15" s="234"/>
      <c r="M15" s="235"/>
      <c r="N15" s="107"/>
      <c r="O15" s="107"/>
      <c r="P15" s="236"/>
      <c r="Q15" s="237"/>
      <c r="R15" s="237"/>
      <c r="S15" s="237"/>
      <c r="T15" s="237"/>
      <c r="U15" s="237"/>
      <c r="V15" s="238"/>
      <c r="W15" s="242" t="s">
        <v>3</v>
      </c>
      <c r="X15" s="243"/>
      <c r="Y15" s="243"/>
      <c r="Z15" s="244"/>
      <c r="AA15" s="239"/>
      <c r="AB15" s="236"/>
      <c r="AC15" s="237"/>
      <c r="AD15" s="237"/>
      <c r="AE15" s="238"/>
      <c r="AF15" s="240"/>
      <c r="AG15" s="241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8"/>
      <c r="F16" s="232" t="s">
        <v>9</v>
      </c>
      <c r="G16" s="232"/>
      <c r="H16" s="232" t="s">
        <v>10</v>
      </c>
      <c r="I16" s="232"/>
      <c r="J16" s="232" t="s">
        <v>9</v>
      </c>
      <c r="K16" s="232"/>
      <c r="L16" s="232" t="s">
        <v>9</v>
      </c>
      <c r="M16" s="232"/>
      <c r="N16" s="232" t="s">
        <v>10</v>
      </c>
      <c r="O16" s="232"/>
      <c r="P16" s="232" t="s">
        <v>9</v>
      </c>
      <c r="Q16" s="232"/>
      <c r="R16" s="232" t="s">
        <v>9</v>
      </c>
      <c r="S16" s="232"/>
      <c r="T16" s="232" t="s">
        <v>9</v>
      </c>
      <c r="U16" s="232"/>
      <c r="V16" s="129" t="s">
        <v>11</v>
      </c>
      <c r="W16" s="130" t="s">
        <v>12</v>
      </c>
      <c r="X16" s="130" t="s">
        <v>13</v>
      </c>
      <c r="Y16" s="129" t="s">
        <v>13</v>
      </c>
      <c r="Z16" s="129" t="s">
        <v>14</v>
      </c>
      <c r="AA16" s="131" t="s">
        <v>15</v>
      </c>
      <c r="AB16" s="129" t="s">
        <v>16</v>
      </c>
      <c r="AC16" s="129" t="s">
        <v>17</v>
      </c>
      <c r="AD16" s="132" t="s">
        <v>18</v>
      </c>
      <c r="AE16" s="129" t="s">
        <v>20</v>
      </c>
      <c r="AF16" s="129" t="s">
        <v>21</v>
      </c>
      <c r="AG16" s="126" t="s">
        <v>22</v>
      </c>
    </row>
    <row r="17" spans="1:36" s="4" customFormat="1" ht="19.5" customHeight="1" x14ac:dyDescent="0.2">
      <c r="A17" s="180"/>
      <c r="B17" s="183"/>
      <c r="C17" s="183"/>
      <c r="D17" s="163">
        <v>200</v>
      </c>
      <c r="E17" s="178"/>
      <c r="F17" s="231">
        <v>200</v>
      </c>
      <c r="G17" s="231"/>
      <c r="H17" s="231">
        <v>200</v>
      </c>
      <c r="I17" s="231"/>
      <c r="J17" s="231">
        <v>208</v>
      </c>
      <c r="K17" s="231"/>
      <c r="L17" s="231">
        <v>150</v>
      </c>
      <c r="M17" s="231"/>
      <c r="N17" s="231">
        <v>150</v>
      </c>
      <c r="O17" s="231"/>
      <c r="P17" s="231">
        <v>38</v>
      </c>
      <c r="Q17" s="231"/>
      <c r="R17" s="231">
        <v>135</v>
      </c>
      <c r="S17" s="231"/>
      <c r="T17" s="231">
        <v>215</v>
      </c>
      <c r="U17" s="231"/>
      <c r="V17" s="12" t="s">
        <v>23</v>
      </c>
      <c r="W17" s="127"/>
      <c r="X17" s="127" t="s">
        <v>24</v>
      </c>
      <c r="Y17" s="12"/>
      <c r="Z17" s="12"/>
      <c r="AA17" s="128" t="s">
        <v>25</v>
      </c>
      <c r="AB17" s="12" t="s">
        <v>26</v>
      </c>
      <c r="AC17" s="12" t="s">
        <v>27</v>
      </c>
      <c r="AD17" s="12" t="s">
        <v>26</v>
      </c>
      <c r="AE17" s="12" t="s">
        <v>158</v>
      </c>
      <c r="AF17" s="12"/>
      <c r="AG17" s="125"/>
    </row>
    <row r="18" spans="1:36" s="4" customFormat="1" ht="19.5" customHeight="1" x14ac:dyDescent="0.2">
      <c r="A18" s="180"/>
      <c r="B18" s="183"/>
      <c r="C18" s="183"/>
      <c r="D18" s="163" t="s">
        <v>268</v>
      </c>
      <c r="E18" s="178"/>
      <c r="F18" s="231" t="s">
        <v>225</v>
      </c>
      <c r="G18" s="231"/>
      <c r="H18" s="231" t="s">
        <v>31</v>
      </c>
      <c r="I18" s="231"/>
      <c r="J18" s="231" t="s">
        <v>32</v>
      </c>
      <c r="K18" s="231"/>
      <c r="L18" s="231" t="s">
        <v>30</v>
      </c>
      <c r="M18" s="231"/>
      <c r="N18" s="231" t="s">
        <v>33</v>
      </c>
      <c r="O18" s="231"/>
      <c r="P18" s="231" t="s">
        <v>33</v>
      </c>
      <c r="Q18" s="231"/>
      <c r="R18" s="231" t="s">
        <v>33</v>
      </c>
      <c r="S18" s="231"/>
      <c r="T18" s="231" t="s">
        <v>33</v>
      </c>
      <c r="U18" s="231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5"/>
    </row>
    <row r="19" spans="1:36" s="4" customFormat="1" ht="22.5" thickBot="1" x14ac:dyDescent="0.25">
      <c r="A19" s="181"/>
      <c r="B19" s="184"/>
      <c r="C19" s="184"/>
      <c r="D19" s="22" t="s">
        <v>34</v>
      </c>
      <c r="E19" s="25" t="s">
        <v>35</v>
      </c>
      <c r="F19" s="133" t="s">
        <v>34</v>
      </c>
      <c r="G19" s="133" t="s">
        <v>35</v>
      </c>
      <c r="H19" s="133" t="s">
        <v>34</v>
      </c>
      <c r="I19" s="133" t="s">
        <v>35</v>
      </c>
      <c r="J19" s="133" t="s">
        <v>34</v>
      </c>
      <c r="K19" s="133" t="s">
        <v>35</v>
      </c>
      <c r="L19" s="133" t="s">
        <v>34</v>
      </c>
      <c r="M19" s="133" t="s">
        <v>35</v>
      </c>
      <c r="N19" s="133" t="s">
        <v>34</v>
      </c>
      <c r="O19" s="133" t="s">
        <v>35</v>
      </c>
      <c r="P19" s="133" t="s">
        <v>34</v>
      </c>
      <c r="Q19" s="133" t="s">
        <v>35</v>
      </c>
      <c r="R19" s="133" t="s">
        <v>34</v>
      </c>
      <c r="S19" s="133" t="s">
        <v>35</v>
      </c>
      <c r="T19" s="133" t="s">
        <v>34</v>
      </c>
      <c r="U19" s="133" t="s">
        <v>35</v>
      </c>
      <c r="V19" s="133" t="s">
        <v>34</v>
      </c>
      <c r="W19" s="133" t="s">
        <v>35</v>
      </c>
      <c r="X19" s="133" t="s">
        <v>36</v>
      </c>
      <c r="Y19" s="133" t="s">
        <v>36</v>
      </c>
      <c r="Z19" s="133" t="s">
        <v>34</v>
      </c>
      <c r="AA19" s="133" t="s">
        <v>34</v>
      </c>
      <c r="AB19" s="133" t="s">
        <v>34</v>
      </c>
      <c r="AC19" s="133" t="s">
        <v>34</v>
      </c>
      <c r="AD19" s="133" t="s">
        <v>34</v>
      </c>
      <c r="AE19" s="133" t="s">
        <v>36</v>
      </c>
      <c r="AF19" s="133" t="s">
        <v>36</v>
      </c>
      <c r="AG19" s="23" t="s">
        <v>34</v>
      </c>
    </row>
    <row r="20" spans="1:36" ht="54" customHeight="1" x14ac:dyDescent="0.3">
      <c r="A20" s="166">
        <v>46132</v>
      </c>
      <c r="B20" s="169" t="s">
        <v>37</v>
      </c>
      <c r="C20" s="30" t="s">
        <v>38</v>
      </c>
      <c r="D20" s="86">
        <v>0</v>
      </c>
      <c r="E20" s="31">
        <f t="shared" ref="E20" si="0">D20/200*25</f>
        <v>0</v>
      </c>
      <c r="F20" s="31">
        <v>9000</v>
      </c>
      <c r="G20" s="35">
        <v>5084.7403846153848</v>
      </c>
      <c r="H20" s="33" t="e">
        <v>#VALUE!</v>
      </c>
      <c r="I20" s="33" t="e">
        <v>#VALUE!</v>
      </c>
      <c r="J20" s="33">
        <v>0</v>
      </c>
      <c r="K20" s="33">
        <v>0</v>
      </c>
      <c r="L20" s="33">
        <v>0</v>
      </c>
      <c r="M20" s="33">
        <v>0</v>
      </c>
      <c r="N20" s="33" t="e">
        <v>#REF!</v>
      </c>
      <c r="O20" s="33" t="e">
        <v>#REF!</v>
      </c>
      <c r="P20" s="31">
        <v>0</v>
      </c>
      <c r="Q20" s="33">
        <v>0</v>
      </c>
      <c r="R20" s="33">
        <v>0</v>
      </c>
      <c r="S20" s="33">
        <v>0</v>
      </c>
      <c r="T20" s="31">
        <v>40635</v>
      </c>
      <c r="U20" s="33">
        <v>12344.418604651162</v>
      </c>
      <c r="V20" s="33" t="e">
        <v>#REF!</v>
      </c>
      <c r="W20" s="33">
        <v>58700</v>
      </c>
      <c r="X20" s="33">
        <v>0</v>
      </c>
      <c r="Y20" s="35">
        <v>15983.059999999994</v>
      </c>
      <c r="Z20" s="31">
        <v>4792</v>
      </c>
      <c r="AA20" s="31">
        <v>180</v>
      </c>
      <c r="AB20" s="33">
        <v>1111</v>
      </c>
      <c r="AC20" s="31">
        <v>30976</v>
      </c>
      <c r="AD20" s="33">
        <v>16364</v>
      </c>
      <c r="AE20" s="33">
        <v>15360</v>
      </c>
      <c r="AF20" s="31">
        <v>1215</v>
      </c>
      <c r="AG20" s="36">
        <v>150</v>
      </c>
      <c r="AH20" s="78"/>
    </row>
    <row r="21" spans="1:36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5010</v>
      </c>
      <c r="G21" s="32">
        <f>F21/200*25</f>
        <v>626.25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50660</v>
      </c>
      <c r="U21" s="32">
        <f>T21/215*25</f>
        <v>5890.6976744186049</v>
      </c>
      <c r="V21" s="38">
        <v>0</v>
      </c>
      <c r="W21" s="38">
        <v>14830.119999999999</v>
      </c>
      <c r="X21" s="38">
        <v>0</v>
      </c>
      <c r="Y21" s="38">
        <v>6390.2499999999927</v>
      </c>
      <c r="Z21" s="38">
        <v>2625</v>
      </c>
      <c r="AA21" s="38">
        <v>95</v>
      </c>
      <c r="AB21" s="38">
        <v>0</v>
      </c>
      <c r="AC21" s="38">
        <v>40880</v>
      </c>
      <c r="AD21" s="38">
        <v>0</v>
      </c>
      <c r="AE21" s="38">
        <v>16713</v>
      </c>
      <c r="AF21" s="38">
        <v>1060</v>
      </c>
      <c r="AG21" s="56">
        <v>140</v>
      </c>
      <c r="AH21" s="40"/>
      <c r="AI21" s="40"/>
    </row>
    <row r="22" spans="1:36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14010</v>
      </c>
      <c r="G22" s="43">
        <f t="shared" si="1"/>
        <v>5710.9903846153848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91295</v>
      </c>
      <c r="U22" s="43">
        <f t="shared" si="1"/>
        <v>18235.116279069767</v>
      </c>
      <c r="V22" s="44" t="e">
        <f t="shared" si="1"/>
        <v>#REF!</v>
      </c>
      <c r="W22" s="45">
        <f t="shared" si="1"/>
        <v>73530.12</v>
      </c>
      <c r="X22" s="44">
        <f t="shared" si="1"/>
        <v>0</v>
      </c>
      <c r="Y22" s="43">
        <f t="shared" si="1"/>
        <v>22373.309999999987</v>
      </c>
      <c r="Z22" s="42">
        <f t="shared" si="1"/>
        <v>7417</v>
      </c>
      <c r="AA22" s="42">
        <f t="shared" si="1"/>
        <v>275</v>
      </c>
      <c r="AB22" s="44">
        <f t="shared" si="1"/>
        <v>1111</v>
      </c>
      <c r="AC22" s="42">
        <f t="shared" si="1"/>
        <v>71856</v>
      </c>
      <c r="AD22" s="44">
        <f t="shared" si="1"/>
        <v>16364</v>
      </c>
      <c r="AE22" s="44">
        <f t="shared" si="1"/>
        <v>32073</v>
      </c>
      <c r="AF22" s="42">
        <f t="shared" si="1"/>
        <v>2275</v>
      </c>
      <c r="AG22" s="46">
        <f t="shared" si="1"/>
        <v>290</v>
      </c>
      <c r="AH22" s="63"/>
    </row>
    <row r="23" spans="1:36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8750</v>
      </c>
      <c r="X23" s="31"/>
      <c r="Y23" s="31">
        <v>3000</v>
      </c>
      <c r="Z23" s="31">
        <v>1000</v>
      </c>
      <c r="AA23" s="31"/>
      <c r="AB23" s="31"/>
      <c r="AC23" s="31">
        <v>12100</v>
      </c>
      <c r="AD23" s="31"/>
      <c r="AE23" s="48">
        <v>5700</v>
      </c>
      <c r="AF23" s="31"/>
      <c r="AG23" s="49">
        <v>100</v>
      </c>
      <c r="AI23" s="50"/>
    </row>
    <row r="24" spans="1:36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34010</v>
      </c>
      <c r="G24" s="52">
        <f t="shared" si="2"/>
        <v>8210.9903846153848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112795</v>
      </c>
      <c r="U24" s="52">
        <f t="shared" si="2"/>
        <v>20735.116279069767</v>
      </c>
      <c r="V24" s="51" t="e">
        <f t="shared" si="2"/>
        <v>#REF!</v>
      </c>
      <c r="W24" s="52">
        <f t="shared" si="2"/>
        <v>82280.12</v>
      </c>
      <c r="X24" s="51">
        <f t="shared" si="2"/>
        <v>0</v>
      </c>
      <c r="Y24" s="52">
        <f t="shared" si="2"/>
        <v>25373.309999999987</v>
      </c>
      <c r="Z24" s="51">
        <f t="shared" si="2"/>
        <v>8417</v>
      </c>
      <c r="AA24" s="51">
        <f t="shared" si="2"/>
        <v>275</v>
      </c>
      <c r="AB24" s="51">
        <f t="shared" si="2"/>
        <v>1111</v>
      </c>
      <c r="AC24" s="51">
        <f t="shared" si="2"/>
        <v>83956</v>
      </c>
      <c r="AD24" s="51">
        <f t="shared" si="2"/>
        <v>16364</v>
      </c>
      <c r="AE24" s="51">
        <f t="shared" si="2"/>
        <v>37773</v>
      </c>
      <c r="AF24" s="51">
        <f t="shared" si="2"/>
        <v>2275</v>
      </c>
      <c r="AG24" s="53">
        <f t="shared" si="2"/>
        <v>390</v>
      </c>
    </row>
    <row r="25" spans="1:36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5282</v>
      </c>
      <c r="G25" s="32">
        <f>F25/200*25</f>
        <v>660.25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16105</v>
      </c>
      <c r="U25" s="32">
        <f>T25/215*25</f>
        <v>1872.6744186046512</v>
      </c>
      <c r="V25" s="47"/>
      <c r="W25" s="35">
        <v>7431.6</v>
      </c>
      <c r="X25" s="47"/>
      <c r="Y25" s="55">
        <f>Z25*2.43</f>
        <v>3073.9500000000003</v>
      </c>
      <c r="Z25" s="31">
        <v>1265</v>
      </c>
      <c r="AA25" s="38">
        <v>0</v>
      </c>
      <c r="AB25" s="47">
        <v>0</v>
      </c>
      <c r="AC25" s="38">
        <v>11277</v>
      </c>
      <c r="AD25" s="47">
        <v>0</v>
      </c>
      <c r="AE25" s="47">
        <v>5259</v>
      </c>
      <c r="AF25" s="38">
        <v>0</v>
      </c>
      <c r="AG25" s="56">
        <v>48</v>
      </c>
    </row>
    <row r="26" spans="1:36" s="4" customFormat="1" ht="100.5" customHeight="1" thickBot="1" x14ac:dyDescent="0.25">
      <c r="A26" s="57">
        <v>46138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28728</v>
      </c>
      <c r="G26" s="58">
        <f>G24-G25</f>
        <v>7550.7403846153848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96690</v>
      </c>
      <c r="U26" s="58">
        <f>U24-U25</f>
        <v>18862.441860465115</v>
      </c>
      <c r="V26" s="58" t="e">
        <f>V24-V25-#REF!</f>
        <v>#REF!</v>
      </c>
      <c r="W26" s="59">
        <f>W24-W25</f>
        <v>74848.51999999999</v>
      </c>
      <c r="X26" s="58" t="e">
        <f>X24-X25-#REF!</f>
        <v>#REF!</v>
      </c>
      <c r="Y26" s="59">
        <f t="shared" ref="Y26:AG26" si="3">Y24-Y25</f>
        <v>22299.359999999986</v>
      </c>
      <c r="Z26" s="58">
        <f t="shared" si="3"/>
        <v>7152</v>
      </c>
      <c r="AA26" s="58">
        <f t="shared" si="3"/>
        <v>275</v>
      </c>
      <c r="AB26" s="58">
        <f t="shared" si="3"/>
        <v>1111</v>
      </c>
      <c r="AC26" s="58">
        <f t="shared" si="3"/>
        <v>72679</v>
      </c>
      <c r="AD26" s="58">
        <f t="shared" si="3"/>
        <v>16364</v>
      </c>
      <c r="AE26" s="58">
        <f t="shared" si="3"/>
        <v>32514</v>
      </c>
      <c r="AF26" s="58">
        <f t="shared" si="3"/>
        <v>2275</v>
      </c>
      <c r="AG26" s="109">
        <f t="shared" si="3"/>
        <v>342</v>
      </c>
    </row>
    <row r="27" spans="1:36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6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6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  <c r="AJ29" s="64">
        <f>14010-11000</f>
        <v>3010</v>
      </c>
    </row>
    <row r="30" spans="1:36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66</v>
      </c>
      <c r="AD30" s="71" t="s">
        <v>53</v>
      </c>
      <c r="AH30" s="65"/>
    </row>
    <row r="31" spans="1:36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61</v>
      </c>
      <c r="AD31" s="68" t="s">
        <v>230</v>
      </c>
      <c r="AG31" s="65"/>
    </row>
    <row r="32" spans="1:36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2" zoomScale="70" zoomScaleNormal="70" workbookViewId="0">
      <selection activeCell="A35" sqref="A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271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233"/>
      <c r="B15" s="234"/>
      <c r="C15" s="235"/>
      <c r="D15" s="233"/>
      <c r="E15" s="234"/>
      <c r="F15" s="234"/>
      <c r="G15" s="234"/>
      <c r="H15" s="234"/>
      <c r="I15" s="234"/>
      <c r="J15" s="234"/>
      <c r="K15" s="234"/>
      <c r="L15" s="234"/>
      <c r="M15" s="235"/>
      <c r="N15" s="107"/>
      <c r="O15" s="107"/>
      <c r="P15" s="236"/>
      <c r="Q15" s="237"/>
      <c r="R15" s="237"/>
      <c r="S15" s="237"/>
      <c r="T15" s="237"/>
      <c r="U15" s="237"/>
      <c r="V15" s="238"/>
      <c r="W15" s="242" t="s">
        <v>3</v>
      </c>
      <c r="X15" s="243"/>
      <c r="Y15" s="243"/>
      <c r="Z15" s="244"/>
      <c r="AA15" s="239"/>
      <c r="AB15" s="236"/>
      <c r="AC15" s="237"/>
      <c r="AD15" s="237"/>
      <c r="AE15" s="238"/>
      <c r="AF15" s="240"/>
      <c r="AG15" s="241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8"/>
      <c r="F16" s="232" t="s">
        <v>9</v>
      </c>
      <c r="G16" s="232"/>
      <c r="H16" s="232" t="s">
        <v>10</v>
      </c>
      <c r="I16" s="232"/>
      <c r="J16" s="232" t="s">
        <v>9</v>
      </c>
      <c r="K16" s="232"/>
      <c r="L16" s="232" t="s">
        <v>9</v>
      </c>
      <c r="M16" s="232"/>
      <c r="N16" s="232" t="s">
        <v>10</v>
      </c>
      <c r="O16" s="232"/>
      <c r="P16" s="232" t="s">
        <v>9</v>
      </c>
      <c r="Q16" s="232"/>
      <c r="R16" s="232" t="s">
        <v>9</v>
      </c>
      <c r="S16" s="232"/>
      <c r="T16" s="232" t="s">
        <v>9</v>
      </c>
      <c r="U16" s="232"/>
      <c r="V16" s="136" t="s">
        <v>11</v>
      </c>
      <c r="W16" s="130" t="s">
        <v>12</v>
      </c>
      <c r="X16" s="130" t="s">
        <v>13</v>
      </c>
      <c r="Y16" s="136" t="s">
        <v>13</v>
      </c>
      <c r="Z16" s="136" t="s">
        <v>14</v>
      </c>
      <c r="AA16" s="131" t="s">
        <v>15</v>
      </c>
      <c r="AB16" s="136" t="s">
        <v>16</v>
      </c>
      <c r="AC16" s="136" t="s">
        <v>17</v>
      </c>
      <c r="AD16" s="132" t="s">
        <v>18</v>
      </c>
      <c r="AE16" s="136" t="s">
        <v>20</v>
      </c>
      <c r="AF16" s="136" t="s">
        <v>21</v>
      </c>
      <c r="AG16" s="134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78"/>
      <c r="F17" s="231">
        <v>200</v>
      </c>
      <c r="G17" s="231"/>
      <c r="H17" s="231">
        <v>200</v>
      </c>
      <c r="I17" s="231"/>
      <c r="J17" s="231">
        <v>208</v>
      </c>
      <c r="K17" s="231"/>
      <c r="L17" s="231">
        <v>150</v>
      </c>
      <c r="M17" s="231"/>
      <c r="N17" s="231">
        <v>150</v>
      </c>
      <c r="O17" s="231"/>
      <c r="P17" s="231">
        <v>38</v>
      </c>
      <c r="Q17" s="231"/>
      <c r="R17" s="231">
        <v>135</v>
      </c>
      <c r="S17" s="231"/>
      <c r="T17" s="231">
        <v>215</v>
      </c>
      <c r="U17" s="231"/>
      <c r="V17" s="137" t="s">
        <v>23</v>
      </c>
      <c r="W17" s="127"/>
      <c r="X17" s="127" t="s">
        <v>24</v>
      </c>
      <c r="Y17" s="137"/>
      <c r="Z17" s="137"/>
      <c r="AA17" s="128" t="s">
        <v>25</v>
      </c>
      <c r="AB17" s="137" t="s">
        <v>26</v>
      </c>
      <c r="AC17" s="137" t="s">
        <v>27</v>
      </c>
      <c r="AD17" s="137" t="s">
        <v>26</v>
      </c>
      <c r="AE17" s="137" t="s">
        <v>158</v>
      </c>
      <c r="AF17" s="137"/>
      <c r="AG17" s="135"/>
    </row>
    <row r="18" spans="1:35" s="4" customFormat="1" ht="19.5" customHeight="1" x14ac:dyDescent="0.2">
      <c r="A18" s="180"/>
      <c r="B18" s="183"/>
      <c r="C18" s="183"/>
      <c r="D18" s="163" t="s">
        <v>268</v>
      </c>
      <c r="E18" s="178"/>
      <c r="F18" s="231" t="s">
        <v>225</v>
      </c>
      <c r="G18" s="231"/>
      <c r="H18" s="231" t="s">
        <v>31</v>
      </c>
      <c r="I18" s="231"/>
      <c r="J18" s="231" t="s">
        <v>32</v>
      </c>
      <c r="K18" s="231"/>
      <c r="L18" s="231" t="s">
        <v>30</v>
      </c>
      <c r="M18" s="231"/>
      <c r="N18" s="231" t="s">
        <v>33</v>
      </c>
      <c r="O18" s="231"/>
      <c r="P18" s="231" t="s">
        <v>33</v>
      </c>
      <c r="Q18" s="231"/>
      <c r="R18" s="231" t="s">
        <v>33</v>
      </c>
      <c r="S18" s="231"/>
      <c r="T18" s="231" t="s">
        <v>33</v>
      </c>
      <c r="U18" s="231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5"/>
    </row>
    <row r="19" spans="1:35" s="4" customFormat="1" ht="22.5" thickBot="1" x14ac:dyDescent="0.25">
      <c r="A19" s="181"/>
      <c r="B19" s="184"/>
      <c r="C19" s="184"/>
      <c r="D19" s="22" t="s">
        <v>34</v>
      </c>
      <c r="E19" s="25" t="s">
        <v>35</v>
      </c>
      <c r="F19" s="133" t="s">
        <v>34</v>
      </c>
      <c r="G19" s="133" t="s">
        <v>35</v>
      </c>
      <c r="H19" s="133" t="s">
        <v>34</v>
      </c>
      <c r="I19" s="133" t="s">
        <v>35</v>
      </c>
      <c r="J19" s="133" t="s">
        <v>34</v>
      </c>
      <c r="K19" s="133" t="s">
        <v>35</v>
      </c>
      <c r="L19" s="133" t="s">
        <v>34</v>
      </c>
      <c r="M19" s="133" t="s">
        <v>35</v>
      </c>
      <c r="N19" s="133" t="s">
        <v>34</v>
      </c>
      <c r="O19" s="133" t="s">
        <v>35</v>
      </c>
      <c r="P19" s="133" t="s">
        <v>34</v>
      </c>
      <c r="Q19" s="133" t="s">
        <v>35</v>
      </c>
      <c r="R19" s="133" t="s">
        <v>34</v>
      </c>
      <c r="S19" s="133" t="s">
        <v>35</v>
      </c>
      <c r="T19" s="133" t="s">
        <v>34</v>
      </c>
      <c r="U19" s="133" t="s">
        <v>35</v>
      </c>
      <c r="V19" s="133" t="s">
        <v>34</v>
      </c>
      <c r="W19" s="133" t="s">
        <v>35</v>
      </c>
      <c r="X19" s="133" t="s">
        <v>36</v>
      </c>
      <c r="Y19" s="133" t="s">
        <v>36</v>
      </c>
      <c r="Z19" s="133" t="s">
        <v>34</v>
      </c>
      <c r="AA19" s="133" t="s">
        <v>34</v>
      </c>
      <c r="AB19" s="133" t="s">
        <v>34</v>
      </c>
      <c r="AC19" s="133" t="s">
        <v>34</v>
      </c>
      <c r="AD19" s="133" t="s">
        <v>34</v>
      </c>
      <c r="AE19" s="133" t="s">
        <v>36</v>
      </c>
      <c r="AF19" s="133" t="s">
        <v>36</v>
      </c>
      <c r="AG19" s="23" t="s">
        <v>34</v>
      </c>
    </row>
    <row r="20" spans="1:35" ht="54" customHeight="1" x14ac:dyDescent="0.3">
      <c r="A20" s="166">
        <v>46139</v>
      </c>
      <c r="B20" s="169" t="s">
        <v>37</v>
      </c>
      <c r="C20" s="30" t="s">
        <v>38</v>
      </c>
      <c r="D20" s="86">
        <v>0</v>
      </c>
      <c r="E20" s="31">
        <f t="shared" ref="E20" si="0">D20/200*25</f>
        <v>0</v>
      </c>
      <c r="F20" s="31">
        <v>13000</v>
      </c>
      <c r="G20" s="35">
        <v>5084.7403846153848</v>
      </c>
      <c r="H20" s="33" t="e">
        <v>#VALUE!</v>
      </c>
      <c r="I20" s="33" t="e">
        <v>#VALUE!</v>
      </c>
      <c r="J20" s="33">
        <v>0</v>
      </c>
      <c r="K20" s="33">
        <v>0</v>
      </c>
      <c r="L20" s="33">
        <v>0</v>
      </c>
      <c r="M20" s="33">
        <v>0</v>
      </c>
      <c r="N20" s="33" t="e">
        <v>#REF!</v>
      </c>
      <c r="O20" s="33" t="e">
        <v>#REF!</v>
      </c>
      <c r="P20" s="31">
        <v>0</v>
      </c>
      <c r="Q20" s="33">
        <v>0</v>
      </c>
      <c r="R20" s="33">
        <v>0</v>
      </c>
      <c r="S20" s="33">
        <v>0</v>
      </c>
      <c r="T20" s="31">
        <v>56760</v>
      </c>
      <c r="U20" s="33">
        <v>12344.418604651162</v>
      </c>
      <c r="V20" s="33" t="e">
        <v>#REF!</v>
      </c>
      <c r="W20" s="33">
        <v>59325</v>
      </c>
      <c r="X20" s="33">
        <v>0</v>
      </c>
      <c r="Y20" s="35">
        <v>15843.499999999993</v>
      </c>
      <c r="Z20" s="31">
        <v>4500</v>
      </c>
      <c r="AA20" s="31">
        <v>180</v>
      </c>
      <c r="AB20" s="33">
        <v>1111</v>
      </c>
      <c r="AC20" s="31">
        <v>31166</v>
      </c>
      <c r="AD20" s="33">
        <v>16364</v>
      </c>
      <c r="AE20" s="33">
        <v>16260</v>
      </c>
      <c r="AF20" s="31">
        <v>1215</v>
      </c>
      <c r="AG20" s="36">
        <v>250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15728</v>
      </c>
      <c r="G21" s="32">
        <f>F21/200*25</f>
        <v>1966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39930</v>
      </c>
      <c r="U21" s="32">
        <f>T21/215*25</f>
        <v>4643.0232558139533</v>
      </c>
      <c r="V21" s="38">
        <v>0</v>
      </c>
      <c r="W21" s="38">
        <v>15523.52</v>
      </c>
      <c r="X21" s="38">
        <v>0</v>
      </c>
      <c r="Y21" s="38">
        <v>6455.8599999999897</v>
      </c>
      <c r="Z21" s="38">
        <v>2652</v>
      </c>
      <c r="AA21" s="38">
        <v>95</v>
      </c>
      <c r="AB21" s="38">
        <v>0</v>
      </c>
      <c r="AC21" s="38">
        <v>41513</v>
      </c>
      <c r="AD21" s="38">
        <v>0</v>
      </c>
      <c r="AE21" s="38">
        <v>16254</v>
      </c>
      <c r="AF21" s="38">
        <v>1060</v>
      </c>
      <c r="AG21" s="56">
        <v>92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28728</v>
      </c>
      <c r="G22" s="43">
        <f t="shared" si="1"/>
        <v>7050.7403846153848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96690</v>
      </c>
      <c r="U22" s="43">
        <f t="shared" si="1"/>
        <v>16987.441860465115</v>
      </c>
      <c r="V22" s="44" t="e">
        <f t="shared" si="1"/>
        <v>#REF!</v>
      </c>
      <c r="W22" s="45">
        <f t="shared" si="1"/>
        <v>74848.52</v>
      </c>
      <c r="X22" s="44">
        <f t="shared" si="1"/>
        <v>0</v>
      </c>
      <c r="Y22" s="43">
        <f t="shared" si="1"/>
        <v>22299.359999999982</v>
      </c>
      <c r="Z22" s="42">
        <f t="shared" si="1"/>
        <v>7152</v>
      </c>
      <c r="AA22" s="42">
        <f t="shared" si="1"/>
        <v>275</v>
      </c>
      <c r="AB22" s="44">
        <f t="shared" si="1"/>
        <v>1111</v>
      </c>
      <c r="AC22" s="42">
        <f t="shared" si="1"/>
        <v>72679</v>
      </c>
      <c r="AD22" s="44">
        <f t="shared" si="1"/>
        <v>16364</v>
      </c>
      <c r="AE22" s="44">
        <f t="shared" si="1"/>
        <v>32514</v>
      </c>
      <c r="AF22" s="42">
        <f t="shared" si="1"/>
        <v>2275</v>
      </c>
      <c r="AG22" s="46">
        <f t="shared" si="1"/>
        <v>342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v>15000</v>
      </c>
      <c r="G23" s="32">
        <f>F23/200*25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16125</v>
      </c>
      <c r="U23" s="32">
        <f>T23/215*25</f>
        <v>1875</v>
      </c>
      <c r="V23" s="31"/>
      <c r="W23" s="31">
        <v>23750</v>
      </c>
      <c r="X23" s="31"/>
      <c r="Y23" s="31">
        <v>3000</v>
      </c>
      <c r="Z23" s="31">
        <v>1000</v>
      </c>
      <c r="AA23" s="31"/>
      <c r="AB23" s="31"/>
      <c r="AC23" s="31">
        <v>9150</v>
      </c>
      <c r="AD23" s="31"/>
      <c r="AE23" s="48">
        <v>4700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43728</v>
      </c>
      <c r="G24" s="52">
        <f t="shared" si="2"/>
        <v>8925.7403846153848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112815</v>
      </c>
      <c r="U24" s="52">
        <f t="shared" si="2"/>
        <v>18862.441860465115</v>
      </c>
      <c r="V24" s="51" t="e">
        <f t="shared" si="2"/>
        <v>#REF!</v>
      </c>
      <c r="W24" s="52">
        <f t="shared" si="2"/>
        <v>98598.52</v>
      </c>
      <c r="X24" s="51">
        <f t="shared" si="2"/>
        <v>0</v>
      </c>
      <c r="Y24" s="52">
        <f t="shared" si="2"/>
        <v>25299.359999999982</v>
      </c>
      <c r="Z24" s="51">
        <f t="shared" si="2"/>
        <v>8152</v>
      </c>
      <c r="AA24" s="51">
        <f t="shared" si="2"/>
        <v>275</v>
      </c>
      <c r="AB24" s="51">
        <f t="shared" si="2"/>
        <v>1111</v>
      </c>
      <c r="AC24" s="51">
        <f t="shared" si="2"/>
        <v>81829</v>
      </c>
      <c r="AD24" s="51">
        <f t="shared" si="2"/>
        <v>16364</v>
      </c>
      <c r="AE24" s="51">
        <f t="shared" si="2"/>
        <v>37214</v>
      </c>
      <c r="AF24" s="51">
        <f t="shared" si="2"/>
        <v>2275</v>
      </c>
      <c r="AG24" s="53">
        <f t="shared" si="2"/>
        <v>342</v>
      </c>
    </row>
    <row r="25" spans="1:35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7774</v>
      </c>
      <c r="G25" s="32">
        <f>F25/200*25</f>
        <v>971.74999999999989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9100</v>
      </c>
      <c r="U25" s="32">
        <f>T25/215*25</f>
        <v>1058.1395348837209</v>
      </c>
      <c r="V25" s="47"/>
      <c r="W25" s="35">
        <v>5224.2</v>
      </c>
      <c r="X25" s="47"/>
      <c r="Y25" s="55">
        <v>2320.65</v>
      </c>
      <c r="Z25" s="31">
        <v>955</v>
      </c>
      <c r="AA25" s="38"/>
      <c r="AB25" s="47"/>
      <c r="AC25" s="38">
        <v>8373</v>
      </c>
      <c r="AD25" s="47"/>
      <c r="AE25" s="47">
        <v>3876</v>
      </c>
      <c r="AF25" s="38"/>
      <c r="AG25" s="56">
        <v>32</v>
      </c>
    </row>
    <row r="26" spans="1:35" s="4" customFormat="1" ht="100.5" customHeight="1" thickBot="1" x14ac:dyDescent="0.25">
      <c r="A26" s="57">
        <v>46145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35954</v>
      </c>
      <c r="G26" s="58">
        <f>G24-G25</f>
        <v>7953.9903846153848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103715</v>
      </c>
      <c r="U26" s="58">
        <f>U24-U25</f>
        <v>17804.302325581393</v>
      </c>
      <c r="V26" s="58" t="e">
        <f>V24-V25-#REF!</f>
        <v>#REF!</v>
      </c>
      <c r="W26" s="59">
        <f>W24-W25</f>
        <v>93374.32</v>
      </c>
      <c r="X26" s="58" t="e">
        <f>X24-X25-#REF!</f>
        <v>#REF!</v>
      </c>
      <c r="Y26" s="59">
        <f t="shared" ref="Y26:AG26" si="3">Y24-Y25</f>
        <v>22978.709999999981</v>
      </c>
      <c r="Z26" s="58">
        <f t="shared" si="3"/>
        <v>7197</v>
      </c>
      <c r="AA26" s="58">
        <f t="shared" si="3"/>
        <v>275</v>
      </c>
      <c r="AB26" s="58">
        <f t="shared" si="3"/>
        <v>1111</v>
      </c>
      <c r="AC26" s="58">
        <f t="shared" si="3"/>
        <v>73456</v>
      </c>
      <c r="AD26" s="58">
        <f t="shared" si="3"/>
        <v>16364</v>
      </c>
      <c r="AE26" s="58">
        <f t="shared" si="3"/>
        <v>33338</v>
      </c>
      <c r="AF26" s="58">
        <f t="shared" si="3"/>
        <v>2275</v>
      </c>
      <c r="AG26" s="109">
        <f t="shared" si="3"/>
        <v>310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5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</row>
    <row r="30" spans="1:35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52</v>
      </c>
      <c r="AD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212</v>
      </c>
      <c r="AD31" s="68" t="s">
        <v>230</v>
      </c>
      <c r="AG31" s="65"/>
    </row>
    <row r="32" spans="1:35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22" zoomScale="70" zoomScaleNormal="70" workbookViewId="0">
      <selection activeCell="Z25" sqref="Z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272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233"/>
      <c r="B15" s="234"/>
      <c r="C15" s="235"/>
      <c r="D15" s="233"/>
      <c r="E15" s="234"/>
      <c r="F15" s="234"/>
      <c r="G15" s="234"/>
      <c r="H15" s="234"/>
      <c r="I15" s="234"/>
      <c r="J15" s="234"/>
      <c r="K15" s="234"/>
      <c r="L15" s="234"/>
      <c r="M15" s="235"/>
      <c r="N15" s="107"/>
      <c r="O15" s="107"/>
      <c r="P15" s="236"/>
      <c r="Q15" s="237"/>
      <c r="R15" s="237"/>
      <c r="S15" s="237"/>
      <c r="T15" s="237"/>
      <c r="U15" s="237"/>
      <c r="V15" s="238"/>
      <c r="W15" s="242" t="s">
        <v>3</v>
      </c>
      <c r="X15" s="243"/>
      <c r="Y15" s="243"/>
      <c r="Z15" s="244"/>
      <c r="AA15" s="239"/>
      <c r="AB15" s="236"/>
      <c r="AC15" s="237"/>
      <c r="AD15" s="237"/>
      <c r="AE15" s="238"/>
      <c r="AF15" s="240"/>
      <c r="AG15" s="241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8"/>
      <c r="F16" s="232" t="s">
        <v>9</v>
      </c>
      <c r="G16" s="232"/>
      <c r="H16" s="232" t="s">
        <v>10</v>
      </c>
      <c r="I16" s="232"/>
      <c r="J16" s="232" t="s">
        <v>9</v>
      </c>
      <c r="K16" s="232"/>
      <c r="L16" s="232" t="s">
        <v>9</v>
      </c>
      <c r="M16" s="232"/>
      <c r="N16" s="232" t="s">
        <v>10</v>
      </c>
      <c r="O16" s="232"/>
      <c r="P16" s="232" t="s">
        <v>9</v>
      </c>
      <c r="Q16" s="232"/>
      <c r="R16" s="232" t="s">
        <v>9</v>
      </c>
      <c r="S16" s="232"/>
      <c r="T16" s="232" t="s">
        <v>9</v>
      </c>
      <c r="U16" s="232"/>
      <c r="V16" s="141" t="s">
        <v>11</v>
      </c>
      <c r="W16" s="130" t="s">
        <v>12</v>
      </c>
      <c r="X16" s="130" t="s">
        <v>13</v>
      </c>
      <c r="Y16" s="141" t="s">
        <v>13</v>
      </c>
      <c r="Z16" s="141" t="s">
        <v>14</v>
      </c>
      <c r="AA16" s="131" t="s">
        <v>15</v>
      </c>
      <c r="AB16" s="141" t="s">
        <v>16</v>
      </c>
      <c r="AC16" s="141" t="s">
        <v>17</v>
      </c>
      <c r="AD16" s="132" t="s">
        <v>18</v>
      </c>
      <c r="AE16" s="141" t="s">
        <v>20</v>
      </c>
      <c r="AF16" s="141" t="s">
        <v>21</v>
      </c>
      <c r="AG16" s="139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78"/>
      <c r="F17" s="231">
        <v>200</v>
      </c>
      <c r="G17" s="231"/>
      <c r="H17" s="231">
        <v>200</v>
      </c>
      <c r="I17" s="231"/>
      <c r="J17" s="231">
        <v>208</v>
      </c>
      <c r="K17" s="231"/>
      <c r="L17" s="231">
        <v>150</v>
      </c>
      <c r="M17" s="231"/>
      <c r="N17" s="231">
        <v>150</v>
      </c>
      <c r="O17" s="231"/>
      <c r="P17" s="231">
        <v>38</v>
      </c>
      <c r="Q17" s="231"/>
      <c r="R17" s="231">
        <v>135</v>
      </c>
      <c r="S17" s="231"/>
      <c r="T17" s="231">
        <v>215</v>
      </c>
      <c r="U17" s="231"/>
      <c r="V17" s="140" t="s">
        <v>23</v>
      </c>
      <c r="W17" s="127"/>
      <c r="X17" s="127" t="s">
        <v>24</v>
      </c>
      <c r="Y17" s="140"/>
      <c r="Z17" s="140"/>
      <c r="AA17" s="128" t="s">
        <v>25</v>
      </c>
      <c r="AB17" s="140" t="s">
        <v>26</v>
      </c>
      <c r="AC17" s="140" t="s">
        <v>27</v>
      </c>
      <c r="AD17" s="140" t="s">
        <v>26</v>
      </c>
      <c r="AE17" s="140" t="s">
        <v>158</v>
      </c>
      <c r="AF17" s="140"/>
      <c r="AG17" s="138"/>
    </row>
    <row r="18" spans="1:35" s="4" customFormat="1" ht="19.5" customHeight="1" x14ac:dyDescent="0.2">
      <c r="A18" s="180"/>
      <c r="B18" s="183"/>
      <c r="C18" s="183"/>
      <c r="D18" s="163" t="s">
        <v>268</v>
      </c>
      <c r="E18" s="178"/>
      <c r="F18" s="231" t="s">
        <v>225</v>
      </c>
      <c r="G18" s="231"/>
      <c r="H18" s="231" t="s">
        <v>31</v>
      </c>
      <c r="I18" s="231"/>
      <c r="J18" s="231" t="s">
        <v>32</v>
      </c>
      <c r="K18" s="231"/>
      <c r="L18" s="231" t="s">
        <v>30</v>
      </c>
      <c r="M18" s="231"/>
      <c r="N18" s="231" t="s">
        <v>33</v>
      </c>
      <c r="O18" s="231"/>
      <c r="P18" s="231" t="s">
        <v>33</v>
      </c>
      <c r="Q18" s="231"/>
      <c r="R18" s="231" t="s">
        <v>33</v>
      </c>
      <c r="S18" s="231"/>
      <c r="T18" s="231" t="s">
        <v>33</v>
      </c>
      <c r="U18" s="231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38"/>
    </row>
    <row r="19" spans="1:35" s="4" customFormat="1" ht="22.5" thickBot="1" x14ac:dyDescent="0.25">
      <c r="A19" s="181"/>
      <c r="B19" s="184"/>
      <c r="C19" s="184"/>
      <c r="D19" s="22" t="s">
        <v>34</v>
      </c>
      <c r="E19" s="25" t="s">
        <v>35</v>
      </c>
      <c r="F19" s="133" t="s">
        <v>34</v>
      </c>
      <c r="G19" s="133" t="s">
        <v>35</v>
      </c>
      <c r="H19" s="133" t="s">
        <v>34</v>
      </c>
      <c r="I19" s="133" t="s">
        <v>35</v>
      </c>
      <c r="J19" s="133" t="s">
        <v>34</v>
      </c>
      <c r="K19" s="133" t="s">
        <v>35</v>
      </c>
      <c r="L19" s="133" t="s">
        <v>34</v>
      </c>
      <c r="M19" s="133" t="s">
        <v>35</v>
      </c>
      <c r="N19" s="133" t="s">
        <v>34</v>
      </c>
      <c r="O19" s="133" t="s">
        <v>35</v>
      </c>
      <c r="P19" s="133" t="s">
        <v>34</v>
      </c>
      <c r="Q19" s="133" t="s">
        <v>35</v>
      </c>
      <c r="R19" s="133" t="s">
        <v>34</v>
      </c>
      <c r="S19" s="133" t="s">
        <v>35</v>
      </c>
      <c r="T19" s="133" t="s">
        <v>34</v>
      </c>
      <c r="U19" s="133" t="s">
        <v>35</v>
      </c>
      <c r="V19" s="133" t="s">
        <v>34</v>
      </c>
      <c r="W19" s="133" t="s">
        <v>35</v>
      </c>
      <c r="X19" s="133" t="s">
        <v>36</v>
      </c>
      <c r="Y19" s="133" t="s">
        <v>36</v>
      </c>
      <c r="Z19" s="133" t="s">
        <v>34</v>
      </c>
      <c r="AA19" s="133" t="s">
        <v>34</v>
      </c>
      <c r="AB19" s="133" t="s">
        <v>34</v>
      </c>
      <c r="AC19" s="133" t="s">
        <v>34</v>
      </c>
      <c r="AD19" s="133" t="s">
        <v>34</v>
      </c>
      <c r="AE19" s="133" t="s">
        <v>36</v>
      </c>
      <c r="AF19" s="133" t="s">
        <v>36</v>
      </c>
      <c r="AG19" s="23" t="s">
        <v>34</v>
      </c>
    </row>
    <row r="20" spans="1:35" ht="54" customHeight="1" x14ac:dyDescent="0.3">
      <c r="A20" s="166">
        <v>46146</v>
      </c>
      <c r="B20" s="169" t="s">
        <v>37</v>
      </c>
      <c r="C20" s="30" t="s">
        <v>38</v>
      </c>
      <c r="D20" s="86">
        <v>0</v>
      </c>
      <c r="E20" s="31">
        <f t="shared" ref="E20" si="0">D20/200*25</f>
        <v>0</v>
      </c>
      <c r="F20" s="31">
        <v>20000</v>
      </c>
      <c r="G20" s="35">
        <v>5084.7403846153848</v>
      </c>
      <c r="H20" s="33" t="e">
        <v>#VALUE!</v>
      </c>
      <c r="I20" s="33" t="e">
        <v>#VALUE!</v>
      </c>
      <c r="J20" s="33">
        <v>0</v>
      </c>
      <c r="K20" s="33">
        <v>0</v>
      </c>
      <c r="L20" s="33">
        <v>0</v>
      </c>
      <c r="M20" s="33">
        <v>0</v>
      </c>
      <c r="N20" s="33" t="e">
        <v>#REF!</v>
      </c>
      <c r="O20" s="33" t="e">
        <v>#REF!</v>
      </c>
      <c r="P20" s="31">
        <v>0</v>
      </c>
      <c r="Q20" s="33">
        <v>0</v>
      </c>
      <c r="R20" s="33">
        <v>0</v>
      </c>
      <c r="S20" s="33">
        <v>0</v>
      </c>
      <c r="T20" s="31">
        <v>64285</v>
      </c>
      <c r="U20" s="33">
        <v>12344.418604651162</v>
      </c>
      <c r="V20" s="33" t="e">
        <v>#REF!</v>
      </c>
      <c r="W20" s="33">
        <v>78575</v>
      </c>
      <c r="X20" s="33">
        <v>0</v>
      </c>
      <c r="Y20" s="35">
        <v>16777.999999999993</v>
      </c>
      <c r="Z20" s="31">
        <v>4650</v>
      </c>
      <c r="AA20" s="31">
        <v>180</v>
      </c>
      <c r="AB20" s="33">
        <v>1111</v>
      </c>
      <c r="AC20" s="31">
        <v>32816</v>
      </c>
      <c r="AD20" s="33">
        <v>16364</v>
      </c>
      <c r="AE20" s="33">
        <v>17260</v>
      </c>
      <c r="AF20" s="31">
        <v>1215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15954</v>
      </c>
      <c r="G21" s="32">
        <f>F21/200*25</f>
        <v>1994.25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39430</v>
      </c>
      <c r="U21" s="32">
        <f>T21/215*25</f>
        <v>4584.8837209302328</v>
      </c>
      <c r="V21" s="38">
        <v>0</v>
      </c>
      <c r="W21" s="38">
        <v>14799.32</v>
      </c>
      <c r="X21" s="38">
        <v>0</v>
      </c>
      <c r="Y21" s="38">
        <v>6200.70999999999</v>
      </c>
      <c r="Z21" s="38">
        <v>2547</v>
      </c>
      <c r="AA21" s="38">
        <v>95</v>
      </c>
      <c r="AB21" s="38">
        <v>0</v>
      </c>
      <c r="AC21" s="38">
        <v>40640</v>
      </c>
      <c r="AD21" s="38">
        <v>0</v>
      </c>
      <c r="AE21" s="38">
        <v>16078</v>
      </c>
      <c r="AF21" s="38">
        <v>1060</v>
      </c>
      <c r="AG21" s="56">
        <v>180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35954</v>
      </c>
      <c r="G22" s="43">
        <f t="shared" si="1"/>
        <v>7078.9903846153848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103715</v>
      </c>
      <c r="U22" s="43">
        <f t="shared" si="1"/>
        <v>16929.302325581397</v>
      </c>
      <c r="V22" s="44" t="e">
        <f t="shared" si="1"/>
        <v>#REF!</v>
      </c>
      <c r="W22" s="45">
        <f t="shared" si="1"/>
        <v>93374.32</v>
      </c>
      <c r="X22" s="44">
        <f t="shared" si="1"/>
        <v>0</v>
      </c>
      <c r="Y22" s="43">
        <f t="shared" si="1"/>
        <v>22978.709999999985</v>
      </c>
      <c r="Z22" s="42">
        <f t="shared" si="1"/>
        <v>7197</v>
      </c>
      <c r="AA22" s="42">
        <f t="shared" si="1"/>
        <v>275</v>
      </c>
      <c r="AB22" s="44">
        <f t="shared" si="1"/>
        <v>1111</v>
      </c>
      <c r="AC22" s="42">
        <f t="shared" si="1"/>
        <v>73456</v>
      </c>
      <c r="AD22" s="44">
        <f t="shared" si="1"/>
        <v>16364</v>
      </c>
      <c r="AE22" s="44">
        <f t="shared" si="1"/>
        <v>33338</v>
      </c>
      <c r="AF22" s="42">
        <f t="shared" si="1"/>
        <v>2275</v>
      </c>
      <c r="AG22" s="46">
        <f t="shared" si="1"/>
        <v>310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35954</v>
      </c>
      <c r="G24" s="52">
        <f t="shared" si="2"/>
        <v>7078.9903846153848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103715</v>
      </c>
      <c r="U24" s="52">
        <f t="shared" si="2"/>
        <v>16929.302325581397</v>
      </c>
      <c r="V24" s="51" t="e">
        <f t="shared" si="2"/>
        <v>#REF!</v>
      </c>
      <c r="W24" s="52">
        <f t="shared" si="2"/>
        <v>93374.32</v>
      </c>
      <c r="X24" s="51">
        <f t="shared" si="2"/>
        <v>0</v>
      </c>
      <c r="Y24" s="52">
        <f t="shared" si="2"/>
        <v>22978.709999999985</v>
      </c>
      <c r="Z24" s="51">
        <f t="shared" si="2"/>
        <v>7197</v>
      </c>
      <c r="AA24" s="51">
        <f t="shared" si="2"/>
        <v>275</v>
      </c>
      <c r="AB24" s="51">
        <f t="shared" si="2"/>
        <v>1111</v>
      </c>
      <c r="AC24" s="51">
        <f t="shared" si="2"/>
        <v>73456</v>
      </c>
      <c r="AD24" s="51">
        <f t="shared" si="2"/>
        <v>16364</v>
      </c>
      <c r="AE24" s="51">
        <f t="shared" si="2"/>
        <v>33338</v>
      </c>
      <c r="AF24" s="51">
        <f t="shared" si="2"/>
        <v>2275</v>
      </c>
      <c r="AG24" s="53">
        <f t="shared" si="2"/>
        <v>310</v>
      </c>
    </row>
    <row r="25" spans="1:35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12980</v>
      </c>
      <c r="G25" s="32">
        <f>F25/200*25</f>
        <v>1622.5000000000002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8103</v>
      </c>
      <c r="U25" s="32">
        <f>T25/215*25</f>
        <v>942.20930232558135</v>
      </c>
      <c r="V25" s="47"/>
      <c r="W25" s="35">
        <v>7611</v>
      </c>
      <c r="X25" s="47"/>
      <c r="Y25" s="55">
        <v>2830.95</v>
      </c>
      <c r="Z25" s="31">
        <v>1165</v>
      </c>
      <c r="AA25" s="38"/>
      <c r="AB25" s="47"/>
      <c r="AC25" s="38">
        <v>11715</v>
      </c>
      <c r="AD25" s="47"/>
      <c r="AE25" s="47">
        <v>5010</v>
      </c>
      <c r="AF25" s="38"/>
      <c r="AG25" s="56">
        <v>38</v>
      </c>
    </row>
    <row r="26" spans="1:35" s="4" customFormat="1" ht="100.5" customHeight="1" thickBot="1" x14ac:dyDescent="0.25">
      <c r="A26" s="57">
        <v>46152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22974</v>
      </c>
      <c r="G26" s="58">
        <f>G24-G25</f>
        <v>5456.4903846153848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95612</v>
      </c>
      <c r="U26" s="58">
        <f>U24-U25</f>
        <v>15987.093023255815</v>
      </c>
      <c r="V26" s="58" t="e">
        <f>V24-V25-#REF!</f>
        <v>#REF!</v>
      </c>
      <c r="W26" s="59">
        <f>W24-W25</f>
        <v>85763.32</v>
      </c>
      <c r="X26" s="58" t="e">
        <f>X24-X25-#REF!</f>
        <v>#REF!</v>
      </c>
      <c r="Y26" s="59">
        <f t="shared" ref="Y26:AG26" si="3">Y24-Y25</f>
        <v>20147.759999999984</v>
      </c>
      <c r="Z26" s="58">
        <f t="shared" si="3"/>
        <v>6032</v>
      </c>
      <c r="AA26" s="58">
        <f t="shared" si="3"/>
        <v>275</v>
      </c>
      <c r="AB26" s="58">
        <f t="shared" si="3"/>
        <v>1111</v>
      </c>
      <c r="AC26" s="58">
        <f t="shared" si="3"/>
        <v>61741</v>
      </c>
      <c r="AD26" s="58">
        <f t="shared" si="3"/>
        <v>16364</v>
      </c>
      <c r="AE26" s="58">
        <f t="shared" si="3"/>
        <v>28328</v>
      </c>
      <c r="AF26" s="58">
        <f t="shared" si="3"/>
        <v>2275</v>
      </c>
      <c r="AG26" s="109">
        <f t="shared" si="3"/>
        <v>272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5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</row>
    <row r="30" spans="1:35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66</v>
      </c>
      <c r="AD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61</v>
      </c>
      <c r="AD31" s="68" t="s">
        <v>230</v>
      </c>
      <c r="AG31" s="65"/>
    </row>
    <row r="32" spans="1:35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256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10" zoomScale="70" zoomScaleNormal="70" workbookViewId="0">
      <selection activeCell="AA25" sqref="AA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273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233"/>
      <c r="B15" s="234"/>
      <c r="C15" s="235"/>
      <c r="D15" s="233"/>
      <c r="E15" s="234"/>
      <c r="F15" s="234"/>
      <c r="G15" s="234"/>
      <c r="H15" s="234"/>
      <c r="I15" s="234"/>
      <c r="J15" s="234"/>
      <c r="K15" s="234"/>
      <c r="L15" s="234"/>
      <c r="M15" s="235"/>
      <c r="N15" s="107"/>
      <c r="O15" s="107"/>
      <c r="P15" s="236"/>
      <c r="Q15" s="237"/>
      <c r="R15" s="237"/>
      <c r="S15" s="237"/>
      <c r="T15" s="237"/>
      <c r="U15" s="237"/>
      <c r="V15" s="238"/>
      <c r="W15" s="242" t="s">
        <v>3</v>
      </c>
      <c r="X15" s="243"/>
      <c r="Y15" s="243"/>
      <c r="Z15" s="244"/>
      <c r="AA15" s="239"/>
      <c r="AB15" s="236"/>
      <c r="AC15" s="237"/>
      <c r="AD15" s="237"/>
      <c r="AE15" s="238"/>
      <c r="AF15" s="240"/>
      <c r="AG15" s="241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8"/>
      <c r="F16" s="232" t="s">
        <v>9</v>
      </c>
      <c r="G16" s="232"/>
      <c r="H16" s="232" t="s">
        <v>10</v>
      </c>
      <c r="I16" s="232"/>
      <c r="J16" s="232" t="s">
        <v>9</v>
      </c>
      <c r="K16" s="232"/>
      <c r="L16" s="232" t="s">
        <v>9</v>
      </c>
      <c r="M16" s="232"/>
      <c r="N16" s="232" t="s">
        <v>10</v>
      </c>
      <c r="O16" s="232"/>
      <c r="P16" s="232" t="s">
        <v>9</v>
      </c>
      <c r="Q16" s="232"/>
      <c r="R16" s="232" t="s">
        <v>9</v>
      </c>
      <c r="S16" s="232"/>
      <c r="T16" s="232" t="s">
        <v>9</v>
      </c>
      <c r="U16" s="232"/>
      <c r="V16" s="145" t="s">
        <v>11</v>
      </c>
      <c r="W16" s="130" t="s">
        <v>12</v>
      </c>
      <c r="X16" s="130" t="s">
        <v>13</v>
      </c>
      <c r="Y16" s="145" t="s">
        <v>13</v>
      </c>
      <c r="Z16" s="145" t="s">
        <v>14</v>
      </c>
      <c r="AA16" s="131" t="s">
        <v>15</v>
      </c>
      <c r="AB16" s="145" t="s">
        <v>16</v>
      </c>
      <c r="AC16" s="145" t="s">
        <v>17</v>
      </c>
      <c r="AD16" s="132" t="s">
        <v>18</v>
      </c>
      <c r="AE16" s="145" t="s">
        <v>20</v>
      </c>
      <c r="AF16" s="145" t="s">
        <v>21</v>
      </c>
      <c r="AG16" s="143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78"/>
      <c r="F17" s="231">
        <v>200</v>
      </c>
      <c r="G17" s="231"/>
      <c r="H17" s="231">
        <v>200</v>
      </c>
      <c r="I17" s="231"/>
      <c r="J17" s="231">
        <v>208</v>
      </c>
      <c r="K17" s="231"/>
      <c r="L17" s="231">
        <v>150</v>
      </c>
      <c r="M17" s="231"/>
      <c r="N17" s="231">
        <v>150</v>
      </c>
      <c r="O17" s="231"/>
      <c r="P17" s="231">
        <v>38</v>
      </c>
      <c r="Q17" s="231"/>
      <c r="R17" s="231">
        <v>135</v>
      </c>
      <c r="S17" s="231"/>
      <c r="T17" s="231">
        <v>215</v>
      </c>
      <c r="U17" s="231"/>
      <c r="V17" s="144" t="s">
        <v>23</v>
      </c>
      <c r="W17" s="127"/>
      <c r="X17" s="127" t="s">
        <v>24</v>
      </c>
      <c r="Y17" s="144"/>
      <c r="Z17" s="144"/>
      <c r="AA17" s="128" t="s">
        <v>25</v>
      </c>
      <c r="AB17" s="144" t="s">
        <v>26</v>
      </c>
      <c r="AC17" s="144" t="s">
        <v>27</v>
      </c>
      <c r="AD17" s="144" t="s">
        <v>26</v>
      </c>
      <c r="AE17" s="144" t="s">
        <v>158</v>
      </c>
      <c r="AF17" s="144"/>
      <c r="AG17" s="142"/>
    </row>
    <row r="18" spans="1:35" s="4" customFormat="1" ht="19.5" customHeight="1" x14ac:dyDescent="0.2">
      <c r="A18" s="180"/>
      <c r="B18" s="183"/>
      <c r="C18" s="183"/>
      <c r="D18" s="163" t="s">
        <v>268</v>
      </c>
      <c r="E18" s="178"/>
      <c r="F18" s="231" t="s">
        <v>225</v>
      </c>
      <c r="G18" s="231"/>
      <c r="H18" s="231" t="s">
        <v>31</v>
      </c>
      <c r="I18" s="231"/>
      <c r="J18" s="231" t="s">
        <v>32</v>
      </c>
      <c r="K18" s="231"/>
      <c r="L18" s="231" t="s">
        <v>30</v>
      </c>
      <c r="M18" s="231"/>
      <c r="N18" s="231" t="s">
        <v>33</v>
      </c>
      <c r="O18" s="231"/>
      <c r="P18" s="231" t="s">
        <v>33</v>
      </c>
      <c r="Q18" s="231"/>
      <c r="R18" s="231" t="s">
        <v>33</v>
      </c>
      <c r="S18" s="231"/>
      <c r="T18" s="231" t="s">
        <v>33</v>
      </c>
      <c r="U18" s="231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2"/>
    </row>
    <row r="19" spans="1:35" s="4" customFormat="1" ht="22.5" thickBot="1" x14ac:dyDescent="0.25">
      <c r="A19" s="181"/>
      <c r="B19" s="184"/>
      <c r="C19" s="184"/>
      <c r="D19" s="22" t="s">
        <v>34</v>
      </c>
      <c r="E19" s="25" t="s">
        <v>35</v>
      </c>
      <c r="F19" s="133" t="s">
        <v>34</v>
      </c>
      <c r="G19" s="133" t="s">
        <v>35</v>
      </c>
      <c r="H19" s="133" t="s">
        <v>34</v>
      </c>
      <c r="I19" s="133" t="s">
        <v>35</v>
      </c>
      <c r="J19" s="133" t="s">
        <v>34</v>
      </c>
      <c r="K19" s="133" t="s">
        <v>35</v>
      </c>
      <c r="L19" s="133" t="s">
        <v>34</v>
      </c>
      <c r="M19" s="133" t="s">
        <v>35</v>
      </c>
      <c r="N19" s="133" t="s">
        <v>34</v>
      </c>
      <c r="O19" s="133" t="s">
        <v>35</v>
      </c>
      <c r="P19" s="133" t="s">
        <v>34</v>
      </c>
      <c r="Q19" s="133" t="s">
        <v>35</v>
      </c>
      <c r="R19" s="133" t="s">
        <v>34</v>
      </c>
      <c r="S19" s="133" t="s">
        <v>35</v>
      </c>
      <c r="T19" s="133" t="s">
        <v>34</v>
      </c>
      <c r="U19" s="133" t="s">
        <v>35</v>
      </c>
      <c r="V19" s="133" t="s">
        <v>34</v>
      </c>
      <c r="W19" s="133" t="s">
        <v>35</v>
      </c>
      <c r="X19" s="133" t="s">
        <v>36</v>
      </c>
      <c r="Y19" s="133" t="s">
        <v>36</v>
      </c>
      <c r="Z19" s="133" t="s">
        <v>34</v>
      </c>
      <c r="AA19" s="133" t="s">
        <v>34</v>
      </c>
      <c r="AB19" s="133" t="s">
        <v>34</v>
      </c>
      <c r="AC19" s="133" t="s">
        <v>34</v>
      </c>
      <c r="AD19" s="133" t="s">
        <v>34</v>
      </c>
      <c r="AE19" s="133" t="s">
        <v>36</v>
      </c>
      <c r="AF19" s="133" t="s">
        <v>36</v>
      </c>
      <c r="AG19" s="23" t="s">
        <v>34</v>
      </c>
    </row>
    <row r="20" spans="1:35" ht="54" customHeight="1" x14ac:dyDescent="0.3">
      <c r="A20" s="166">
        <v>46153</v>
      </c>
      <c r="B20" s="169" t="s">
        <v>37</v>
      </c>
      <c r="C20" s="30" t="s">
        <v>38</v>
      </c>
      <c r="D20" s="86">
        <v>0</v>
      </c>
      <c r="E20" s="31">
        <f t="shared" ref="E20" si="0">D20/200*25</f>
        <v>0</v>
      </c>
      <c r="F20" s="31">
        <v>7000</v>
      </c>
      <c r="G20" s="35">
        <v>5084.7403846153848</v>
      </c>
      <c r="H20" s="33" t="e">
        <v>#VALUE!</v>
      </c>
      <c r="I20" s="33" t="e">
        <v>#VALUE!</v>
      </c>
      <c r="J20" s="33">
        <v>0</v>
      </c>
      <c r="K20" s="33">
        <v>0</v>
      </c>
      <c r="L20" s="33">
        <v>0</v>
      </c>
      <c r="M20" s="33">
        <v>0</v>
      </c>
      <c r="N20" s="33" t="e">
        <v>#REF!</v>
      </c>
      <c r="O20" s="33" t="e">
        <v>#REF!</v>
      </c>
      <c r="P20" s="31">
        <v>0</v>
      </c>
      <c r="Q20" s="33">
        <v>0</v>
      </c>
      <c r="R20" s="33">
        <v>0</v>
      </c>
      <c r="S20" s="33">
        <v>0</v>
      </c>
      <c r="T20" s="31">
        <v>55685</v>
      </c>
      <c r="U20" s="33">
        <v>12344.418604651162</v>
      </c>
      <c r="V20" s="33" t="e">
        <v>#REF!</v>
      </c>
      <c r="W20" s="33">
        <v>71075</v>
      </c>
      <c r="X20" s="33">
        <v>0</v>
      </c>
      <c r="Y20" s="35">
        <v>14347.999999999993</v>
      </c>
      <c r="Z20" s="31">
        <v>3650</v>
      </c>
      <c r="AA20" s="31">
        <v>180</v>
      </c>
      <c r="AB20" s="33">
        <v>1111</v>
      </c>
      <c r="AC20" s="31">
        <v>21376</v>
      </c>
      <c r="AD20" s="33">
        <v>16364</v>
      </c>
      <c r="AE20" s="33">
        <v>14360</v>
      </c>
      <c r="AF20" s="31">
        <v>1215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15974</v>
      </c>
      <c r="G21" s="32">
        <f>F21/200*25</f>
        <v>1996.75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39927</v>
      </c>
      <c r="U21" s="32">
        <f>T21/215*25</f>
        <v>4642.6744186046517</v>
      </c>
      <c r="V21" s="38">
        <v>0</v>
      </c>
      <c r="W21" s="38">
        <v>14688.319999999998</v>
      </c>
      <c r="X21" s="38">
        <v>0</v>
      </c>
      <c r="Y21" s="38">
        <v>5799.7599999999893</v>
      </c>
      <c r="Z21" s="38">
        <v>2382</v>
      </c>
      <c r="AA21" s="38">
        <v>95</v>
      </c>
      <c r="AB21" s="38">
        <v>0</v>
      </c>
      <c r="AC21" s="38">
        <v>40365</v>
      </c>
      <c r="AD21" s="38">
        <v>0</v>
      </c>
      <c r="AE21" s="38">
        <v>13968</v>
      </c>
      <c r="AF21" s="38">
        <v>1060</v>
      </c>
      <c r="AG21" s="56">
        <v>142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22974</v>
      </c>
      <c r="G22" s="43">
        <f t="shared" si="1"/>
        <v>7081.4903846153848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95612</v>
      </c>
      <c r="U22" s="43">
        <f t="shared" si="1"/>
        <v>16987.093023255813</v>
      </c>
      <c r="V22" s="44" t="e">
        <f t="shared" si="1"/>
        <v>#REF!</v>
      </c>
      <c r="W22" s="45">
        <f t="shared" si="1"/>
        <v>85763.319999999992</v>
      </c>
      <c r="X22" s="44">
        <f t="shared" si="1"/>
        <v>0</v>
      </c>
      <c r="Y22" s="43">
        <f t="shared" si="1"/>
        <v>20147.75999999998</v>
      </c>
      <c r="Z22" s="42">
        <f t="shared" si="1"/>
        <v>6032</v>
      </c>
      <c r="AA22" s="42">
        <f t="shared" si="1"/>
        <v>275</v>
      </c>
      <c r="AB22" s="44">
        <f t="shared" si="1"/>
        <v>1111</v>
      </c>
      <c r="AC22" s="42">
        <f t="shared" si="1"/>
        <v>61741</v>
      </c>
      <c r="AD22" s="44">
        <f t="shared" si="1"/>
        <v>16364</v>
      </c>
      <c r="AE22" s="44">
        <f t="shared" si="1"/>
        <v>28328</v>
      </c>
      <c r="AF22" s="42">
        <f t="shared" si="1"/>
        <v>2275</v>
      </c>
      <c r="AG22" s="46">
        <f t="shared" si="1"/>
        <v>272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22974</v>
      </c>
      <c r="G24" s="52">
        <f t="shared" si="2"/>
        <v>7081.4903846153848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95612</v>
      </c>
      <c r="U24" s="52">
        <f t="shared" si="2"/>
        <v>16987.093023255813</v>
      </c>
      <c r="V24" s="51" t="e">
        <f t="shared" si="2"/>
        <v>#REF!</v>
      </c>
      <c r="W24" s="52">
        <f t="shared" si="2"/>
        <v>85763.319999999992</v>
      </c>
      <c r="X24" s="51">
        <f t="shared" si="2"/>
        <v>0</v>
      </c>
      <c r="Y24" s="52">
        <f t="shared" si="2"/>
        <v>20147.75999999998</v>
      </c>
      <c r="Z24" s="51">
        <f t="shared" si="2"/>
        <v>6032</v>
      </c>
      <c r="AA24" s="51">
        <f t="shared" si="2"/>
        <v>275</v>
      </c>
      <c r="AB24" s="51">
        <f t="shared" si="2"/>
        <v>1111</v>
      </c>
      <c r="AC24" s="51">
        <f t="shared" si="2"/>
        <v>61741</v>
      </c>
      <c r="AD24" s="51">
        <f t="shared" si="2"/>
        <v>16364</v>
      </c>
      <c r="AE24" s="51">
        <f t="shared" si="2"/>
        <v>28328</v>
      </c>
      <c r="AF24" s="51">
        <f t="shared" si="2"/>
        <v>2275</v>
      </c>
      <c r="AG24" s="53">
        <f t="shared" si="2"/>
        <v>272</v>
      </c>
    </row>
    <row r="25" spans="1:35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10717</v>
      </c>
      <c r="G25" s="32">
        <f>F25/200*25</f>
        <v>1339.625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9354</v>
      </c>
      <c r="U25" s="32">
        <f>T25/215*25</f>
        <v>1087.6744186046512</v>
      </c>
      <c r="V25" s="47"/>
      <c r="W25" s="31">
        <v>6825.5</v>
      </c>
      <c r="X25" s="47"/>
      <c r="Y25" s="55">
        <v>2685.15</v>
      </c>
      <c r="Z25" s="31">
        <v>1105</v>
      </c>
      <c r="AA25" s="38"/>
      <c r="AB25" s="47"/>
      <c r="AC25" s="38">
        <v>10779</v>
      </c>
      <c r="AD25" s="47"/>
      <c r="AE25" s="47">
        <v>4611</v>
      </c>
      <c r="AF25" s="38">
        <v>30</v>
      </c>
      <c r="AG25" s="56">
        <v>24</v>
      </c>
    </row>
    <row r="26" spans="1:35" s="4" customFormat="1" ht="100.5" customHeight="1" thickBot="1" x14ac:dyDescent="0.25">
      <c r="A26" s="57">
        <v>46159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12257</v>
      </c>
      <c r="G26" s="58">
        <f>G24-G25</f>
        <v>5741.8653846153848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86258</v>
      </c>
      <c r="U26" s="58">
        <f>U24-U25</f>
        <v>15899.418604651162</v>
      </c>
      <c r="V26" s="58" t="e">
        <f>V24-V25-#REF!</f>
        <v>#REF!</v>
      </c>
      <c r="W26" s="59">
        <f>W24-W25</f>
        <v>78937.819999999992</v>
      </c>
      <c r="X26" s="58" t="e">
        <f>X24-X25-#REF!</f>
        <v>#REF!</v>
      </c>
      <c r="Y26" s="59">
        <f t="shared" ref="Y26:AG26" si="3">Y24-Y25</f>
        <v>17462.609999999979</v>
      </c>
      <c r="Z26" s="58">
        <f t="shared" si="3"/>
        <v>4927</v>
      </c>
      <c r="AA26" s="58">
        <f t="shared" si="3"/>
        <v>275</v>
      </c>
      <c r="AB26" s="58">
        <f t="shared" si="3"/>
        <v>1111</v>
      </c>
      <c r="AC26" s="58">
        <f t="shared" si="3"/>
        <v>50962</v>
      </c>
      <c r="AD26" s="58">
        <f t="shared" si="3"/>
        <v>16364</v>
      </c>
      <c r="AE26" s="58">
        <f t="shared" si="3"/>
        <v>23717</v>
      </c>
      <c r="AF26" s="58">
        <f t="shared" si="3"/>
        <v>2245</v>
      </c>
      <c r="AG26" s="109">
        <f t="shared" si="3"/>
        <v>248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5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</row>
    <row r="30" spans="1:35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66</v>
      </c>
      <c r="AD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61</v>
      </c>
      <c r="AD31" s="68" t="s">
        <v>230</v>
      </c>
      <c r="AG31" s="65"/>
    </row>
    <row r="32" spans="1:35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10" zoomScale="70" zoomScaleNormal="70" workbookViewId="0">
      <selection activeCell="AA27" sqref="AA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274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233"/>
      <c r="B15" s="234"/>
      <c r="C15" s="235"/>
      <c r="D15" s="233"/>
      <c r="E15" s="234"/>
      <c r="F15" s="234"/>
      <c r="G15" s="234"/>
      <c r="H15" s="234"/>
      <c r="I15" s="234"/>
      <c r="J15" s="234"/>
      <c r="K15" s="234"/>
      <c r="L15" s="234"/>
      <c r="M15" s="235"/>
      <c r="N15" s="107"/>
      <c r="O15" s="107"/>
      <c r="P15" s="236"/>
      <c r="Q15" s="237"/>
      <c r="R15" s="237"/>
      <c r="S15" s="237"/>
      <c r="T15" s="237"/>
      <c r="U15" s="237"/>
      <c r="V15" s="238"/>
      <c r="W15" s="242" t="s">
        <v>3</v>
      </c>
      <c r="X15" s="243"/>
      <c r="Y15" s="243"/>
      <c r="Z15" s="244"/>
      <c r="AA15" s="239"/>
      <c r="AB15" s="236"/>
      <c r="AC15" s="237"/>
      <c r="AD15" s="237"/>
      <c r="AE15" s="238"/>
      <c r="AF15" s="240"/>
      <c r="AG15" s="241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8"/>
      <c r="F16" s="232" t="s">
        <v>9</v>
      </c>
      <c r="G16" s="232"/>
      <c r="H16" s="232" t="s">
        <v>10</v>
      </c>
      <c r="I16" s="232"/>
      <c r="J16" s="232" t="s">
        <v>9</v>
      </c>
      <c r="K16" s="232"/>
      <c r="L16" s="232" t="s">
        <v>9</v>
      </c>
      <c r="M16" s="232"/>
      <c r="N16" s="232" t="s">
        <v>10</v>
      </c>
      <c r="O16" s="232"/>
      <c r="P16" s="232" t="s">
        <v>9</v>
      </c>
      <c r="Q16" s="232"/>
      <c r="R16" s="232" t="s">
        <v>9</v>
      </c>
      <c r="S16" s="232"/>
      <c r="T16" s="232" t="s">
        <v>9</v>
      </c>
      <c r="U16" s="232"/>
      <c r="V16" s="148" t="s">
        <v>11</v>
      </c>
      <c r="W16" s="130" t="s">
        <v>12</v>
      </c>
      <c r="X16" s="130" t="s">
        <v>13</v>
      </c>
      <c r="Y16" s="148" t="s">
        <v>13</v>
      </c>
      <c r="Z16" s="148" t="s">
        <v>14</v>
      </c>
      <c r="AA16" s="131" t="s">
        <v>15</v>
      </c>
      <c r="AB16" s="148" t="s">
        <v>16</v>
      </c>
      <c r="AC16" s="148" t="s">
        <v>17</v>
      </c>
      <c r="AD16" s="132" t="s">
        <v>18</v>
      </c>
      <c r="AE16" s="148" t="s">
        <v>20</v>
      </c>
      <c r="AF16" s="148" t="s">
        <v>21</v>
      </c>
      <c r="AG16" s="146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78"/>
      <c r="F17" s="231">
        <v>200</v>
      </c>
      <c r="G17" s="231"/>
      <c r="H17" s="231">
        <v>200</v>
      </c>
      <c r="I17" s="231"/>
      <c r="J17" s="231">
        <v>208</v>
      </c>
      <c r="K17" s="231"/>
      <c r="L17" s="231">
        <v>150</v>
      </c>
      <c r="M17" s="231"/>
      <c r="N17" s="231">
        <v>150</v>
      </c>
      <c r="O17" s="231"/>
      <c r="P17" s="231">
        <v>38</v>
      </c>
      <c r="Q17" s="231"/>
      <c r="R17" s="231">
        <v>135</v>
      </c>
      <c r="S17" s="231"/>
      <c r="T17" s="231">
        <v>215</v>
      </c>
      <c r="U17" s="231"/>
      <c r="V17" s="149" t="s">
        <v>23</v>
      </c>
      <c r="W17" s="127"/>
      <c r="X17" s="127" t="s">
        <v>24</v>
      </c>
      <c r="Y17" s="149"/>
      <c r="Z17" s="149"/>
      <c r="AA17" s="128" t="s">
        <v>25</v>
      </c>
      <c r="AB17" s="149" t="s">
        <v>26</v>
      </c>
      <c r="AC17" s="149" t="s">
        <v>27</v>
      </c>
      <c r="AD17" s="149" t="s">
        <v>26</v>
      </c>
      <c r="AE17" s="149" t="s">
        <v>158</v>
      </c>
      <c r="AF17" s="149"/>
      <c r="AG17" s="147"/>
    </row>
    <row r="18" spans="1:35" s="4" customFormat="1" ht="19.5" customHeight="1" x14ac:dyDescent="0.2">
      <c r="A18" s="180"/>
      <c r="B18" s="183"/>
      <c r="C18" s="183"/>
      <c r="D18" s="163" t="s">
        <v>268</v>
      </c>
      <c r="E18" s="178"/>
      <c r="F18" s="231" t="s">
        <v>225</v>
      </c>
      <c r="G18" s="231"/>
      <c r="H18" s="231" t="s">
        <v>31</v>
      </c>
      <c r="I18" s="231"/>
      <c r="J18" s="231" t="s">
        <v>32</v>
      </c>
      <c r="K18" s="231"/>
      <c r="L18" s="231" t="s">
        <v>30</v>
      </c>
      <c r="M18" s="231"/>
      <c r="N18" s="231" t="s">
        <v>33</v>
      </c>
      <c r="O18" s="231"/>
      <c r="P18" s="231" t="s">
        <v>33</v>
      </c>
      <c r="Q18" s="231"/>
      <c r="R18" s="231" t="s">
        <v>33</v>
      </c>
      <c r="S18" s="231"/>
      <c r="T18" s="231" t="s">
        <v>33</v>
      </c>
      <c r="U18" s="231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7"/>
    </row>
    <row r="19" spans="1:35" s="4" customFormat="1" ht="22.5" thickBot="1" x14ac:dyDescent="0.25">
      <c r="A19" s="181"/>
      <c r="B19" s="184"/>
      <c r="C19" s="184"/>
      <c r="D19" s="22" t="s">
        <v>34</v>
      </c>
      <c r="E19" s="25" t="s">
        <v>35</v>
      </c>
      <c r="F19" s="133" t="s">
        <v>34</v>
      </c>
      <c r="G19" s="133" t="s">
        <v>35</v>
      </c>
      <c r="H19" s="133" t="s">
        <v>34</v>
      </c>
      <c r="I19" s="133" t="s">
        <v>35</v>
      </c>
      <c r="J19" s="133" t="s">
        <v>34</v>
      </c>
      <c r="K19" s="133" t="s">
        <v>35</v>
      </c>
      <c r="L19" s="133" t="s">
        <v>34</v>
      </c>
      <c r="M19" s="133" t="s">
        <v>35</v>
      </c>
      <c r="N19" s="133" t="s">
        <v>34</v>
      </c>
      <c r="O19" s="133" t="s">
        <v>35</v>
      </c>
      <c r="P19" s="133" t="s">
        <v>34</v>
      </c>
      <c r="Q19" s="133" t="s">
        <v>35</v>
      </c>
      <c r="R19" s="133" t="s">
        <v>34</v>
      </c>
      <c r="S19" s="133" t="s">
        <v>35</v>
      </c>
      <c r="T19" s="133" t="s">
        <v>34</v>
      </c>
      <c r="U19" s="133" t="s">
        <v>35</v>
      </c>
      <c r="V19" s="133" t="s">
        <v>34</v>
      </c>
      <c r="W19" s="133" t="s">
        <v>35</v>
      </c>
      <c r="X19" s="133" t="s">
        <v>36</v>
      </c>
      <c r="Y19" s="133" t="s">
        <v>36</v>
      </c>
      <c r="Z19" s="133" t="s">
        <v>34</v>
      </c>
      <c r="AA19" s="133" t="s">
        <v>34</v>
      </c>
      <c r="AB19" s="133" t="s">
        <v>34</v>
      </c>
      <c r="AC19" s="133" t="s">
        <v>34</v>
      </c>
      <c r="AD19" s="133" t="s">
        <v>34</v>
      </c>
      <c r="AE19" s="133" t="s">
        <v>36</v>
      </c>
      <c r="AF19" s="133" t="s">
        <v>36</v>
      </c>
      <c r="AG19" s="23" t="s">
        <v>34</v>
      </c>
    </row>
    <row r="20" spans="1:35" ht="54" customHeight="1" x14ac:dyDescent="0.3">
      <c r="A20" s="166">
        <v>46160</v>
      </c>
      <c r="B20" s="169" t="s">
        <v>37</v>
      </c>
      <c r="C20" s="30" t="s">
        <v>38</v>
      </c>
      <c r="D20" s="86">
        <v>0</v>
      </c>
      <c r="E20" s="31">
        <f t="shared" ref="E20" si="0">D20/200*25</f>
        <v>0</v>
      </c>
      <c r="F20" s="31">
        <v>7000</v>
      </c>
      <c r="G20" s="35">
        <v>5084.7403846153848</v>
      </c>
      <c r="H20" s="33" t="e">
        <v>#VALUE!</v>
      </c>
      <c r="I20" s="33" t="e">
        <v>#VALUE!</v>
      </c>
      <c r="J20" s="33">
        <v>0</v>
      </c>
      <c r="K20" s="33">
        <v>0</v>
      </c>
      <c r="L20" s="33">
        <v>0</v>
      </c>
      <c r="M20" s="33">
        <v>0</v>
      </c>
      <c r="N20" s="33" t="e">
        <v>#REF!</v>
      </c>
      <c r="O20" s="33" t="e">
        <v>#REF!</v>
      </c>
      <c r="P20" s="31">
        <v>0</v>
      </c>
      <c r="Q20" s="33">
        <v>0</v>
      </c>
      <c r="R20" s="33">
        <v>0</v>
      </c>
      <c r="S20" s="33">
        <v>0</v>
      </c>
      <c r="T20" s="31">
        <v>55685</v>
      </c>
      <c r="U20" s="33">
        <v>12344.418604651162</v>
      </c>
      <c r="V20" s="33" t="e">
        <v>#REF!</v>
      </c>
      <c r="W20" s="33">
        <v>71075</v>
      </c>
      <c r="X20" s="33">
        <v>0</v>
      </c>
      <c r="Y20" s="35">
        <v>14347.999999999993</v>
      </c>
      <c r="Z20" s="31">
        <v>3650</v>
      </c>
      <c r="AA20" s="31">
        <v>180</v>
      </c>
      <c r="AB20" s="33">
        <v>1111</v>
      </c>
      <c r="AC20" s="31">
        <v>21376</v>
      </c>
      <c r="AD20" s="33">
        <v>16364</v>
      </c>
      <c r="AE20" s="33">
        <v>14360</v>
      </c>
      <c r="AF20" s="31">
        <v>1215</v>
      </c>
      <c r="AG20" s="36">
        <v>130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5257</v>
      </c>
      <c r="G21" s="32">
        <f>F21/200*25</f>
        <v>657.125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30573</v>
      </c>
      <c r="U21" s="32">
        <f>T21/215*25</f>
        <v>3554.9999999999995</v>
      </c>
      <c r="V21" s="38">
        <v>0</v>
      </c>
      <c r="W21" s="38">
        <v>7862.8199999999961</v>
      </c>
      <c r="X21" s="38">
        <v>0</v>
      </c>
      <c r="Y21" s="38">
        <v>3114.6099999999892</v>
      </c>
      <c r="Z21" s="38">
        <v>1277</v>
      </c>
      <c r="AA21" s="38">
        <v>95</v>
      </c>
      <c r="AB21" s="38">
        <v>0</v>
      </c>
      <c r="AC21" s="38">
        <v>29586</v>
      </c>
      <c r="AD21" s="38">
        <v>0</v>
      </c>
      <c r="AE21" s="38">
        <v>9357</v>
      </c>
      <c r="AF21" s="38">
        <v>1030</v>
      </c>
      <c r="AG21" s="56">
        <v>118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12257</v>
      </c>
      <c r="G22" s="43">
        <f t="shared" si="1"/>
        <v>5741.8653846153848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86258</v>
      </c>
      <c r="U22" s="43">
        <f t="shared" si="1"/>
        <v>15899.418604651162</v>
      </c>
      <c r="V22" s="44" t="e">
        <f t="shared" si="1"/>
        <v>#REF!</v>
      </c>
      <c r="W22" s="45">
        <f t="shared" si="1"/>
        <v>78937.819999999992</v>
      </c>
      <c r="X22" s="44">
        <f t="shared" si="1"/>
        <v>0</v>
      </c>
      <c r="Y22" s="43">
        <f t="shared" si="1"/>
        <v>17462.609999999982</v>
      </c>
      <c r="Z22" s="42">
        <f t="shared" si="1"/>
        <v>4927</v>
      </c>
      <c r="AA22" s="42">
        <f t="shared" si="1"/>
        <v>275</v>
      </c>
      <c r="AB22" s="44">
        <f t="shared" si="1"/>
        <v>1111</v>
      </c>
      <c r="AC22" s="42">
        <f t="shared" si="1"/>
        <v>50962</v>
      </c>
      <c r="AD22" s="44">
        <f t="shared" si="1"/>
        <v>16364</v>
      </c>
      <c r="AE22" s="44">
        <f t="shared" si="1"/>
        <v>23717</v>
      </c>
      <c r="AF22" s="42">
        <f t="shared" si="1"/>
        <v>2245</v>
      </c>
      <c r="AG22" s="46">
        <f t="shared" si="1"/>
        <v>248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v>20000</v>
      </c>
      <c r="G23" s="32">
        <f>F23/200*25</f>
        <v>2500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21500</v>
      </c>
      <c r="U23" s="32">
        <f>T23/215*25</f>
        <v>2500</v>
      </c>
      <c r="V23" s="31"/>
      <c r="W23" s="31">
        <v>8750</v>
      </c>
      <c r="X23" s="31"/>
      <c r="Y23" s="31">
        <v>4000</v>
      </c>
      <c r="Z23" s="31">
        <v>3000</v>
      </c>
      <c r="AA23" s="31"/>
      <c r="AB23" s="31"/>
      <c r="AC23" s="31">
        <v>25500</v>
      </c>
      <c r="AD23" s="31"/>
      <c r="AE23" s="48">
        <v>5700</v>
      </c>
      <c r="AF23" s="31"/>
      <c r="AG23" s="49">
        <v>80</v>
      </c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32257</v>
      </c>
      <c r="G24" s="52">
        <f t="shared" si="2"/>
        <v>8241.8653846153848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107758</v>
      </c>
      <c r="U24" s="52">
        <f t="shared" si="2"/>
        <v>18399.41860465116</v>
      </c>
      <c r="V24" s="51" t="e">
        <f t="shared" si="2"/>
        <v>#REF!</v>
      </c>
      <c r="W24" s="52">
        <f t="shared" si="2"/>
        <v>87687.819999999992</v>
      </c>
      <c r="X24" s="51">
        <f t="shared" si="2"/>
        <v>0</v>
      </c>
      <c r="Y24" s="52">
        <f t="shared" si="2"/>
        <v>21462.609999999982</v>
      </c>
      <c r="Z24" s="51">
        <f t="shared" si="2"/>
        <v>7927</v>
      </c>
      <c r="AA24" s="51">
        <f t="shared" si="2"/>
        <v>275</v>
      </c>
      <c r="AB24" s="51">
        <f t="shared" si="2"/>
        <v>1111</v>
      </c>
      <c r="AC24" s="51">
        <f t="shared" si="2"/>
        <v>76462</v>
      </c>
      <c r="AD24" s="51">
        <f t="shared" si="2"/>
        <v>16364</v>
      </c>
      <c r="AE24" s="51">
        <f t="shared" si="2"/>
        <v>29417</v>
      </c>
      <c r="AF24" s="51">
        <f t="shared" si="2"/>
        <v>2245</v>
      </c>
      <c r="AG24" s="53">
        <f t="shared" si="2"/>
        <v>328</v>
      </c>
    </row>
    <row r="25" spans="1:35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10144</v>
      </c>
      <c r="G25" s="32">
        <f>F25/200*25</f>
        <v>1268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10727</v>
      </c>
      <c r="U25" s="32">
        <f>T25/215*25</f>
        <v>1247.3255813953488</v>
      </c>
      <c r="V25" s="47"/>
      <c r="W25" s="31">
        <v>7698.0000000000009</v>
      </c>
      <c r="X25" s="47"/>
      <c r="Y25" s="55">
        <v>2998.62</v>
      </c>
      <c r="Z25" s="31">
        <v>1234</v>
      </c>
      <c r="AA25" s="38"/>
      <c r="AB25" s="47"/>
      <c r="AC25" s="38">
        <v>11553</v>
      </c>
      <c r="AD25" s="47"/>
      <c r="AE25" s="47">
        <v>5072</v>
      </c>
      <c r="AF25" s="38">
        <v>300</v>
      </c>
      <c r="AG25" s="56">
        <v>22</v>
      </c>
    </row>
    <row r="26" spans="1:35" s="4" customFormat="1" ht="100.5" customHeight="1" thickBot="1" x14ac:dyDescent="0.25">
      <c r="A26" s="57">
        <v>46166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22113</v>
      </c>
      <c r="G26" s="58">
        <f>G24-G25</f>
        <v>6973.8653846153848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97031</v>
      </c>
      <c r="U26" s="58">
        <f>U24-U25</f>
        <v>17152.093023255813</v>
      </c>
      <c r="V26" s="58" t="e">
        <f>V24-V25-#REF!</f>
        <v>#REF!</v>
      </c>
      <c r="W26" s="59">
        <f>W24-W25</f>
        <v>79989.819999999992</v>
      </c>
      <c r="X26" s="58" t="e">
        <f>X24-X25-#REF!</f>
        <v>#REF!</v>
      </c>
      <c r="Y26" s="59">
        <f t="shared" ref="Y26:AG26" si="3">Y24-Y25</f>
        <v>18463.989999999983</v>
      </c>
      <c r="Z26" s="58">
        <f t="shared" si="3"/>
        <v>6693</v>
      </c>
      <c r="AA26" s="58">
        <f t="shared" si="3"/>
        <v>275</v>
      </c>
      <c r="AB26" s="58">
        <f t="shared" si="3"/>
        <v>1111</v>
      </c>
      <c r="AC26" s="58">
        <f t="shared" si="3"/>
        <v>64909</v>
      </c>
      <c r="AD26" s="58">
        <f t="shared" si="3"/>
        <v>16364</v>
      </c>
      <c r="AE26" s="58">
        <f t="shared" si="3"/>
        <v>24345</v>
      </c>
      <c r="AF26" s="58">
        <f t="shared" si="3"/>
        <v>1945</v>
      </c>
      <c r="AG26" s="109">
        <f t="shared" si="3"/>
        <v>306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5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</row>
    <row r="30" spans="1:35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52</v>
      </c>
      <c r="AD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212</v>
      </c>
      <c r="AD31" s="68" t="s">
        <v>230</v>
      </c>
      <c r="AG31" s="65"/>
    </row>
    <row r="32" spans="1:35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opLeftCell="A19" zoomScale="70" zoomScaleNormal="70" workbookViewId="0">
      <selection activeCell="U37" sqref="U3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275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233"/>
      <c r="B15" s="234"/>
      <c r="C15" s="235"/>
      <c r="D15" s="233"/>
      <c r="E15" s="234"/>
      <c r="F15" s="234"/>
      <c r="G15" s="234"/>
      <c r="H15" s="234"/>
      <c r="I15" s="234"/>
      <c r="J15" s="234"/>
      <c r="K15" s="234"/>
      <c r="L15" s="234"/>
      <c r="M15" s="235"/>
      <c r="N15" s="107"/>
      <c r="O15" s="107"/>
      <c r="P15" s="236"/>
      <c r="Q15" s="237"/>
      <c r="R15" s="237"/>
      <c r="S15" s="237"/>
      <c r="T15" s="237"/>
      <c r="U15" s="237"/>
      <c r="V15" s="238"/>
      <c r="W15" s="242" t="s">
        <v>3</v>
      </c>
      <c r="X15" s="243"/>
      <c r="Y15" s="243"/>
      <c r="Z15" s="244"/>
      <c r="AA15" s="239"/>
      <c r="AB15" s="236"/>
      <c r="AC15" s="237"/>
      <c r="AD15" s="237"/>
      <c r="AE15" s="238"/>
      <c r="AF15" s="240"/>
      <c r="AG15" s="241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8"/>
      <c r="F16" s="232" t="s">
        <v>9</v>
      </c>
      <c r="G16" s="232"/>
      <c r="H16" s="232" t="s">
        <v>10</v>
      </c>
      <c r="I16" s="232"/>
      <c r="J16" s="232" t="s">
        <v>9</v>
      </c>
      <c r="K16" s="232"/>
      <c r="L16" s="232" t="s">
        <v>9</v>
      </c>
      <c r="M16" s="232"/>
      <c r="N16" s="232" t="s">
        <v>10</v>
      </c>
      <c r="O16" s="232"/>
      <c r="P16" s="232" t="s">
        <v>9</v>
      </c>
      <c r="Q16" s="232"/>
      <c r="R16" s="232" t="s">
        <v>9</v>
      </c>
      <c r="S16" s="232"/>
      <c r="T16" s="232" t="s">
        <v>9</v>
      </c>
      <c r="U16" s="232"/>
      <c r="V16" s="152" t="s">
        <v>11</v>
      </c>
      <c r="W16" s="130" t="s">
        <v>12</v>
      </c>
      <c r="X16" s="130" t="s">
        <v>13</v>
      </c>
      <c r="Y16" s="152" t="s">
        <v>13</v>
      </c>
      <c r="Z16" s="152" t="s">
        <v>14</v>
      </c>
      <c r="AA16" s="131" t="s">
        <v>15</v>
      </c>
      <c r="AB16" s="152" t="s">
        <v>16</v>
      </c>
      <c r="AC16" s="152" t="s">
        <v>17</v>
      </c>
      <c r="AD16" s="132" t="s">
        <v>18</v>
      </c>
      <c r="AE16" s="152" t="s">
        <v>20</v>
      </c>
      <c r="AF16" s="152" t="s">
        <v>21</v>
      </c>
      <c r="AG16" s="150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78"/>
      <c r="F17" s="231">
        <v>200</v>
      </c>
      <c r="G17" s="231"/>
      <c r="H17" s="231">
        <v>200</v>
      </c>
      <c r="I17" s="231"/>
      <c r="J17" s="231">
        <v>208</v>
      </c>
      <c r="K17" s="231"/>
      <c r="L17" s="231">
        <v>150</v>
      </c>
      <c r="M17" s="231"/>
      <c r="N17" s="231">
        <v>150</v>
      </c>
      <c r="O17" s="231"/>
      <c r="P17" s="231">
        <v>38</v>
      </c>
      <c r="Q17" s="231"/>
      <c r="R17" s="231">
        <v>135</v>
      </c>
      <c r="S17" s="231"/>
      <c r="T17" s="231">
        <v>215</v>
      </c>
      <c r="U17" s="231"/>
      <c r="V17" s="153" t="s">
        <v>23</v>
      </c>
      <c r="W17" s="127"/>
      <c r="X17" s="127" t="s">
        <v>24</v>
      </c>
      <c r="Y17" s="153"/>
      <c r="Z17" s="153"/>
      <c r="AA17" s="128" t="s">
        <v>25</v>
      </c>
      <c r="AB17" s="153" t="s">
        <v>26</v>
      </c>
      <c r="AC17" s="153" t="s">
        <v>27</v>
      </c>
      <c r="AD17" s="153" t="s">
        <v>26</v>
      </c>
      <c r="AE17" s="153" t="s">
        <v>158</v>
      </c>
      <c r="AF17" s="153"/>
      <c r="AG17" s="151"/>
    </row>
    <row r="18" spans="1:35" s="4" customFormat="1" ht="19.5" customHeight="1" x14ac:dyDescent="0.2">
      <c r="A18" s="180"/>
      <c r="B18" s="183"/>
      <c r="C18" s="183"/>
      <c r="D18" s="163" t="s">
        <v>268</v>
      </c>
      <c r="E18" s="178"/>
      <c r="F18" s="231" t="s">
        <v>225</v>
      </c>
      <c r="G18" s="231"/>
      <c r="H18" s="231" t="s">
        <v>31</v>
      </c>
      <c r="I18" s="231"/>
      <c r="J18" s="231" t="s">
        <v>32</v>
      </c>
      <c r="K18" s="231"/>
      <c r="L18" s="231" t="s">
        <v>30</v>
      </c>
      <c r="M18" s="231"/>
      <c r="N18" s="231" t="s">
        <v>33</v>
      </c>
      <c r="O18" s="231"/>
      <c r="P18" s="231" t="s">
        <v>33</v>
      </c>
      <c r="Q18" s="231"/>
      <c r="R18" s="231" t="s">
        <v>33</v>
      </c>
      <c r="S18" s="231"/>
      <c r="T18" s="231" t="s">
        <v>33</v>
      </c>
      <c r="U18" s="231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1"/>
    </row>
    <row r="19" spans="1:35" s="4" customFormat="1" ht="22.5" thickBot="1" x14ac:dyDescent="0.25">
      <c r="A19" s="181"/>
      <c r="B19" s="184"/>
      <c r="C19" s="184"/>
      <c r="D19" s="22" t="s">
        <v>34</v>
      </c>
      <c r="E19" s="25" t="s">
        <v>35</v>
      </c>
      <c r="F19" s="133" t="s">
        <v>34</v>
      </c>
      <c r="G19" s="133" t="s">
        <v>35</v>
      </c>
      <c r="H19" s="133" t="s">
        <v>34</v>
      </c>
      <c r="I19" s="133" t="s">
        <v>35</v>
      </c>
      <c r="J19" s="133" t="s">
        <v>34</v>
      </c>
      <c r="K19" s="133" t="s">
        <v>35</v>
      </c>
      <c r="L19" s="133" t="s">
        <v>34</v>
      </c>
      <c r="M19" s="133" t="s">
        <v>35</v>
      </c>
      <c r="N19" s="133" t="s">
        <v>34</v>
      </c>
      <c r="O19" s="133" t="s">
        <v>35</v>
      </c>
      <c r="P19" s="133" t="s">
        <v>34</v>
      </c>
      <c r="Q19" s="133" t="s">
        <v>35</v>
      </c>
      <c r="R19" s="133" t="s">
        <v>34</v>
      </c>
      <c r="S19" s="133" t="s">
        <v>35</v>
      </c>
      <c r="T19" s="133" t="s">
        <v>34</v>
      </c>
      <c r="U19" s="133" t="s">
        <v>35</v>
      </c>
      <c r="V19" s="133" t="s">
        <v>34</v>
      </c>
      <c r="W19" s="133" t="s">
        <v>35</v>
      </c>
      <c r="X19" s="133" t="s">
        <v>36</v>
      </c>
      <c r="Y19" s="133" t="s">
        <v>36</v>
      </c>
      <c r="Z19" s="133" t="s">
        <v>34</v>
      </c>
      <c r="AA19" s="133" t="s">
        <v>34</v>
      </c>
      <c r="AB19" s="133" t="s">
        <v>34</v>
      </c>
      <c r="AC19" s="133" t="s">
        <v>34</v>
      </c>
      <c r="AD19" s="133" t="s">
        <v>34</v>
      </c>
      <c r="AE19" s="133" t="s">
        <v>36</v>
      </c>
      <c r="AF19" s="133" t="s">
        <v>36</v>
      </c>
      <c r="AG19" s="23" t="s">
        <v>34</v>
      </c>
    </row>
    <row r="20" spans="1:35" ht="54" customHeight="1" x14ac:dyDescent="0.3">
      <c r="A20" s="166">
        <v>46167</v>
      </c>
      <c r="B20" s="169" t="s">
        <v>37</v>
      </c>
      <c r="C20" s="30" t="s">
        <v>38</v>
      </c>
      <c r="D20" s="86">
        <v>0</v>
      </c>
      <c r="E20" s="31">
        <f t="shared" ref="E20" si="0">D20/200*25</f>
        <v>0</v>
      </c>
      <c r="F20" s="31">
        <v>9000</v>
      </c>
      <c r="G20" s="35">
        <v>5084.7403846153848</v>
      </c>
      <c r="H20" s="33" t="e">
        <v>#VALUE!</v>
      </c>
      <c r="I20" s="33" t="e">
        <v>#VALUE!</v>
      </c>
      <c r="J20" s="33">
        <v>0</v>
      </c>
      <c r="K20" s="33">
        <v>0</v>
      </c>
      <c r="L20" s="33">
        <v>0</v>
      </c>
      <c r="M20" s="33">
        <v>0</v>
      </c>
      <c r="N20" s="33" t="e">
        <v>#REF!</v>
      </c>
      <c r="O20" s="33" t="e">
        <v>#REF!</v>
      </c>
      <c r="P20" s="31">
        <v>0</v>
      </c>
      <c r="Q20" s="33">
        <v>0</v>
      </c>
      <c r="R20" s="33">
        <v>0</v>
      </c>
      <c r="S20" s="33">
        <v>0</v>
      </c>
      <c r="T20" s="31">
        <v>52460</v>
      </c>
      <c r="U20" s="33">
        <v>12344.418604651162</v>
      </c>
      <c r="V20" s="33" t="e">
        <v>#REF!</v>
      </c>
      <c r="W20" s="33">
        <v>64825</v>
      </c>
      <c r="X20" s="33">
        <v>0</v>
      </c>
      <c r="Y20" s="35">
        <v>12758.999999999993</v>
      </c>
      <c r="Z20" s="31">
        <v>4350</v>
      </c>
      <c r="AA20" s="31">
        <v>180</v>
      </c>
      <c r="AB20" s="33">
        <v>1111</v>
      </c>
      <c r="AC20" s="31">
        <v>22046</v>
      </c>
      <c r="AD20" s="33">
        <v>16364</v>
      </c>
      <c r="AE20" s="33">
        <v>11560</v>
      </c>
      <c r="AF20" s="31">
        <v>915</v>
      </c>
      <c r="AG20" s="36">
        <v>180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13113</v>
      </c>
      <c r="G21" s="32">
        <f>F21/200*25</f>
        <v>1639.125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44571</v>
      </c>
      <c r="U21" s="32">
        <f>T21/215*25</f>
        <v>5182.6744186046508</v>
      </c>
      <c r="V21" s="38">
        <v>0</v>
      </c>
      <c r="W21" s="38">
        <v>15164.819999999994</v>
      </c>
      <c r="X21" s="38">
        <v>0</v>
      </c>
      <c r="Y21" s="38">
        <v>5704.9899999999898</v>
      </c>
      <c r="Z21" s="38">
        <v>2343</v>
      </c>
      <c r="AA21" s="38">
        <v>95</v>
      </c>
      <c r="AB21" s="38">
        <v>0</v>
      </c>
      <c r="AC21" s="38">
        <v>42863</v>
      </c>
      <c r="AD21" s="38">
        <v>0</v>
      </c>
      <c r="AE21" s="38">
        <v>12785</v>
      </c>
      <c r="AF21" s="38">
        <v>1030</v>
      </c>
      <c r="AG21" s="56">
        <v>186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22113</v>
      </c>
      <c r="G22" s="43">
        <f t="shared" si="1"/>
        <v>6723.8653846153848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97031</v>
      </c>
      <c r="U22" s="43">
        <f t="shared" si="1"/>
        <v>17527.093023255813</v>
      </c>
      <c r="V22" s="44" t="e">
        <f t="shared" si="1"/>
        <v>#REF!</v>
      </c>
      <c r="W22" s="45">
        <f t="shared" si="1"/>
        <v>79989.819999999992</v>
      </c>
      <c r="X22" s="44">
        <f t="shared" si="1"/>
        <v>0</v>
      </c>
      <c r="Y22" s="43">
        <f t="shared" si="1"/>
        <v>18463.989999999983</v>
      </c>
      <c r="Z22" s="42">
        <f t="shared" si="1"/>
        <v>6693</v>
      </c>
      <c r="AA22" s="42">
        <f t="shared" si="1"/>
        <v>275</v>
      </c>
      <c r="AB22" s="44">
        <f t="shared" si="1"/>
        <v>1111</v>
      </c>
      <c r="AC22" s="42">
        <f t="shared" si="1"/>
        <v>64909</v>
      </c>
      <c r="AD22" s="44">
        <f t="shared" si="1"/>
        <v>16364</v>
      </c>
      <c r="AE22" s="44">
        <f t="shared" si="1"/>
        <v>24345</v>
      </c>
      <c r="AF22" s="42">
        <f t="shared" si="1"/>
        <v>1945</v>
      </c>
      <c r="AG22" s="46">
        <f t="shared" si="1"/>
        <v>366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>
        <v>15000</v>
      </c>
      <c r="G23" s="32">
        <f>F23/200*25</f>
        <v>1875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>
        <v>16125</v>
      </c>
      <c r="U23" s="32">
        <f>T23/215*25</f>
        <v>1875</v>
      </c>
      <c r="V23" s="31"/>
      <c r="W23" s="31">
        <v>8750</v>
      </c>
      <c r="X23" s="31"/>
      <c r="Y23" s="31">
        <v>4000</v>
      </c>
      <c r="Z23" s="31">
        <v>2000</v>
      </c>
      <c r="AA23" s="31"/>
      <c r="AB23" s="31"/>
      <c r="AC23" s="31">
        <v>6000</v>
      </c>
      <c r="AD23" s="31"/>
      <c r="AE23" s="48">
        <v>5700</v>
      </c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37113</v>
      </c>
      <c r="G24" s="52">
        <f t="shared" si="2"/>
        <v>8598.8653846153848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113156</v>
      </c>
      <c r="U24" s="52">
        <f t="shared" si="2"/>
        <v>19402.093023255813</v>
      </c>
      <c r="V24" s="51" t="e">
        <f t="shared" si="2"/>
        <v>#REF!</v>
      </c>
      <c r="W24" s="52">
        <f t="shared" si="2"/>
        <v>88739.819999999992</v>
      </c>
      <c r="X24" s="51">
        <f t="shared" si="2"/>
        <v>0</v>
      </c>
      <c r="Y24" s="52">
        <f t="shared" si="2"/>
        <v>22463.989999999983</v>
      </c>
      <c r="Z24" s="51">
        <f t="shared" si="2"/>
        <v>8693</v>
      </c>
      <c r="AA24" s="51">
        <f t="shared" si="2"/>
        <v>275</v>
      </c>
      <c r="AB24" s="51">
        <f t="shared" si="2"/>
        <v>1111</v>
      </c>
      <c r="AC24" s="51">
        <f t="shared" si="2"/>
        <v>70909</v>
      </c>
      <c r="AD24" s="51">
        <f t="shared" si="2"/>
        <v>16364</v>
      </c>
      <c r="AE24" s="51">
        <f t="shared" si="2"/>
        <v>30045</v>
      </c>
      <c r="AF24" s="51">
        <f t="shared" si="2"/>
        <v>1945</v>
      </c>
      <c r="AG24" s="53">
        <f t="shared" si="2"/>
        <v>366</v>
      </c>
    </row>
    <row r="25" spans="1:35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9763</v>
      </c>
      <c r="G25" s="32">
        <f>F25/200*25</f>
        <v>1220.375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12152</v>
      </c>
      <c r="U25" s="32">
        <f>T25/215*25</f>
        <v>1413.0232558139535</v>
      </c>
      <c r="V25" s="47"/>
      <c r="W25" s="31">
        <v>7403</v>
      </c>
      <c r="X25" s="47"/>
      <c r="Y25" s="55">
        <v>3076.38</v>
      </c>
      <c r="Z25" s="31">
        <v>1266</v>
      </c>
      <c r="AA25" s="38"/>
      <c r="AB25" s="47"/>
      <c r="AC25" s="38">
        <v>11313</v>
      </c>
      <c r="AD25" s="47"/>
      <c r="AE25" s="47">
        <v>5262</v>
      </c>
      <c r="AF25" s="38"/>
      <c r="AG25" s="56">
        <v>32</v>
      </c>
    </row>
    <row r="26" spans="1:35" s="4" customFormat="1" ht="100.5" customHeight="1" thickBot="1" x14ac:dyDescent="0.25">
      <c r="A26" s="57">
        <v>46173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27350</v>
      </c>
      <c r="G26" s="58">
        <f>G24-G25</f>
        <v>7378.4903846153848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101004</v>
      </c>
      <c r="U26" s="58">
        <f>U24-U25</f>
        <v>17989.069767441859</v>
      </c>
      <c r="V26" s="58" t="e">
        <f>V24-V25-#REF!</f>
        <v>#REF!</v>
      </c>
      <c r="W26" s="59">
        <f>W24-W25</f>
        <v>81336.819999999992</v>
      </c>
      <c r="X26" s="58" t="e">
        <f>X24-X25-#REF!</f>
        <v>#REF!</v>
      </c>
      <c r="Y26" s="59">
        <f t="shared" ref="Y26:AG26" si="3">Y24-Y25</f>
        <v>19387.609999999982</v>
      </c>
      <c r="Z26" s="58">
        <f t="shared" si="3"/>
        <v>7427</v>
      </c>
      <c r="AA26" s="58">
        <f t="shared" si="3"/>
        <v>275</v>
      </c>
      <c r="AB26" s="58">
        <f t="shared" si="3"/>
        <v>1111</v>
      </c>
      <c r="AC26" s="58">
        <f t="shared" si="3"/>
        <v>59596</v>
      </c>
      <c r="AD26" s="58">
        <f t="shared" si="3"/>
        <v>16364</v>
      </c>
      <c r="AE26" s="58">
        <f t="shared" si="3"/>
        <v>24783</v>
      </c>
      <c r="AF26" s="58">
        <f t="shared" si="3"/>
        <v>1945</v>
      </c>
      <c r="AG26" s="109">
        <f t="shared" si="3"/>
        <v>334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5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</row>
    <row r="30" spans="1:35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52</v>
      </c>
      <c r="AD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212</v>
      </c>
      <c r="AD31" s="68" t="s">
        <v>230</v>
      </c>
      <c r="AG31" s="65"/>
    </row>
    <row r="32" spans="1:35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24:C24"/>
    <mergeCell ref="A25:C25"/>
    <mergeCell ref="B26:C26"/>
    <mergeCell ref="P18:Q18"/>
    <mergeCell ref="R18:S18"/>
    <mergeCell ref="A20:A22"/>
    <mergeCell ref="B20:B22"/>
    <mergeCell ref="A23:C23"/>
    <mergeCell ref="A16:A19"/>
    <mergeCell ref="B16:C19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6:O16"/>
    <mergeCell ref="P16:Q16"/>
    <mergeCell ref="R16:S16"/>
    <mergeCell ref="T16:U16"/>
    <mergeCell ref="T18:U18"/>
    <mergeCell ref="R17:S17"/>
    <mergeCell ref="T17:U17"/>
    <mergeCell ref="N17:O17"/>
    <mergeCell ref="P17:Q17"/>
    <mergeCell ref="N18:O18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0:AI52"/>
  <sheetViews>
    <sheetView tabSelected="1" topLeftCell="A10" zoomScale="70" zoomScaleNormal="70" workbookViewId="0">
      <selection activeCell="W25" sqref="W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3.140625" style="1" customWidth="1"/>
    <col min="4" max="4" width="13" style="1" hidden="1" customWidth="1"/>
    <col min="5" max="5" width="11.7109375" style="1" hidden="1" customWidth="1"/>
    <col min="6" max="6" width="13.85546875" style="1" customWidth="1"/>
    <col min="7" max="7" width="16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8.42578125" style="1" hidden="1" customWidth="1"/>
    <col min="17" max="17" width="11.5703125" style="1" hidden="1" customWidth="1"/>
    <col min="18" max="18" width="12.7109375" style="1" hidden="1" customWidth="1"/>
    <col min="19" max="19" width="3.28515625" style="1" hidden="1" customWidth="1"/>
    <col min="20" max="20" width="13.5703125" style="1" customWidth="1"/>
    <col min="21" max="21" width="17.5703125" style="1" customWidth="1"/>
    <col min="22" max="22" width="0.85546875" style="1" hidden="1" customWidth="1"/>
    <col min="23" max="23" width="18.28515625" style="1" customWidth="1"/>
    <col min="24" max="24" width="1.28515625" style="1" hidden="1" customWidth="1"/>
    <col min="25" max="25" width="17.140625" style="1" customWidth="1"/>
    <col min="26" max="26" width="12.28515625" style="1" customWidth="1"/>
    <col min="27" max="27" width="14" style="1" customWidth="1"/>
    <col min="28" max="28" width="14.7109375" style="1" customWidth="1"/>
    <col min="29" max="29" width="16.28515625" style="1" bestFit="1" customWidth="1"/>
    <col min="30" max="30" width="17.5703125" style="1" customWidth="1"/>
    <col min="31" max="31" width="15.140625" style="1" bestFit="1" customWidth="1"/>
    <col min="32" max="32" width="12.42578125" style="1" bestFit="1" customWidth="1"/>
    <col min="33" max="33" width="9.140625" style="1" bestFit="1" customWidth="1"/>
    <col min="34" max="34" width="17.85546875" style="1" bestFit="1" customWidth="1"/>
    <col min="35" max="35" width="14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189" t="s">
        <v>0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</row>
    <row r="11" spans="1:34" ht="34.5" x14ac:dyDescent="0.45">
      <c r="A11" s="190" t="s">
        <v>276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9.75" customHeight="1" thickBot="1" x14ac:dyDescent="0.35"/>
    <row r="14" spans="1:34" s="4" customFormat="1" ht="18" customHeight="1" x14ac:dyDescent="0.2">
      <c r="A14" s="191" t="s">
        <v>1</v>
      </c>
      <c r="B14" s="192"/>
      <c r="C14" s="193"/>
      <c r="D14" s="191" t="s">
        <v>2</v>
      </c>
      <c r="E14" s="192"/>
      <c r="F14" s="192"/>
      <c r="G14" s="192"/>
      <c r="H14" s="192"/>
      <c r="I14" s="192"/>
      <c r="J14" s="192"/>
      <c r="K14" s="192"/>
      <c r="L14" s="192"/>
      <c r="M14" s="193"/>
      <c r="N14" s="3"/>
      <c r="O14" s="3"/>
      <c r="P14" s="203" t="s">
        <v>3</v>
      </c>
      <c r="Q14" s="204"/>
      <c r="R14" s="204"/>
      <c r="S14" s="204"/>
      <c r="T14" s="204"/>
      <c r="U14" s="204"/>
      <c r="V14" s="205"/>
      <c r="W14" s="203" t="s">
        <v>4</v>
      </c>
      <c r="X14" s="204"/>
      <c r="Y14" s="204"/>
      <c r="Z14" s="205"/>
      <c r="AA14" s="209" t="s">
        <v>3</v>
      </c>
      <c r="AB14" s="203" t="s">
        <v>5</v>
      </c>
      <c r="AC14" s="204"/>
      <c r="AD14" s="204"/>
      <c r="AE14" s="205"/>
      <c r="AF14" s="212" t="s">
        <v>6</v>
      </c>
      <c r="AG14" s="213"/>
    </row>
    <row r="15" spans="1:34" s="4" customFormat="1" ht="24" customHeight="1" thickBot="1" x14ac:dyDescent="0.25">
      <c r="A15" s="233"/>
      <c r="B15" s="234"/>
      <c r="C15" s="235"/>
      <c r="D15" s="233"/>
      <c r="E15" s="234"/>
      <c r="F15" s="234"/>
      <c r="G15" s="234"/>
      <c r="H15" s="234"/>
      <c r="I15" s="234"/>
      <c r="J15" s="234"/>
      <c r="K15" s="234"/>
      <c r="L15" s="234"/>
      <c r="M15" s="235"/>
      <c r="N15" s="107"/>
      <c r="O15" s="107"/>
      <c r="P15" s="236"/>
      <c r="Q15" s="237"/>
      <c r="R15" s="237"/>
      <c r="S15" s="237"/>
      <c r="T15" s="237"/>
      <c r="U15" s="237"/>
      <c r="V15" s="238"/>
      <c r="W15" s="242" t="s">
        <v>3</v>
      </c>
      <c r="X15" s="243"/>
      <c r="Y15" s="243"/>
      <c r="Z15" s="244"/>
      <c r="AA15" s="239"/>
      <c r="AB15" s="236"/>
      <c r="AC15" s="237"/>
      <c r="AD15" s="237"/>
      <c r="AE15" s="238"/>
      <c r="AF15" s="240"/>
      <c r="AG15" s="241"/>
    </row>
    <row r="16" spans="1:34" s="4" customFormat="1" x14ac:dyDescent="0.2">
      <c r="A16" s="179" t="s">
        <v>7</v>
      </c>
      <c r="B16" s="182" t="s">
        <v>8</v>
      </c>
      <c r="C16" s="182"/>
      <c r="D16" s="185" t="s">
        <v>9</v>
      </c>
      <c r="E16" s="188"/>
      <c r="F16" s="232" t="s">
        <v>9</v>
      </c>
      <c r="G16" s="232"/>
      <c r="H16" s="232" t="s">
        <v>10</v>
      </c>
      <c r="I16" s="232"/>
      <c r="J16" s="232" t="s">
        <v>9</v>
      </c>
      <c r="K16" s="232"/>
      <c r="L16" s="232" t="s">
        <v>9</v>
      </c>
      <c r="M16" s="232"/>
      <c r="N16" s="232" t="s">
        <v>10</v>
      </c>
      <c r="O16" s="232"/>
      <c r="P16" s="232" t="s">
        <v>9</v>
      </c>
      <c r="Q16" s="232"/>
      <c r="R16" s="232" t="s">
        <v>9</v>
      </c>
      <c r="S16" s="232"/>
      <c r="T16" s="232" t="s">
        <v>9</v>
      </c>
      <c r="U16" s="232"/>
      <c r="V16" s="156" t="s">
        <v>11</v>
      </c>
      <c r="W16" s="130" t="s">
        <v>12</v>
      </c>
      <c r="X16" s="130" t="s">
        <v>13</v>
      </c>
      <c r="Y16" s="156" t="s">
        <v>13</v>
      </c>
      <c r="Z16" s="156" t="s">
        <v>14</v>
      </c>
      <c r="AA16" s="131" t="s">
        <v>15</v>
      </c>
      <c r="AB16" s="156" t="s">
        <v>16</v>
      </c>
      <c r="AC16" s="156" t="s">
        <v>17</v>
      </c>
      <c r="AD16" s="132" t="s">
        <v>18</v>
      </c>
      <c r="AE16" s="156" t="s">
        <v>20</v>
      </c>
      <c r="AF16" s="156" t="s">
        <v>21</v>
      </c>
      <c r="AG16" s="154" t="s">
        <v>22</v>
      </c>
    </row>
    <row r="17" spans="1:35" s="4" customFormat="1" ht="19.5" customHeight="1" x14ac:dyDescent="0.2">
      <c r="A17" s="180"/>
      <c r="B17" s="183"/>
      <c r="C17" s="183"/>
      <c r="D17" s="163">
        <v>200</v>
      </c>
      <c r="E17" s="178"/>
      <c r="F17" s="231">
        <v>200</v>
      </c>
      <c r="G17" s="231"/>
      <c r="H17" s="231">
        <v>200</v>
      </c>
      <c r="I17" s="231"/>
      <c r="J17" s="231">
        <v>208</v>
      </c>
      <c r="K17" s="231"/>
      <c r="L17" s="231">
        <v>150</v>
      </c>
      <c r="M17" s="231"/>
      <c r="N17" s="231">
        <v>150</v>
      </c>
      <c r="O17" s="231"/>
      <c r="P17" s="231">
        <v>38</v>
      </c>
      <c r="Q17" s="231"/>
      <c r="R17" s="231">
        <v>135</v>
      </c>
      <c r="S17" s="231"/>
      <c r="T17" s="231">
        <v>215</v>
      </c>
      <c r="U17" s="231"/>
      <c r="V17" s="157" t="s">
        <v>23</v>
      </c>
      <c r="W17" s="127"/>
      <c r="X17" s="127" t="s">
        <v>24</v>
      </c>
      <c r="Y17" s="157"/>
      <c r="Z17" s="157"/>
      <c r="AA17" s="128" t="s">
        <v>25</v>
      </c>
      <c r="AB17" s="157" t="s">
        <v>26</v>
      </c>
      <c r="AC17" s="157" t="s">
        <v>27</v>
      </c>
      <c r="AD17" s="157" t="s">
        <v>26</v>
      </c>
      <c r="AE17" s="157" t="s">
        <v>158</v>
      </c>
      <c r="AF17" s="157"/>
      <c r="AG17" s="155"/>
    </row>
    <row r="18" spans="1:35" s="4" customFormat="1" ht="19.5" customHeight="1" x14ac:dyDescent="0.2">
      <c r="A18" s="180"/>
      <c r="B18" s="183"/>
      <c r="C18" s="183"/>
      <c r="D18" s="163" t="s">
        <v>268</v>
      </c>
      <c r="E18" s="178"/>
      <c r="F18" s="231" t="s">
        <v>225</v>
      </c>
      <c r="G18" s="231"/>
      <c r="H18" s="231" t="s">
        <v>31</v>
      </c>
      <c r="I18" s="231"/>
      <c r="J18" s="231" t="s">
        <v>32</v>
      </c>
      <c r="K18" s="231"/>
      <c r="L18" s="231" t="s">
        <v>30</v>
      </c>
      <c r="M18" s="231"/>
      <c r="N18" s="231" t="s">
        <v>33</v>
      </c>
      <c r="O18" s="231"/>
      <c r="P18" s="231" t="s">
        <v>33</v>
      </c>
      <c r="Q18" s="231"/>
      <c r="R18" s="231" t="s">
        <v>33</v>
      </c>
      <c r="S18" s="231"/>
      <c r="T18" s="231" t="s">
        <v>33</v>
      </c>
      <c r="U18" s="231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5"/>
    </row>
    <row r="19" spans="1:35" s="4" customFormat="1" ht="22.5" thickBot="1" x14ac:dyDescent="0.25">
      <c r="A19" s="181"/>
      <c r="B19" s="184"/>
      <c r="C19" s="184"/>
      <c r="D19" s="22" t="s">
        <v>34</v>
      </c>
      <c r="E19" s="25" t="s">
        <v>35</v>
      </c>
      <c r="F19" s="133" t="s">
        <v>34</v>
      </c>
      <c r="G19" s="133" t="s">
        <v>35</v>
      </c>
      <c r="H19" s="133" t="s">
        <v>34</v>
      </c>
      <c r="I19" s="133" t="s">
        <v>35</v>
      </c>
      <c r="J19" s="133" t="s">
        <v>34</v>
      </c>
      <c r="K19" s="133" t="s">
        <v>35</v>
      </c>
      <c r="L19" s="133" t="s">
        <v>34</v>
      </c>
      <c r="M19" s="133" t="s">
        <v>35</v>
      </c>
      <c r="N19" s="133" t="s">
        <v>34</v>
      </c>
      <c r="O19" s="133" t="s">
        <v>35</v>
      </c>
      <c r="P19" s="133" t="s">
        <v>34</v>
      </c>
      <c r="Q19" s="133" t="s">
        <v>35</v>
      </c>
      <c r="R19" s="133" t="s">
        <v>34</v>
      </c>
      <c r="S19" s="133" t="s">
        <v>35</v>
      </c>
      <c r="T19" s="133" t="s">
        <v>34</v>
      </c>
      <c r="U19" s="133" t="s">
        <v>35</v>
      </c>
      <c r="V19" s="133" t="s">
        <v>34</v>
      </c>
      <c r="W19" s="133" t="s">
        <v>35</v>
      </c>
      <c r="X19" s="133" t="s">
        <v>36</v>
      </c>
      <c r="Y19" s="133" t="s">
        <v>36</v>
      </c>
      <c r="Z19" s="133" t="s">
        <v>34</v>
      </c>
      <c r="AA19" s="133" t="s">
        <v>34</v>
      </c>
      <c r="AB19" s="133" t="s">
        <v>34</v>
      </c>
      <c r="AC19" s="133" t="s">
        <v>34</v>
      </c>
      <c r="AD19" s="133" t="s">
        <v>34</v>
      </c>
      <c r="AE19" s="133" t="s">
        <v>36</v>
      </c>
      <c r="AF19" s="133" t="s">
        <v>36</v>
      </c>
      <c r="AG19" s="23" t="s">
        <v>34</v>
      </c>
    </row>
    <row r="20" spans="1:35" ht="54" customHeight="1" x14ac:dyDescent="0.3">
      <c r="A20" s="166">
        <v>46174</v>
      </c>
      <c r="B20" s="169" t="s">
        <v>37</v>
      </c>
      <c r="C20" s="30" t="s">
        <v>38</v>
      </c>
      <c r="D20" s="86">
        <v>0</v>
      </c>
      <c r="E20" s="31">
        <f t="shared" ref="E20" si="0">D20/200*25</f>
        <v>0</v>
      </c>
      <c r="F20" s="31">
        <v>16000</v>
      </c>
      <c r="G20" s="35">
        <v>5084.7403846153848</v>
      </c>
      <c r="H20" s="33" t="e">
        <v>#VALUE!</v>
      </c>
      <c r="I20" s="33" t="e">
        <v>#VALUE!</v>
      </c>
      <c r="J20" s="33">
        <v>0</v>
      </c>
      <c r="K20" s="33">
        <v>0</v>
      </c>
      <c r="L20" s="33">
        <v>0</v>
      </c>
      <c r="M20" s="33">
        <v>0</v>
      </c>
      <c r="N20" s="33" t="e">
        <v>#REF!</v>
      </c>
      <c r="O20" s="33" t="e">
        <v>#REF!</v>
      </c>
      <c r="P20" s="31">
        <v>0</v>
      </c>
      <c r="Q20" s="33">
        <v>0</v>
      </c>
      <c r="R20" s="33">
        <v>0</v>
      </c>
      <c r="S20" s="33">
        <v>0</v>
      </c>
      <c r="T20" s="31">
        <v>59985</v>
      </c>
      <c r="U20" s="33">
        <v>12344.418604651162</v>
      </c>
      <c r="V20" s="33" t="e">
        <v>#REF!</v>
      </c>
      <c r="W20" s="33">
        <v>67575</v>
      </c>
      <c r="X20" s="33">
        <v>0</v>
      </c>
      <c r="Y20" s="35">
        <v>13599.999999999993</v>
      </c>
      <c r="Z20" s="31">
        <v>5050</v>
      </c>
      <c r="AA20" s="31">
        <v>180</v>
      </c>
      <c r="AB20" s="33">
        <v>1111</v>
      </c>
      <c r="AC20" s="31">
        <v>18796</v>
      </c>
      <c r="AD20" s="33">
        <v>16364</v>
      </c>
      <c r="AE20" s="33">
        <v>12660</v>
      </c>
      <c r="AF20" s="31">
        <v>915</v>
      </c>
      <c r="AG20" s="36">
        <v>90</v>
      </c>
      <c r="AH20" s="78"/>
    </row>
    <row r="21" spans="1:35" ht="45" customHeight="1" x14ac:dyDescent="0.3">
      <c r="A21" s="166"/>
      <c r="B21" s="169"/>
      <c r="C21" s="37" t="s">
        <v>39</v>
      </c>
      <c r="D21" s="87">
        <v>0</v>
      </c>
      <c r="E21" s="38">
        <f>D21/200*25</f>
        <v>0</v>
      </c>
      <c r="F21" s="38">
        <v>11350</v>
      </c>
      <c r="G21" s="32">
        <f>F21/200*25</f>
        <v>1418.75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41019</v>
      </c>
      <c r="U21" s="32">
        <f>T21/215*25</f>
        <v>4769.6511627906975</v>
      </c>
      <c r="V21" s="38">
        <v>0</v>
      </c>
      <c r="W21" s="38">
        <v>13761.819999999996</v>
      </c>
      <c r="X21" s="38">
        <v>0</v>
      </c>
      <c r="Y21" s="38">
        <v>5787.6099999999897</v>
      </c>
      <c r="Z21" s="38">
        <v>2377</v>
      </c>
      <c r="AA21" s="38">
        <v>95</v>
      </c>
      <c r="AB21" s="38">
        <v>0</v>
      </c>
      <c r="AC21" s="38">
        <v>40800</v>
      </c>
      <c r="AD21" s="38">
        <v>0</v>
      </c>
      <c r="AE21" s="38">
        <v>12123</v>
      </c>
      <c r="AF21" s="38">
        <v>1030</v>
      </c>
      <c r="AG21" s="56">
        <v>244</v>
      </c>
      <c r="AH21" s="40"/>
      <c r="AI21" s="40"/>
    </row>
    <row r="22" spans="1:35" ht="61.5" customHeight="1" x14ac:dyDescent="0.3">
      <c r="A22" s="167"/>
      <c r="B22" s="170"/>
      <c r="C22" s="41" t="s">
        <v>41</v>
      </c>
      <c r="D22" s="42">
        <f t="shared" ref="D22:AG22" si="1">SUM(D20:D21)</f>
        <v>0</v>
      </c>
      <c r="E22" s="84">
        <f t="shared" si="1"/>
        <v>0</v>
      </c>
      <c r="F22" s="42">
        <f t="shared" si="1"/>
        <v>27350</v>
      </c>
      <c r="G22" s="43">
        <f t="shared" si="1"/>
        <v>6503.4903846153848</v>
      </c>
      <c r="H22" s="44" t="e">
        <f t="shared" si="1"/>
        <v>#VALUE!</v>
      </c>
      <c r="I22" s="44" t="e">
        <f t="shared" si="1"/>
        <v>#VALUE!</v>
      </c>
      <c r="J22" s="44">
        <f t="shared" si="1"/>
        <v>0</v>
      </c>
      <c r="K22" s="44">
        <f t="shared" si="1"/>
        <v>0</v>
      </c>
      <c r="L22" s="44">
        <f t="shared" si="1"/>
        <v>0</v>
      </c>
      <c r="M22" s="45">
        <f t="shared" si="1"/>
        <v>0</v>
      </c>
      <c r="N22" s="44" t="e">
        <f t="shared" si="1"/>
        <v>#REF!</v>
      </c>
      <c r="O22" s="44" t="e">
        <f t="shared" si="1"/>
        <v>#REF!</v>
      </c>
      <c r="P22" s="42">
        <f t="shared" si="1"/>
        <v>0</v>
      </c>
      <c r="Q22" s="43">
        <f t="shared" si="1"/>
        <v>0</v>
      </c>
      <c r="R22" s="42">
        <f t="shared" si="1"/>
        <v>0</v>
      </c>
      <c r="S22" s="43">
        <f t="shared" si="1"/>
        <v>0</v>
      </c>
      <c r="T22" s="42">
        <f t="shared" si="1"/>
        <v>101004</v>
      </c>
      <c r="U22" s="43">
        <f t="shared" si="1"/>
        <v>17114.069767441859</v>
      </c>
      <c r="V22" s="44" t="e">
        <f t="shared" si="1"/>
        <v>#REF!</v>
      </c>
      <c r="W22" s="45">
        <f t="shared" si="1"/>
        <v>81336.819999999992</v>
      </c>
      <c r="X22" s="44">
        <f t="shared" si="1"/>
        <v>0</v>
      </c>
      <c r="Y22" s="43">
        <f t="shared" si="1"/>
        <v>19387.609999999982</v>
      </c>
      <c r="Z22" s="42">
        <f t="shared" si="1"/>
        <v>7427</v>
      </c>
      <c r="AA22" s="42">
        <f t="shared" si="1"/>
        <v>275</v>
      </c>
      <c r="AB22" s="44">
        <f t="shared" si="1"/>
        <v>1111</v>
      </c>
      <c r="AC22" s="42">
        <f t="shared" si="1"/>
        <v>59596</v>
      </c>
      <c r="AD22" s="44">
        <f t="shared" si="1"/>
        <v>16364</v>
      </c>
      <c r="AE22" s="44">
        <f t="shared" si="1"/>
        <v>24783</v>
      </c>
      <c r="AF22" s="42">
        <f t="shared" si="1"/>
        <v>1945</v>
      </c>
      <c r="AG22" s="46">
        <f t="shared" si="1"/>
        <v>334</v>
      </c>
      <c r="AH22" s="63"/>
    </row>
    <row r="23" spans="1:35" ht="48" customHeight="1" x14ac:dyDescent="0.3">
      <c r="A23" s="171" t="s">
        <v>42</v>
      </c>
      <c r="B23" s="172"/>
      <c r="C23" s="173"/>
      <c r="D23" s="31"/>
      <c r="E23" s="38">
        <f>D23/200*25</f>
        <v>0</v>
      </c>
      <c r="F23" s="31"/>
      <c r="G23" s="32">
        <f>F23/200*25</f>
        <v>0</v>
      </c>
      <c r="H23" s="31"/>
      <c r="I23" s="31"/>
      <c r="J23" s="47"/>
      <c r="K23" s="34"/>
      <c r="L23" s="47"/>
      <c r="M23" s="34"/>
      <c r="N23" s="47"/>
      <c r="O23" s="34"/>
      <c r="P23" s="31"/>
      <c r="Q23" s="34"/>
      <c r="R23" s="31"/>
      <c r="S23" s="34"/>
      <c r="T23" s="31"/>
      <c r="U23" s="32">
        <f>T23/215*25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48"/>
      <c r="AF23" s="31"/>
      <c r="AG23" s="49"/>
      <c r="AI23" s="50"/>
    </row>
    <row r="24" spans="1:35" ht="54" customHeight="1" x14ac:dyDescent="0.3">
      <c r="A24" s="174" t="s">
        <v>43</v>
      </c>
      <c r="B24" s="175"/>
      <c r="C24" s="176"/>
      <c r="D24" s="51">
        <f t="shared" ref="D24:AG24" si="2">D22+D23</f>
        <v>0</v>
      </c>
      <c r="E24" s="51">
        <f t="shared" si="2"/>
        <v>0</v>
      </c>
      <c r="F24" s="51">
        <f t="shared" si="2"/>
        <v>27350</v>
      </c>
      <c r="G24" s="52">
        <f t="shared" si="2"/>
        <v>6503.4903846153848</v>
      </c>
      <c r="H24" s="51" t="e">
        <f t="shared" si="2"/>
        <v>#VALUE!</v>
      </c>
      <c r="I24" s="51" t="e">
        <f t="shared" si="2"/>
        <v>#VALUE!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1" t="e">
        <f t="shared" si="2"/>
        <v>#REF!</v>
      </c>
      <c r="O24" s="51" t="e">
        <f t="shared" si="2"/>
        <v>#REF!</v>
      </c>
      <c r="P24" s="51">
        <f t="shared" si="2"/>
        <v>0</v>
      </c>
      <c r="Q24" s="52">
        <f t="shared" si="2"/>
        <v>0</v>
      </c>
      <c r="R24" s="51">
        <f t="shared" si="2"/>
        <v>0</v>
      </c>
      <c r="S24" s="51">
        <f t="shared" si="2"/>
        <v>0</v>
      </c>
      <c r="T24" s="51">
        <f t="shared" si="2"/>
        <v>101004</v>
      </c>
      <c r="U24" s="52">
        <f t="shared" si="2"/>
        <v>17114.069767441859</v>
      </c>
      <c r="V24" s="51" t="e">
        <f t="shared" si="2"/>
        <v>#REF!</v>
      </c>
      <c r="W24" s="52">
        <f t="shared" si="2"/>
        <v>81336.819999999992</v>
      </c>
      <c r="X24" s="51">
        <f t="shared" si="2"/>
        <v>0</v>
      </c>
      <c r="Y24" s="52">
        <f t="shared" si="2"/>
        <v>19387.609999999982</v>
      </c>
      <c r="Z24" s="51">
        <f t="shared" si="2"/>
        <v>7427</v>
      </c>
      <c r="AA24" s="51">
        <f t="shared" si="2"/>
        <v>275</v>
      </c>
      <c r="AB24" s="51">
        <f t="shared" si="2"/>
        <v>1111</v>
      </c>
      <c r="AC24" s="51">
        <f t="shared" si="2"/>
        <v>59596</v>
      </c>
      <c r="AD24" s="51">
        <f t="shared" si="2"/>
        <v>16364</v>
      </c>
      <c r="AE24" s="51">
        <f t="shared" si="2"/>
        <v>24783</v>
      </c>
      <c r="AF24" s="51">
        <f t="shared" si="2"/>
        <v>1945</v>
      </c>
      <c r="AG24" s="53">
        <f t="shared" si="2"/>
        <v>334</v>
      </c>
    </row>
    <row r="25" spans="1:35" ht="75.75" customHeight="1" x14ac:dyDescent="0.3">
      <c r="A25" s="225" t="s">
        <v>249</v>
      </c>
      <c r="B25" s="226"/>
      <c r="C25" s="227"/>
      <c r="D25" s="85"/>
      <c r="E25" s="85">
        <v>0</v>
      </c>
      <c r="F25" s="31">
        <v>11066</v>
      </c>
      <c r="G25" s="32">
        <f>F25/200*25</f>
        <v>1383.25</v>
      </c>
      <c r="H25" s="47"/>
      <c r="I25" s="47"/>
      <c r="J25" s="47"/>
      <c r="K25" s="38"/>
      <c r="L25" s="47"/>
      <c r="M25" s="32"/>
      <c r="N25" s="47"/>
      <c r="O25" s="47"/>
      <c r="P25" s="47">
        <v>0</v>
      </c>
      <c r="Q25" s="32">
        <v>0</v>
      </c>
      <c r="R25" s="38"/>
      <c r="S25" s="32"/>
      <c r="T25" s="31">
        <v>9351</v>
      </c>
      <c r="U25" s="32">
        <f>T25/215*25</f>
        <v>1087.3255813953488</v>
      </c>
      <c r="V25" s="47"/>
      <c r="W25" s="31">
        <v>7769.8</v>
      </c>
      <c r="X25" s="47"/>
      <c r="Y25" s="55">
        <v>3071.5200000000004</v>
      </c>
      <c r="Z25" s="31">
        <v>1264</v>
      </c>
      <c r="AA25" s="38">
        <v>2</v>
      </c>
      <c r="AB25" s="47"/>
      <c r="AC25" s="38">
        <v>11115</v>
      </c>
      <c r="AD25" s="47"/>
      <c r="AE25" s="47">
        <v>5278</v>
      </c>
      <c r="AF25" s="38">
        <v>26</v>
      </c>
      <c r="AG25" s="56">
        <v>28</v>
      </c>
    </row>
    <row r="26" spans="1:35" s="4" customFormat="1" ht="100.5" customHeight="1" thickBot="1" x14ac:dyDescent="0.25">
      <c r="A26" s="57">
        <v>46180</v>
      </c>
      <c r="B26" s="161" t="s">
        <v>45</v>
      </c>
      <c r="C26" s="162"/>
      <c r="D26" s="58">
        <f>D24-D25</f>
        <v>0</v>
      </c>
      <c r="E26" s="58">
        <f>E24-E25</f>
        <v>0</v>
      </c>
      <c r="F26" s="58">
        <f>F24-F25</f>
        <v>16284</v>
      </c>
      <c r="G26" s="58">
        <f>G24-G25</f>
        <v>5120.2403846153848</v>
      </c>
      <c r="H26" s="58" t="e">
        <f>H24-H25-#REF!</f>
        <v>#VALUE!</v>
      </c>
      <c r="I26" s="58" t="e">
        <f>I24-I25-#REF!</f>
        <v>#VALUE!</v>
      </c>
      <c r="J26" s="58" t="e">
        <f>J24-J25-#REF!</f>
        <v>#REF!</v>
      </c>
      <c r="K26" s="58" t="e">
        <f>K24-K25-#REF!</f>
        <v>#REF!</v>
      </c>
      <c r="L26" s="58" t="e">
        <f>L24-L25-#REF!</f>
        <v>#REF!</v>
      </c>
      <c r="M26" s="58" t="e">
        <f>M24-M25-#REF!</f>
        <v>#REF!</v>
      </c>
      <c r="N26" s="58" t="e">
        <f>N24-N25-#REF!</f>
        <v>#REF!</v>
      </c>
      <c r="O26" s="58" t="e">
        <f>O24-O25-#REF!</f>
        <v>#REF!</v>
      </c>
      <c r="P26" s="58" t="e">
        <f>P24-P25-#REF!</f>
        <v>#REF!</v>
      </c>
      <c r="Q26" s="58" t="e">
        <f>Q24-Q25-#REF!</f>
        <v>#REF!</v>
      </c>
      <c r="R26" s="58" t="e">
        <f>R24-R25-#REF!</f>
        <v>#REF!</v>
      </c>
      <c r="S26" s="58" t="e">
        <f>S24-S25-#REF!</f>
        <v>#REF!</v>
      </c>
      <c r="T26" s="58">
        <f>T24-T25</f>
        <v>91653</v>
      </c>
      <c r="U26" s="58">
        <f>U24-U25</f>
        <v>16026.74418604651</v>
      </c>
      <c r="V26" s="58" t="e">
        <f>V24-V25-#REF!</f>
        <v>#REF!</v>
      </c>
      <c r="W26" s="59">
        <f>W24-W25</f>
        <v>73567.01999999999</v>
      </c>
      <c r="X26" s="58" t="e">
        <f>X24-X25-#REF!</f>
        <v>#REF!</v>
      </c>
      <c r="Y26" s="59">
        <f t="shared" ref="Y26:AG26" si="3">Y24-Y25</f>
        <v>16316.089999999982</v>
      </c>
      <c r="Z26" s="58">
        <f t="shared" si="3"/>
        <v>6163</v>
      </c>
      <c r="AA26" s="58">
        <f t="shared" si="3"/>
        <v>273</v>
      </c>
      <c r="AB26" s="58">
        <f t="shared" si="3"/>
        <v>1111</v>
      </c>
      <c r="AC26" s="58">
        <f t="shared" si="3"/>
        <v>48481</v>
      </c>
      <c r="AD26" s="58">
        <f t="shared" si="3"/>
        <v>16364</v>
      </c>
      <c r="AE26" s="58">
        <f t="shared" si="3"/>
        <v>19505</v>
      </c>
      <c r="AF26" s="58">
        <f t="shared" si="3"/>
        <v>1919</v>
      </c>
      <c r="AG26" s="109">
        <f t="shared" si="3"/>
        <v>306</v>
      </c>
    </row>
    <row r="27" spans="1:35" ht="17.25" customHeight="1" x14ac:dyDescent="0.3"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5" s="64" customFormat="1" ht="24" customHeight="1" x14ac:dyDescent="0.35">
      <c r="A28" s="64" t="s">
        <v>46</v>
      </c>
      <c r="F28" s="64" t="s">
        <v>47</v>
      </c>
      <c r="L28" s="65"/>
      <c r="O28" s="64" t="s">
        <v>48</v>
      </c>
      <c r="Y28" s="64" t="s">
        <v>48</v>
      </c>
      <c r="AD28" s="66" t="s">
        <v>49</v>
      </c>
      <c r="AG28" s="65"/>
    </row>
    <row r="29" spans="1:35" s="64" customFormat="1" ht="37.5" customHeight="1" x14ac:dyDescent="0.35">
      <c r="A29" s="68"/>
      <c r="B29" s="65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U29" s="69"/>
      <c r="AD29" s="69"/>
      <c r="AG29" s="69"/>
      <c r="AH29" s="65"/>
    </row>
    <row r="30" spans="1:35" s="64" customFormat="1" ht="24" customHeight="1" x14ac:dyDescent="0.35">
      <c r="A30" s="70" t="s">
        <v>265</v>
      </c>
      <c r="B30" s="65"/>
      <c r="F30" s="70" t="s">
        <v>51</v>
      </c>
      <c r="G30" s="71"/>
      <c r="H30" s="71"/>
      <c r="I30" s="71"/>
      <c r="K30" s="65"/>
      <c r="L30" s="65"/>
      <c r="O30" s="70" t="s">
        <v>52</v>
      </c>
      <c r="Y30" s="70" t="s">
        <v>52</v>
      </c>
      <c r="AD30" s="71" t="s">
        <v>53</v>
      </c>
      <c r="AH30" s="65"/>
    </row>
    <row r="31" spans="1:35" s="64" customFormat="1" ht="21.75" customHeight="1" x14ac:dyDescent="0.35">
      <c r="A31" s="68" t="s">
        <v>232</v>
      </c>
      <c r="B31" s="65"/>
      <c r="C31" s="65"/>
      <c r="F31" s="68" t="s">
        <v>55</v>
      </c>
      <c r="G31" s="65"/>
      <c r="H31" s="65"/>
      <c r="I31" s="65"/>
      <c r="J31" s="65"/>
      <c r="K31" s="65"/>
      <c r="L31" s="65"/>
      <c r="M31" s="65"/>
      <c r="O31" s="65" t="s">
        <v>56</v>
      </c>
      <c r="P31" s="65"/>
      <c r="Y31" s="65" t="s">
        <v>212</v>
      </c>
      <c r="AD31" s="68" t="s">
        <v>230</v>
      </c>
      <c r="AG31" s="65"/>
    </row>
    <row r="32" spans="1:35" s="64" customFormat="1" ht="26.25" customHeight="1" x14ac:dyDescent="0.35">
      <c r="A32" s="68" t="s">
        <v>59</v>
      </c>
      <c r="B32" s="65"/>
      <c r="C32" s="65"/>
      <c r="F32" s="68" t="s">
        <v>208</v>
      </c>
      <c r="G32" s="65"/>
      <c r="H32" s="65"/>
      <c r="I32" s="65"/>
      <c r="J32" s="65"/>
      <c r="K32" s="65"/>
      <c r="L32" s="65"/>
      <c r="M32" s="65"/>
      <c r="O32" s="65"/>
      <c r="P32" s="65"/>
      <c r="Q32" s="65"/>
      <c r="R32" s="65"/>
      <c r="S32" s="65"/>
      <c r="X32" s="65" t="s">
        <v>61</v>
      </c>
      <c r="Z32" s="65"/>
      <c r="AA32" s="65"/>
      <c r="AB32" s="65"/>
      <c r="AC32" s="65"/>
      <c r="AE32" s="65"/>
      <c r="AF32" s="73"/>
      <c r="AG32" s="73"/>
    </row>
    <row r="33" spans="1:34" s="65" customFormat="1" ht="24" customHeight="1" x14ac:dyDescent="0.35">
      <c r="A33" s="68"/>
      <c r="W33" s="74"/>
      <c r="AC33" s="75"/>
    </row>
    <row r="34" spans="1:34" s="65" customFormat="1" ht="24" customHeight="1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73"/>
    </row>
    <row r="35" spans="1:34" s="65" customFormat="1" ht="23.25" customHeight="1" x14ac:dyDescent="0.35">
      <c r="A35" s="70" t="s">
        <v>260</v>
      </c>
      <c r="B35" s="70"/>
      <c r="C35" s="73"/>
      <c r="D35" s="73"/>
      <c r="E35" s="73"/>
      <c r="F35" s="7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U35" s="64"/>
      <c r="V35" s="64"/>
      <c r="W35" s="64"/>
      <c r="X35" s="64"/>
      <c r="Y35" s="64"/>
      <c r="Z35" s="64"/>
      <c r="AA35" s="64"/>
      <c r="AB35" s="64"/>
      <c r="AC35" s="64"/>
      <c r="AD35" s="76"/>
      <c r="AE35" s="64"/>
      <c r="AF35" s="64"/>
      <c r="AG35" s="64"/>
    </row>
    <row r="36" spans="1:34" s="64" customFormat="1" ht="24" customHeight="1" x14ac:dyDescent="0.3">
      <c r="A36" s="68" t="s">
        <v>62</v>
      </c>
    </row>
    <row r="37" spans="1:34" s="64" customFormat="1" ht="25.5" customHeight="1" x14ac:dyDescent="0.3">
      <c r="A37" s="68" t="s">
        <v>63</v>
      </c>
    </row>
    <row r="38" spans="1:34" ht="13.5" customHeight="1" x14ac:dyDescent="0.3"/>
    <row r="39" spans="1:34" ht="13.5" customHeight="1" x14ac:dyDescent="0.35">
      <c r="B39" s="77"/>
      <c r="C39" s="77"/>
      <c r="D39" s="77"/>
      <c r="E39" s="77"/>
    </row>
    <row r="41" spans="1:34" ht="22.5" x14ac:dyDescent="0.35">
      <c r="B41" s="77"/>
      <c r="C41" s="77"/>
      <c r="D41" s="77"/>
      <c r="E41" s="77"/>
    </row>
    <row r="42" spans="1:34" ht="15.75" customHeight="1" x14ac:dyDescent="0.3"/>
    <row r="45" spans="1:34" ht="15.75" customHeight="1" x14ac:dyDescent="0.3"/>
    <row r="47" spans="1:34" ht="22.5" x14ac:dyDescent="0.35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9" spans="1:33" s="77" customFormat="1" ht="22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2" spans="1:33" ht="22.5" x14ac:dyDescent="0.35">
      <c r="A52" s="77"/>
    </row>
  </sheetData>
  <mergeCells count="45">
    <mergeCell ref="A24:C24"/>
    <mergeCell ref="A25:C25"/>
    <mergeCell ref="B26:C26"/>
    <mergeCell ref="P18:Q18"/>
    <mergeCell ref="R18:S18"/>
    <mergeCell ref="T18:U18"/>
    <mergeCell ref="A20:A22"/>
    <mergeCell ref="B20:B22"/>
    <mergeCell ref="A23:C23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L16:M16"/>
    <mergeCell ref="N16:O16"/>
    <mergeCell ref="P16:Q16"/>
    <mergeCell ref="R16:S16"/>
    <mergeCell ref="T16:U16"/>
    <mergeCell ref="D17:E17"/>
    <mergeCell ref="F17:G17"/>
    <mergeCell ref="H17:I17"/>
    <mergeCell ref="J17:K17"/>
    <mergeCell ref="L17:M17"/>
    <mergeCell ref="A16:A19"/>
    <mergeCell ref="B16:C19"/>
    <mergeCell ref="D16:E16"/>
    <mergeCell ref="F16:G16"/>
    <mergeCell ref="H16:I16"/>
    <mergeCell ref="J16:K16"/>
    <mergeCell ref="A10:AH10"/>
    <mergeCell ref="A11:AH11"/>
    <mergeCell ref="A14:C15"/>
    <mergeCell ref="D14:M15"/>
    <mergeCell ref="P14:V15"/>
    <mergeCell ref="W14:Z14"/>
    <mergeCell ref="AA14:AA15"/>
    <mergeCell ref="AB14:AE15"/>
    <mergeCell ref="AF14:AG15"/>
    <mergeCell ref="W15:Z15"/>
  </mergeCells>
  <pageMargins left="0.39370078740157483" right="0.39370078740157483" top="0.39370078740157483" bottom="0.31496062992125984" header="0.31496062992125984" footer="0.31496062992125984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179</vt:i4>
      </vt:variant>
      <vt:variant>
        <vt:lpstr>Named Ranges</vt:lpstr>
      </vt:variant>
      <vt:variant>
        <vt:i4>1</vt:i4>
      </vt:variant>
    </vt:vector>
  </HeadingPairs>
  <TitlesOfParts>
    <vt:vector size="180" baseType="lpstr">
      <vt:lpstr>01-01-07,2023</vt:lpstr>
      <vt:lpstr>01-08-14,2023</vt:lpstr>
      <vt:lpstr>01-15-21,2023</vt:lpstr>
      <vt:lpstr>01-22-28,2023</vt:lpstr>
      <vt:lpstr>1-29-2-4,2023</vt:lpstr>
      <vt:lpstr>2-5-11,2023</vt:lpstr>
      <vt:lpstr>2-12-18,2023</vt:lpstr>
      <vt:lpstr>2-19-25,2023</vt:lpstr>
      <vt:lpstr>2-26-3-4,2023</vt:lpstr>
      <vt:lpstr>3-5-11,2023</vt:lpstr>
      <vt:lpstr>3-12-18,2023</vt:lpstr>
      <vt:lpstr>3-19-25,2023</vt:lpstr>
      <vt:lpstr>3-26-4-1,2023</vt:lpstr>
      <vt:lpstr>4-2-8,2023</vt:lpstr>
      <vt:lpstr>4-9-15,2023</vt:lpstr>
      <vt:lpstr>4-16-22,2023</vt:lpstr>
      <vt:lpstr>4-23-29,2023</vt:lpstr>
      <vt:lpstr>4-30-5-6,2023</vt:lpstr>
      <vt:lpstr>5-7-13,2023</vt:lpstr>
      <vt:lpstr>5-14-20,2023</vt:lpstr>
      <vt:lpstr>5-21-27,2023</vt:lpstr>
      <vt:lpstr>5-28-6-3,2023</vt:lpstr>
      <vt:lpstr>6-4-10,2023</vt:lpstr>
      <vt:lpstr>6-11-17,2023</vt:lpstr>
      <vt:lpstr>6-18-24,2023</vt:lpstr>
      <vt:lpstr>6-25-7-1,2023</vt:lpstr>
      <vt:lpstr>7-2-8,2023</vt:lpstr>
      <vt:lpstr>7-9-15,2023</vt:lpstr>
      <vt:lpstr>7-16-22,2023</vt:lpstr>
      <vt:lpstr>7-23-29,2023</vt:lpstr>
      <vt:lpstr>7-30-8-5,2023</vt:lpstr>
      <vt:lpstr>8-6-12,20230</vt:lpstr>
      <vt:lpstr>8-13-19,2023</vt:lpstr>
      <vt:lpstr>8-20-26,2023</vt:lpstr>
      <vt:lpstr>8-27-9-2,2023</vt:lpstr>
      <vt:lpstr>9-3-9,2023</vt:lpstr>
      <vt:lpstr>9-10-16,2023</vt:lpstr>
      <vt:lpstr>9-17-23,2023</vt:lpstr>
      <vt:lpstr>9-24-30,2023</vt:lpstr>
      <vt:lpstr>10-1-7,2023</vt:lpstr>
      <vt:lpstr>10-8-14,2023</vt:lpstr>
      <vt:lpstr>10-15-21,2023</vt:lpstr>
      <vt:lpstr>10-22-31</vt:lpstr>
      <vt:lpstr>11-1-5,2023</vt:lpstr>
      <vt:lpstr>11-6-12,2023</vt:lpstr>
      <vt:lpstr>11-13-19,2023</vt:lpstr>
      <vt:lpstr>11-20-26,2023</vt:lpstr>
      <vt:lpstr>11-27-12-3,2023</vt:lpstr>
      <vt:lpstr>12-4-10,2023</vt:lpstr>
      <vt:lpstr>12-11-17,2023</vt:lpstr>
      <vt:lpstr>12-18-24,2023</vt:lpstr>
      <vt:lpstr>12-25-31,2023</vt:lpstr>
      <vt:lpstr>01-01-7-2024</vt:lpstr>
      <vt:lpstr>01-08-14,2024</vt:lpstr>
      <vt:lpstr>01-15-21,2024</vt:lpstr>
      <vt:lpstr>01-22-28,2024</vt:lpstr>
      <vt:lpstr>01-29-2-4,2024 </vt:lpstr>
      <vt:lpstr>2-5-11,2024</vt:lpstr>
      <vt:lpstr>2-12-18,2024</vt:lpstr>
      <vt:lpstr>2-19-25,2024</vt:lpstr>
      <vt:lpstr>2-26-3-3,2024</vt:lpstr>
      <vt:lpstr>3-4-10,2024</vt:lpstr>
      <vt:lpstr>3-11-17,2024</vt:lpstr>
      <vt:lpstr>3-18-24,2024</vt:lpstr>
      <vt:lpstr>3-25-31,2024</vt:lpstr>
      <vt:lpstr>4-1-7,2024</vt:lpstr>
      <vt:lpstr>4-8-14,2024</vt:lpstr>
      <vt:lpstr>4-15-21,2024</vt:lpstr>
      <vt:lpstr>4-22-28,2024</vt:lpstr>
      <vt:lpstr>4-29-5-5-2024</vt:lpstr>
      <vt:lpstr>5-6-12,2024</vt:lpstr>
      <vt:lpstr>5-13-19,2024</vt:lpstr>
      <vt:lpstr>5-20-26,2024</vt:lpstr>
      <vt:lpstr>5-27-JUNE 2, 2024</vt:lpstr>
      <vt:lpstr>JUNE 3-9, 2024</vt:lpstr>
      <vt:lpstr>JUNE 10-16, 2024</vt:lpstr>
      <vt:lpstr>JUNE 17-23, 2024</vt:lpstr>
      <vt:lpstr>JUNE 24-30</vt:lpstr>
      <vt:lpstr>JULY 1-7</vt:lpstr>
      <vt:lpstr>JULY 8-14</vt:lpstr>
      <vt:lpstr>JULY 15-21</vt:lpstr>
      <vt:lpstr>JULY 22-28</vt:lpstr>
      <vt:lpstr>JULY 29-AUGUST 4</vt:lpstr>
      <vt:lpstr>AUGUST 5-11, </vt:lpstr>
      <vt:lpstr>AUGUST 12-18</vt:lpstr>
      <vt:lpstr>AUGUST 19-25</vt:lpstr>
      <vt:lpstr>AUGUST 26-SEPTEMBER 1</vt:lpstr>
      <vt:lpstr>SEPTEMBER 2-8</vt:lpstr>
      <vt:lpstr>SEPTEMBER 9-15</vt:lpstr>
      <vt:lpstr>SEPTEMBER 16-22</vt:lpstr>
      <vt:lpstr>SEPTEMBER 23-29</vt:lpstr>
      <vt:lpstr>SEPTEMBER 30-OCT. 6</vt:lpstr>
      <vt:lpstr>OCTOBER 7-13</vt:lpstr>
      <vt:lpstr>OCTOBER 14-20</vt:lpstr>
      <vt:lpstr>OCTOBER 21-27</vt:lpstr>
      <vt:lpstr>OCTOBER 28-NOVEMBER 3</vt:lpstr>
      <vt:lpstr>NOVEMBER 4-10</vt:lpstr>
      <vt:lpstr>NOVEMBER 11-17</vt:lpstr>
      <vt:lpstr>NOVEMBER 18-24</vt:lpstr>
      <vt:lpstr>NOVEMBER 25-DECEMBER 1</vt:lpstr>
      <vt:lpstr>DECEMBER 2-8</vt:lpstr>
      <vt:lpstr>DECEMBER 9-15</vt:lpstr>
      <vt:lpstr>DECEMBER 16-22</vt:lpstr>
      <vt:lpstr>DECEMBER 23-29</vt:lpstr>
      <vt:lpstr>DECEMBER 30-JANUARY 5</vt:lpstr>
      <vt:lpstr>JANUARY 6-12</vt:lpstr>
      <vt:lpstr>JANUARY 13-19</vt:lpstr>
      <vt:lpstr>JANUARY 20-26</vt:lpstr>
      <vt:lpstr>JANUARY 27-FEBRUARY 2</vt:lpstr>
      <vt:lpstr>FEBRUARY 3-9</vt:lpstr>
      <vt:lpstr>FEBRUARY 10-16</vt:lpstr>
      <vt:lpstr>FEBRUARY 17-23</vt:lpstr>
      <vt:lpstr>FEBRUARY 24-MARCH 2</vt:lpstr>
      <vt:lpstr>MARCH 3-9</vt:lpstr>
      <vt:lpstr>MARCH 10-16</vt:lpstr>
      <vt:lpstr>MARCH 17-23</vt:lpstr>
      <vt:lpstr>MARCH 24-30</vt:lpstr>
      <vt:lpstr>MARCH 31-APRIL 6</vt:lpstr>
      <vt:lpstr>APRIL 7-13, 2025</vt:lpstr>
      <vt:lpstr>APRIL 14-20</vt:lpstr>
      <vt:lpstr>APRIL 21-27</vt:lpstr>
      <vt:lpstr>APRIL 28-MAY 4</vt:lpstr>
      <vt:lpstr>MAY 5-11</vt:lpstr>
      <vt:lpstr>MAY 12-18</vt:lpstr>
      <vt:lpstr>MAY 19-25</vt:lpstr>
      <vt:lpstr>MAY 26-JUNE 1</vt:lpstr>
      <vt:lpstr>JUNE 2-8</vt:lpstr>
      <vt:lpstr>JUNE 9-15</vt:lpstr>
      <vt:lpstr>JUNE 16-22</vt:lpstr>
      <vt:lpstr>JUNE 23-29</vt:lpstr>
      <vt:lpstr>JUNE 30-JULY 6</vt:lpstr>
      <vt:lpstr>JULY 7-13</vt:lpstr>
      <vt:lpstr>JULY 14-20</vt:lpstr>
      <vt:lpstr>JULY 21-27</vt:lpstr>
      <vt:lpstr>JULY 28-AUGUST 3</vt:lpstr>
      <vt:lpstr>AUGUST 4-10</vt:lpstr>
      <vt:lpstr>AUGUST 11-17</vt:lpstr>
      <vt:lpstr>AUGUST 18-24</vt:lpstr>
      <vt:lpstr>AUGUST 25-31</vt:lpstr>
      <vt:lpstr>SEPTEMBER 1-7</vt:lpstr>
      <vt:lpstr>SEPTEMBER 8-14</vt:lpstr>
      <vt:lpstr>SEPTEMBER 15-21</vt:lpstr>
      <vt:lpstr>SEPTEMBER 22-28</vt:lpstr>
      <vt:lpstr>SEPTEMBER 29-OCTOBER 5</vt:lpstr>
      <vt:lpstr>OCTOBER 6-12</vt:lpstr>
      <vt:lpstr>OCTOBER 13-19</vt:lpstr>
      <vt:lpstr>OCTOBER 20-26</vt:lpstr>
      <vt:lpstr>OCTOBER 27-NOVEMBER 2</vt:lpstr>
      <vt:lpstr>NOVEMBER 3-9</vt:lpstr>
      <vt:lpstr>NOVEMBER 10-16</vt:lpstr>
      <vt:lpstr>NOVEMBER 17-23</vt:lpstr>
      <vt:lpstr>NOVEMBER 24-30</vt:lpstr>
      <vt:lpstr>DECEMBER 1-7</vt:lpstr>
      <vt:lpstr>DECEMBER 8-14</vt:lpstr>
      <vt:lpstr>DECEMBER 15-21</vt:lpstr>
      <vt:lpstr>DECEMBER 22-28</vt:lpstr>
      <vt:lpstr>DECEMBER 29-JANUARY 4</vt:lpstr>
      <vt:lpstr>JANUARY 5-11</vt:lpstr>
      <vt:lpstr>JANUARY 12-18</vt:lpstr>
      <vt:lpstr>JANUARY 19-25</vt:lpstr>
      <vt:lpstr>JANUARY 26-FEB. 1</vt:lpstr>
      <vt:lpstr>FEBRUARY 2-8</vt:lpstr>
      <vt:lpstr>FEBRUARY 9-15</vt:lpstr>
      <vt:lpstr>FEBRUARY 16-22</vt:lpstr>
      <vt:lpstr>FEBRUARY 23-MARCH 1</vt:lpstr>
      <vt:lpstr>MARCH 2-8</vt:lpstr>
      <vt:lpstr>MARCH 9-15</vt:lpstr>
      <vt:lpstr>MARCH 16-22</vt:lpstr>
      <vt:lpstr>MARCH 23-29</vt:lpstr>
      <vt:lpstr>MARCH 30-APRIL 5</vt:lpstr>
      <vt:lpstr>APRIL 6-12</vt:lpstr>
      <vt:lpstr>APRIL 13-19</vt:lpstr>
      <vt:lpstr>APRIL 20-26</vt:lpstr>
      <vt:lpstr>APRIL 27-MAY 3</vt:lpstr>
      <vt:lpstr>MAY 4-10</vt:lpstr>
      <vt:lpstr>MAY 11-17</vt:lpstr>
      <vt:lpstr>MAY 18-24</vt:lpstr>
      <vt:lpstr>MAY 25-31</vt:lpstr>
      <vt:lpstr>JUNE 1-7</vt:lpstr>
      <vt:lpstr>'DECEMBER 22-28'!Print_Area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Venos L. Mandabon</cp:lastModifiedBy>
  <cp:lastPrinted>2026-06-02T07:20:12Z</cp:lastPrinted>
  <dcterms:created xsi:type="dcterms:W3CDTF">2023-01-11T03:33:36Z</dcterms:created>
  <dcterms:modified xsi:type="dcterms:W3CDTF">2026-06-08T06:07:04Z</dcterms:modified>
</cp:coreProperties>
</file>