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 firstSheet="4"/>
  </bookViews>
  <sheets>
    <sheet name="DJ部" sheetId="2" r:id="rId1"/>
    <sheet name="商务部 实发" sheetId="1" r:id="rId2"/>
    <sheet name="商务部业绩奖励" sheetId="3" r:id="rId3"/>
    <sheet name="商务部酒水奖励（现金）" sheetId="5" r:id="rId4"/>
    <sheet name="商务部红酒啤酒洋酒奖励" sheetId="4" r:id="rId5"/>
  </sheets>
  <definedNames>
    <definedName name="_xlnm._FilterDatabase" localSheetId="0" hidden="1">DJ部!$A$2:$IR$226</definedName>
    <definedName name="_xlnm._FilterDatabase" localSheetId="3" hidden="1">'商务部酒水奖励（现金）'!$A$2:$U$77</definedName>
    <definedName name="_xlnm._FilterDatabase" localSheetId="1" hidden="1">'商务部 实发'!$A$2:$AW$54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zhky</author>
    <author>Administrator</author>
  </authors>
  <commentList>
    <comment ref="D2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5月放假，任务1万</t>
        </r>
      </text>
    </comment>
    <comment ref="E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8月业绩任务1万</t>
        </r>
      </text>
    </comment>
    <comment ref="F2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3月业绩零提15%</t>
        </r>
      </text>
    </comment>
    <comment ref="AD7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引进奖励500</t>
        </r>
      </text>
    </comment>
    <comment ref="AE7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引进奖励500</t>
        </r>
      </text>
    </comment>
    <comment ref="B91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母亲</t>
        </r>
      </text>
    </comment>
    <comment ref="C91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真名涂瑜鳞</t>
        </r>
      </text>
    </comment>
    <comment ref="AG91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工行</t>
        </r>
      </text>
    </comment>
    <comment ref="H121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波士顿会员卡</t>
        </r>
      </text>
    </comment>
    <comment ref="K121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波士顿会员卡</t>
        </r>
      </text>
    </comment>
    <comment ref="AD135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补7月业绩提成</t>
        </r>
      </text>
    </comment>
    <comment ref="AE135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补7月业绩提成</t>
        </r>
      </text>
    </comment>
    <comment ref="G14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补7月</t>
        </r>
      </text>
    </comment>
    <comment ref="AG159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中国银行</t>
        </r>
      </text>
    </comment>
    <comment ref="AG179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农行</t>
        </r>
      </text>
    </comment>
    <comment ref="AG187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中国银行</t>
        </r>
      </text>
    </comment>
    <comment ref="F206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按波士顿提成算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zhky</author>
    <author>pengqin</author>
  </authors>
  <commentList>
    <comment ref="AR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2024.3开始达30万以上，洋酒奖励3%--6000以上洋酒不计奖励）</t>
        </r>
      </text>
    </comment>
    <comment ref="C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简颖、金莲花
通提25%，啤酒、红酒按30%
总业绩额外奖励5%
每月完成15万以上洋酒奖励5%（6000以上洋酒不计奖励）</t>
        </r>
      </text>
    </comment>
    <comment ref="AR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15万以上洋酒奖励5%
（6000+以上不计奖励）</t>
        </r>
      </text>
    </comment>
    <comment ref="C8" authorId="0">
      <text>
        <r>
          <rPr>
            <sz val="9"/>
            <rFont val="宋体"/>
            <charset val="134"/>
          </rPr>
          <t>Administrator:
30万以下25%，30万以上30%</t>
        </r>
      </text>
    </comment>
    <comment ref="J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上期超出42272</t>
        </r>
      </text>
    </comment>
    <comment ref="C9" authorId="0">
      <text>
        <r>
          <rPr>
            <sz val="9"/>
            <rFont val="宋体"/>
            <charset val="134"/>
          </rPr>
          <t>Administrator:
30万以下25%，30万以上30%</t>
        </r>
      </text>
    </comment>
    <comment ref="F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合同签订日支付36万元，2023年12月31日前支付18万元，2024年1月31日前支付剩余的18万元;</t>
        </r>
      </text>
    </comment>
    <comment ref="J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上期超出42272</t>
        </r>
      </text>
    </comment>
    <comment ref="G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10.20</t>
        </r>
      </text>
    </comment>
    <comment ref="AR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2024.3开始达27万以上，洋酒奖励4%--6000以上洋酒不计奖励）</t>
        </r>
      </text>
    </comment>
    <comment ref="F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分2次付</t>
        </r>
      </text>
    </comment>
    <comment ref="F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分2次付</t>
        </r>
      </text>
    </comment>
    <comment ref="J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上期超出8.17万</t>
        </r>
      </text>
    </comment>
    <comment ref="AR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2024.3开始达20万以上，洋酒奖励5%--6000以上洋酒不计奖励）</t>
        </r>
      </text>
    </comment>
    <comment ref="F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已付15万</t>
        </r>
      </text>
    </comment>
    <comment ref="C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2021.07.01按25%提
2023.2开始提成按27%</t>
        </r>
      </text>
    </comment>
    <comment ref="J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上期超出63.91万</t>
        </r>
      </text>
    </comment>
    <comment ref="AV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2024.3-2024.4月业绩达50万，奖励1万</t>
        </r>
      </text>
    </comment>
    <comment ref="C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2024.4重签合同</t>
        </r>
      </text>
    </comment>
    <comment ref="C17" authorId="1">
      <text>
        <r>
          <rPr>
            <b/>
            <sz val="9"/>
            <rFont val="宋体"/>
            <charset val="134"/>
          </rPr>
          <t xml:space="preserve">zhky:
</t>
        </r>
        <r>
          <rPr>
            <sz val="9"/>
            <rFont val="宋体"/>
            <charset val="134"/>
          </rPr>
          <t>2020.7月起20%提，每月业绩和波士顿达到60万奖励3%
2021.05.01业绩480万，完成奖励3%</t>
        </r>
      </text>
    </comment>
    <comment ref="C18" authorId="1">
      <text>
        <r>
          <rPr>
            <b/>
            <sz val="9"/>
            <rFont val="宋体"/>
            <charset val="134"/>
          </rPr>
          <t xml:space="preserve">zhky:
</t>
        </r>
        <r>
          <rPr>
            <sz val="9"/>
            <rFont val="宋体"/>
            <charset val="134"/>
          </rPr>
          <t>2020.7月起20%提，每2021.05.01业绩480万，完成奖励3%</t>
        </r>
      </text>
    </comment>
    <comment ref="G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J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上期超出12.06万</t>
        </r>
      </text>
    </comment>
    <comment ref="AR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2024.3开始25万以上洋酒奖励5%
（6000元以上洋酒不计奖励)</t>
        </r>
      </text>
    </comment>
    <comment ref="J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2023.09终止原合同，退回公司25519
2023.10重新签订合同</t>
        </r>
      </text>
    </comment>
    <comment ref="C20" authorId="1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张琳
何小小
王源</t>
        </r>
      </text>
    </comment>
    <comment ref="AR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2024.3开始达30万以上，洋酒奖励5%--6000以上洋酒不计奖励）</t>
        </r>
      </text>
    </comment>
    <comment ref="F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已付15万</t>
        </r>
      </text>
    </comment>
    <comment ref="AN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16827*0.83按13%提成</t>
        </r>
      </text>
    </comment>
    <comment ref="AG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畅饮</t>
        </r>
      </text>
    </comment>
    <comment ref="C24" authorId="2">
      <text>
        <r>
          <rPr>
            <b/>
            <sz val="9"/>
            <rFont val="宋体"/>
            <charset val="134"/>
          </rPr>
          <t>pengqin:</t>
        </r>
        <r>
          <rPr>
            <sz val="9"/>
            <rFont val="宋体"/>
            <charset val="134"/>
          </rPr>
          <t xml:space="preserve">
金艳</t>
        </r>
      </text>
    </comment>
    <comment ref="F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>完成400万支付剩余20万场费
2023.10.21退回场费51258</t>
        </r>
      </text>
    </comment>
    <comment ref="C26" authorId="1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>1.业绩分配:李姐承诺在有效期内完成公司指定的年销售1200000元_业绩任务指标;壹佰贰拾万元
    2.提成标准:该组每月业绩按零提25%计算。(红酒、啤酒部分业绩按30%提成计算)
    3.因该组属未签销售业绩合同人员，故每月总业绩额外按5%奖励。
    4.自2024年3月起，每月完成总业绩10万以上公司额外给予所完成业绩的洋酒部分5%提成奖励。(单瓶售价6000元以上洋酒不计奖励)
    5.公司如有活动及另外提成奖励则额外核算。
注:
    1、承组人:李姐
    2、如因大环境和疫情等原因无法正常经营情况下，则视其情况顺延
    3、该文件从2024年4月1号起执行。</t>
        </r>
      </text>
    </comment>
    <comment ref="AB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25%通提
额外奖励5%</t>
        </r>
      </text>
    </comment>
    <comment ref="AR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完成10万以上业绩(6000+洋酒不计奖励）</t>
        </r>
      </text>
    </comment>
    <comment ref="C27" authorId="2">
      <text>
        <r>
          <rPr>
            <sz val="9"/>
            <rFont val="宋体"/>
            <charset val="134"/>
          </rPr>
          <t xml:space="preserve">pengqin:
</t>
        </r>
        <r>
          <rPr>
            <sz val="11"/>
            <rFont val="宋体"/>
            <charset val="134"/>
          </rPr>
          <t>2019年10月海琳和高丹合组，2021.09开始25%通提
2023.01开始通提25%（红酒、啤酒额外5%），10万以上奖励5%</t>
        </r>
      </text>
    </comment>
    <comment ref="AB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10万以下25%
10万以上30%</t>
        </r>
      </text>
    </comment>
    <comment ref="C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>陈玉，小雪，雷丹
红酒啤酒额外5%</t>
        </r>
      </text>
    </comment>
    <comment ref="C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>陈玉，小雪，雷丹
红酒啤酒额外5%</t>
        </r>
      </text>
    </comment>
    <comment ref="J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上期超出44.98万</t>
        </r>
      </text>
    </comment>
    <comment ref="AR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2024.3开始达50万以上，洋酒奖励4%--6000以上洋酒不计奖励）</t>
        </r>
      </text>
    </comment>
    <comment ref="C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程程，赵蕾</t>
        </r>
      </text>
    </comment>
    <comment ref="H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4.30日前支付</t>
        </r>
      </text>
    </comment>
    <comment ref="AR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25万以上，洋酒奖励5%（6000+以上不计）</t>
        </r>
      </text>
    </comment>
    <comment ref="C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程程，赵蕾</t>
        </r>
      </text>
    </comment>
    <comment ref="H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2023.10.30</t>
        </r>
      </text>
    </comment>
    <comment ref="C32" authorId="1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2023.03开始按25%</t>
        </r>
      </text>
    </comment>
    <comment ref="BD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工商银行</t>
        </r>
      </text>
    </comment>
    <comment ref="C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>李华娟，韩小燕，梁淼
25%通提,啤酒,红酒部分的业绩按 30%提成(注:每月完成50万(含)以上业绩，公司额外给予洋酒部分业绩3%提成奖励)
    3、本期合同公司支付本组每月业绩的 2%提成给予李道华。</t>
        </r>
      </text>
    </comment>
    <comment ref="J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上期超出1105404元</t>
        </r>
      </text>
    </comment>
    <comment ref="AR34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50万以上洋酒3%奖励</t>
        </r>
      </text>
    </comment>
    <comment ref="B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2023年2月开始2%发放</t>
        </r>
      </text>
    </comment>
    <comment ref="C3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25%+5%通提
红酒、啤酒30%+5%提成</t>
        </r>
      </text>
    </comment>
    <comment ref="AR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2024.3开始达25万以上，洋酒奖励5%--6000以上洋酒不计奖励）</t>
        </r>
      </text>
    </comment>
    <comment ref="C3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 xml:space="preserve">	
1、业绩30%提成（开台与厨房小吃按25%提成执行）
2、计入C组绩效奖励：C组及本组业绩达到20万以上给予5000元奖励，达到30万以上给予8000元奖励（未达20万基本标准则无奖励）。</t>
        </r>
      </text>
    </comment>
    <comment ref="AO3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除小吃、跟台</t>
        </r>
      </text>
    </comment>
    <comment ref="AU3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补3月小吃扣款</t>
        </r>
      </text>
    </comment>
    <comment ref="C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 xml:space="preserve">	
1、业绩30%提成（开台与厨房小吃按25%提成执行）
2、计入C组绩效奖励：C组及本组业绩达到20万以上给予5000元奖励，达到30万以上给予8000元奖励（未达20万基本标准则无奖励）。
KK，李沫，兰兰</t>
        </r>
      </text>
    </comment>
    <comment ref="AO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除小吃、跟台</t>
        </r>
      </text>
    </comment>
    <comment ref="AU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补3月小吃扣款</t>
        </r>
      </text>
    </comment>
    <comment ref="AV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C组业绩每月20万以上给予5000元奖励;达到30万以上给予8000元奖励:(未达20万基本标准则无奖励)</t>
        </r>
      </text>
    </comment>
    <comment ref="C4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 xml:space="preserve">	
1、业绩30%提成（开台与厨房小吃按25%提成执行）
2、计入C组绩效奖励。
兰兰</t>
        </r>
      </text>
    </comment>
    <comment ref="H4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完成60万支付</t>
        </r>
      </text>
    </comment>
    <comment ref="AO4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除小吃、跟台</t>
        </r>
      </text>
    </comment>
    <comment ref="AU4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补3月小吃扣款</t>
        </r>
      </text>
    </comment>
    <comment ref="C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>张娅和彭霞承诺在有效期内完成公司指定的年销售1800000元业绩任务指标，大写：壹佰捌拾万元(其中张娅完成120万业绩，彭霞完成60万业绩，两人业绩分别单独统计和核算)；
    按30%提成计算(开台和厨房小吃按25%提成执行)；
    3.因该组未签销售业绩合同，故每月业绩额外按5%奖励。
    4.该组每月业绩达20万以上再给予2%奖励;每月达到30万以上给予2.5%奖励:每月达到40万以上给予3%奖励(未达到20万业绩标准则无奖励)
    5、公司如有活动及另外提成奖励则额外核算。</t>
        </r>
      </text>
    </comment>
    <comment ref="AO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除小吃、跟台</t>
        </r>
      </text>
    </comment>
    <comment ref="AV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20万以上再给予2%奖励;每月达到30万以上给予2.5%奖励:每月达到40万以上给予3%奖励(未达到20万业绩标准则无奖励)
</t>
        </r>
      </text>
    </comment>
    <comment ref="C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>1.业绩分配:自协议签订日期生效起，乙方承诺在有效期内完成甲方指定的年销售1200000元业绩任务指标;壹佰贰拾万元。
2.甲方共计支付乙方入场费用6万元整(大写:陆万元整)。合同签订后甲方先支付乙方入场奖励30000元整。大写:叁万元整。待该组上班完成百分之50业绩后再支付另外入场奖励，大写:叁万元整。
3.提成标准:该组每月业绩按30%提成计算(开台和房小吃按25%提成)。
4、公司如有活动及另外提成奖励则额外核算。
注:
1、承组人:郭飞(欧阳)、张蔚希(希希)
2、如因大环境和疫情等原因无法正常经营情况下，则视其情况顺延。</t>
        </r>
      </text>
    </comment>
    <comment ref="AD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6000以上</t>
        </r>
      </text>
    </comment>
    <comment ref="AO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除小吃、跟台</t>
        </r>
      </text>
    </comment>
    <comment ref="C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1"/>
            <rFont val="宋体"/>
            <charset val="134"/>
          </rPr>
          <t>签订一年2024-3-1至2025-2-28(12 个月)完成360万业绩任务合同，依据合同约定，公司给予“E”组以下待遇:
1、公司支付18万场费，合同签订日支付9万元，完成总业绩任务50%(180万元)支付剩余的9万元；
2、本组提成按每月完成业绩的25%通提，红酒、啤酒部分业绩按30%提成；
3、本组每月业绩完成达到20万元公司额外支付10000元奖金补贴，完成业绩达50万元以上按20000元支付奖金补贴
周雪梅、杨婷、于丽、唐红
入场时E组，2024.4与原W组合组，改名为W1组</t>
        </r>
      </text>
    </comment>
    <comment ref="AD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特殊，不计提成</t>
        </r>
      </text>
    </comment>
    <comment ref="AO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红酒、啤酒</t>
        </r>
      </text>
    </comment>
    <comment ref="AV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20万及以上奖励1万
50万及以上奖励2万</t>
        </r>
      </text>
    </comment>
    <comment ref="C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签订一年 2024-4-11至 2025-4-10(12 个月)完成 360万业绩任务合同，依据合同约定，公司给予“W6”组以下待遇:1，公司支付 18 万场费，合同签订目支付9万元，完成总业绩任务50%(180万元)支付剩余的9万元;
2，本组提成按每月完成业绩的30%通提(开台，厨房小吃业绩按25%提成，单价10000元以上洋酒提成按20%执行)
3、本组正常享受公司额外提成奖励政策。
注:1、“W6”组成组人:杨红 510921199202020678</t>
        </r>
      </text>
    </comment>
    <comment ref="AO44" authorId="0">
      <text>
        <r>
          <rPr>
            <sz val="9"/>
            <rFont val="宋体"/>
            <charset val="134"/>
          </rPr>
          <t>除跟台、小吃外业绩</t>
        </r>
      </text>
    </comment>
    <comment ref="C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   1、本组暂不签订业绩合同不一次性支取场费，公司按每月完成业绩5%提成的方式支付;
    2、本组提成按每月完成有效业绩的30%通提;
    3、本组每月业绩完成达到50万元公司额外给子5%提成奖励，(注:4.5.6月份按实际业绩正常给予额外提成奖励，完成业绩达50万元以上则按 6%提成奖励）；
    4、本组正常享有公司各楼层包厢订房奖励政策;
    5、本组入场后前3个月(4.5.6月份)无房小吃销售任务。
注:
    1,单支10000元以上洋酒提成标准按财务制度执行，不计额外提成奖励
    2,“W”组成组人:W1冉冉  W2思思  W3于倩  W4陈登平
 2024.4与原E组合组，更名为W2组</t>
        </r>
      </text>
    </comment>
    <comment ref="AB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25%提（通提30%+场费5%）</t>
        </r>
      </text>
    </comment>
    <comment ref="AO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月业绩完成达到50万元公司额外给子5%提成奖励，(注:4.5.6月份按实际业绩正常给予额外提成奖励，完成业绩达50万元以上则按 6%提成奖励）；</t>
        </r>
      </text>
    </comment>
    <comment ref="C54" authorId="1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新组10万以下20%，10万以上奖励5%</t>
        </r>
      </text>
    </comment>
  </commentList>
</comments>
</file>

<file path=xl/comments3.xml><?xml version="1.0" encoding="utf-8"?>
<comments xmlns="http://schemas.openxmlformats.org/spreadsheetml/2006/main">
  <authors>
    <author>zhky</author>
  </authors>
  <commentList>
    <comment ref="B3" authorId="0">
      <text>
        <r>
          <rPr>
            <b/>
            <sz val="9"/>
            <rFont val="宋体"/>
            <charset val="134"/>
          </rPr>
          <t>zhky:</t>
        </r>
        <r>
          <rPr>
            <sz val="9"/>
            <rFont val="宋体"/>
            <charset val="134"/>
          </rPr>
          <t xml:space="preserve">
2021.04.-2022.03完成600万奖励3%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L5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补3月3间</t>
        </r>
      </text>
    </comment>
    <comment ref="L5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补3月4间</t>
        </r>
      </text>
    </comment>
    <comment ref="L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补3月2间</t>
        </r>
      </text>
    </comment>
  </commentList>
</comments>
</file>

<file path=xl/sharedStrings.xml><?xml version="1.0" encoding="utf-8"?>
<sst xmlns="http://schemas.openxmlformats.org/spreadsheetml/2006/main" count="1474" uniqueCount="970">
  <si>
    <t>维也纳DJ部2024年04月业绩提成表</t>
  </si>
  <si>
    <t>序号</t>
  </si>
  <si>
    <t>真名</t>
  </si>
  <si>
    <r>
      <rPr>
        <sz val="11"/>
        <rFont val="Tahoma"/>
        <charset val="134"/>
      </rPr>
      <t>DJ</t>
    </r>
    <r>
      <rPr>
        <sz val="11"/>
        <rFont val="宋体"/>
        <charset val="134"/>
      </rPr>
      <t>姓名</t>
    </r>
  </si>
  <si>
    <t>总业绩</t>
  </si>
  <si>
    <t>业绩</t>
  </si>
  <si>
    <t>提成点</t>
  </si>
  <si>
    <t>提成</t>
  </si>
  <si>
    <t>火腿</t>
  </si>
  <si>
    <t>会员卡</t>
  </si>
  <si>
    <t>领款额</t>
  </si>
  <si>
    <t>提成
点</t>
  </si>
  <si>
    <t>红啤酒奖励</t>
  </si>
  <si>
    <t>酒水奖励</t>
  </si>
  <si>
    <t>奖励</t>
  </si>
  <si>
    <t>9月订房奖励</t>
  </si>
  <si>
    <t>合计</t>
  </si>
  <si>
    <r>
      <rPr>
        <sz val="11"/>
        <rFont val="宋体"/>
        <charset val="134"/>
      </rPr>
      <t>卡号</t>
    </r>
  </si>
  <si>
    <t>任务</t>
  </si>
  <si>
    <t>房间数</t>
  </si>
  <si>
    <t>奖罚</t>
  </si>
  <si>
    <t>签字</t>
  </si>
  <si>
    <t>周锐洁</t>
  </si>
  <si>
    <t>6230200202219056</t>
  </si>
  <si>
    <t>6</t>
  </si>
  <si>
    <t>张小辉</t>
  </si>
  <si>
    <t>小辉</t>
  </si>
  <si>
    <t>6230200201723496</t>
  </si>
  <si>
    <t>刘敏</t>
  </si>
  <si>
    <t>6230200201727299</t>
  </si>
  <si>
    <t>郭倩</t>
  </si>
  <si>
    <t>6230200201755381</t>
  </si>
  <si>
    <t>李平</t>
  </si>
  <si>
    <t>李萍</t>
  </si>
  <si>
    <t>6230210201495037</t>
  </si>
  <si>
    <t>高苗苗</t>
  </si>
  <si>
    <t>高明明</t>
  </si>
  <si>
    <t>6230210201425026</t>
  </si>
  <si>
    <t>病假，减半</t>
  </si>
  <si>
    <t>黄梦雪</t>
  </si>
  <si>
    <t>亮亮</t>
  </si>
  <si>
    <t>6230200201662058</t>
  </si>
  <si>
    <t>千山曲乌</t>
  </si>
  <si>
    <t>杨菲菲</t>
  </si>
  <si>
    <t>6230200201726176</t>
  </si>
  <si>
    <t>4</t>
  </si>
  <si>
    <t>肖静</t>
  </si>
  <si>
    <t>6230200201661639</t>
  </si>
  <si>
    <t>2-3</t>
  </si>
  <si>
    <t>马婷婷</t>
  </si>
  <si>
    <t>王梓</t>
  </si>
  <si>
    <t>6230520460089721470</t>
  </si>
  <si>
    <t>农业银行</t>
  </si>
  <si>
    <t>黄妮</t>
  </si>
  <si>
    <t>安妮</t>
  </si>
  <si>
    <t>6230200202262288</t>
  </si>
  <si>
    <t>李浩月</t>
  </si>
  <si>
    <t>李文瑾</t>
  </si>
  <si>
    <t>6230200202253337</t>
  </si>
  <si>
    <t>3</t>
  </si>
  <si>
    <t>余航</t>
  </si>
  <si>
    <t>余妹妹</t>
  </si>
  <si>
    <t>6217003640010624504</t>
  </si>
  <si>
    <t>建行</t>
  </si>
  <si>
    <t>王佳红</t>
  </si>
  <si>
    <t>王佳</t>
  </si>
  <si>
    <t>6230200201726010</t>
  </si>
  <si>
    <t>张靖悦</t>
  </si>
  <si>
    <t>张悦</t>
  </si>
  <si>
    <t>6217853100037356672</t>
  </si>
  <si>
    <t>中国银行二类卡</t>
  </si>
  <si>
    <t>陈霞</t>
  </si>
  <si>
    <t>陈陈</t>
  </si>
  <si>
    <t>6217003810018931017</t>
  </si>
  <si>
    <t>建设银行</t>
  </si>
  <si>
    <t>吴倩</t>
  </si>
  <si>
    <t>潇潇</t>
  </si>
  <si>
    <t>6212264000034043089</t>
  </si>
  <si>
    <t>工商银行</t>
  </si>
  <si>
    <t>曾珍</t>
  </si>
  <si>
    <t>曾夕</t>
  </si>
  <si>
    <t>6230210202090159</t>
  </si>
  <si>
    <t>罗小惠</t>
  </si>
  <si>
    <t>小惠</t>
  </si>
  <si>
    <t>6230210202408153</t>
  </si>
  <si>
    <t>李香桃</t>
  </si>
  <si>
    <t>6230200202322447</t>
  </si>
  <si>
    <t>蔡倩</t>
  </si>
  <si>
    <t>6230200202502493</t>
  </si>
  <si>
    <t>雷怡冬</t>
  </si>
  <si>
    <t>6230200201723504</t>
  </si>
  <si>
    <t>王丽曦</t>
  </si>
  <si>
    <t>西西</t>
  </si>
  <si>
    <t>6230200202612110</t>
  </si>
  <si>
    <t>李佳欢</t>
  </si>
  <si>
    <t>李佳欣</t>
  </si>
  <si>
    <t>6222629530009985079</t>
  </si>
  <si>
    <t>交通银行</t>
  </si>
  <si>
    <t>宋林潞</t>
  </si>
  <si>
    <t>二妹</t>
  </si>
  <si>
    <t>6222024402041761085</t>
  </si>
  <si>
    <t>盛娇</t>
  </si>
  <si>
    <t>6217003800019708936</t>
  </si>
  <si>
    <t>贺小兰</t>
  </si>
  <si>
    <t>6230200202460643</t>
  </si>
  <si>
    <t>梁英</t>
  </si>
  <si>
    <t>梁淼</t>
  </si>
  <si>
    <t>6230200201727224</t>
  </si>
  <si>
    <t>张雪</t>
  </si>
  <si>
    <t>6222024402058419544</t>
  </si>
  <si>
    <t>张霞</t>
  </si>
  <si>
    <t>张可可</t>
  </si>
  <si>
    <t>6230200201727018</t>
  </si>
  <si>
    <t>赵依欣</t>
  </si>
  <si>
    <t>欣欣</t>
  </si>
  <si>
    <t>6230210202719336</t>
  </si>
  <si>
    <t>唐秀容</t>
  </si>
  <si>
    <t>唐蓉</t>
  </si>
  <si>
    <t>6230200202595455</t>
  </si>
  <si>
    <t>严丹</t>
  </si>
  <si>
    <t>颜言</t>
  </si>
  <si>
    <t>6230210202758623</t>
  </si>
  <si>
    <t>张玉婵</t>
  </si>
  <si>
    <t>张佑</t>
  </si>
  <si>
    <t>6230200201727257</t>
  </si>
  <si>
    <t>黄敏</t>
  </si>
  <si>
    <t>黄婧一</t>
  </si>
  <si>
    <t>6217853100037309309</t>
  </si>
  <si>
    <t>中国银行</t>
  </si>
  <si>
    <t>胡杜鑫</t>
  </si>
  <si>
    <t>622908436193525417</t>
  </si>
  <si>
    <t>姚婵</t>
  </si>
  <si>
    <t>刁婵</t>
  </si>
  <si>
    <t>6230210201692245</t>
  </si>
  <si>
    <t>黄思雨</t>
  </si>
  <si>
    <t>苏曼</t>
  </si>
  <si>
    <t>6222032307005795179</t>
  </si>
  <si>
    <t>赖雨欣</t>
  </si>
  <si>
    <t>雨欣</t>
  </si>
  <si>
    <t>6230200202613043</t>
  </si>
  <si>
    <t>陈怡杉</t>
  </si>
  <si>
    <t>十六</t>
  </si>
  <si>
    <t>6230210202506006</t>
  </si>
  <si>
    <t>敬烨</t>
  </si>
  <si>
    <t>王阳</t>
  </si>
  <si>
    <t>6230210202117325</t>
  </si>
  <si>
    <t>李莉莎</t>
  </si>
  <si>
    <t>杨紫</t>
  </si>
  <si>
    <t>6230200201815003</t>
  </si>
  <si>
    <t>段春艳</t>
  </si>
  <si>
    <t>十一</t>
  </si>
  <si>
    <t>622908433074245413</t>
  </si>
  <si>
    <t>王露雪</t>
  </si>
  <si>
    <t>白雪</t>
  </si>
  <si>
    <t>6212264402095453027</t>
  </si>
  <si>
    <t>工商银行二类卡</t>
  </si>
  <si>
    <t>钟星宇</t>
  </si>
  <si>
    <t>张丽</t>
  </si>
  <si>
    <t>杨林</t>
  </si>
  <si>
    <t>杨玲</t>
  </si>
  <si>
    <t>6230200201860488</t>
  </si>
  <si>
    <t>罗春艳</t>
  </si>
  <si>
    <t>罗睿</t>
  </si>
  <si>
    <t>6222023100043136345</t>
  </si>
  <si>
    <t>张义芳</t>
  </si>
  <si>
    <t>张果果</t>
  </si>
  <si>
    <t>6230200201774218</t>
  </si>
  <si>
    <t>杨丽园</t>
  </si>
  <si>
    <t>园园</t>
  </si>
  <si>
    <t>6230210202794404</t>
  </si>
  <si>
    <t>顾凤萍</t>
  </si>
  <si>
    <t>于小小</t>
  </si>
  <si>
    <t>6230200202502667</t>
  </si>
  <si>
    <t>赵怿淳</t>
  </si>
  <si>
    <t>苏苏</t>
  </si>
  <si>
    <t>6217850400001075107</t>
  </si>
  <si>
    <t>李世悦</t>
  </si>
  <si>
    <t>月月</t>
  </si>
  <si>
    <t>6217903100026475665</t>
  </si>
  <si>
    <t>杨智</t>
  </si>
  <si>
    <t>6230210202619841</t>
  </si>
  <si>
    <t>陈卓</t>
  </si>
  <si>
    <t>6230210201077983</t>
  </si>
  <si>
    <t>郭玉龙</t>
  </si>
  <si>
    <t>6230200202611294</t>
  </si>
  <si>
    <t>褚丽婷</t>
  </si>
  <si>
    <t>杨婷</t>
  </si>
  <si>
    <t>6230210202770503</t>
  </si>
  <si>
    <t>病假</t>
  </si>
  <si>
    <t>王丹</t>
  </si>
  <si>
    <t>6230200202387945</t>
  </si>
  <si>
    <t>王润娥</t>
  </si>
  <si>
    <t>王源</t>
  </si>
  <si>
    <t>6230200201935876</t>
  </si>
  <si>
    <t>王世岩</t>
  </si>
  <si>
    <t>王岩</t>
  </si>
  <si>
    <t>6230200201726143</t>
  </si>
  <si>
    <t>陈典</t>
  </si>
  <si>
    <t>陈早安</t>
  </si>
  <si>
    <t>6230210202784769</t>
  </si>
  <si>
    <t>白浅</t>
  </si>
  <si>
    <t>王晓燕</t>
  </si>
  <si>
    <t>王小丫</t>
  </si>
  <si>
    <t>6230210202334037</t>
  </si>
  <si>
    <t>于瑞</t>
  </si>
  <si>
    <t>6230210202090464</t>
  </si>
  <si>
    <t>休</t>
  </si>
  <si>
    <t>陈雪娇</t>
  </si>
  <si>
    <t>陈娇</t>
  </si>
  <si>
    <t>6230200202402819</t>
  </si>
  <si>
    <t>马婉娟</t>
  </si>
  <si>
    <t>小婉</t>
  </si>
  <si>
    <t>6230200202611195</t>
  </si>
  <si>
    <t>任忆寒</t>
  </si>
  <si>
    <t>刘颖</t>
  </si>
  <si>
    <t>6230200202469412</t>
  </si>
  <si>
    <t>黄建霞</t>
  </si>
  <si>
    <t>黄叶</t>
  </si>
  <si>
    <t>6230200201884595</t>
  </si>
  <si>
    <t>董婷</t>
  </si>
  <si>
    <t>颜琪</t>
  </si>
  <si>
    <t>6230200201604597</t>
  </si>
  <si>
    <t>彭林珠</t>
  </si>
  <si>
    <t>珠珠</t>
  </si>
  <si>
    <t>6230210202804427</t>
  </si>
  <si>
    <t>王静</t>
  </si>
  <si>
    <t>6230200202322298</t>
  </si>
  <si>
    <t>王沙沙</t>
  </si>
  <si>
    <t>6230200201725996</t>
  </si>
  <si>
    <t>龚琴</t>
  </si>
  <si>
    <t>李可可</t>
  </si>
  <si>
    <t>6214623221001681998</t>
  </si>
  <si>
    <t>广发银行</t>
  </si>
  <si>
    <t>秦凤</t>
  </si>
  <si>
    <t>秦瑞</t>
  </si>
  <si>
    <t>6217232308000848102</t>
  </si>
  <si>
    <t>朱清</t>
  </si>
  <si>
    <t>6230210202743583</t>
  </si>
  <si>
    <t>朱敏</t>
  </si>
  <si>
    <t>6230210202784173</t>
  </si>
  <si>
    <t>吴文雨</t>
  </si>
  <si>
    <t>肖娜</t>
  </si>
  <si>
    <t>6230200201725137</t>
  </si>
  <si>
    <t>思怡</t>
  </si>
  <si>
    <t>陈丹</t>
  </si>
  <si>
    <t>张晨</t>
  </si>
  <si>
    <t>6230200202613597</t>
  </si>
  <si>
    <t>林伊</t>
  </si>
  <si>
    <t>胡沙沙</t>
  </si>
  <si>
    <t>胡佳妮</t>
  </si>
  <si>
    <t>6230210202333914</t>
  </si>
  <si>
    <t>唐念琼</t>
  </si>
  <si>
    <t>唐念汐</t>
  </si>
  <si>
    <t>6230200201857906</t>
  </si>
  <si>
    <t>黄云先</t>
  </si>
  <si>
    <t>楠楠</t>
  </si>
  <si>
    <t>6215582310007223370</t>
  </si>
  <si>
    <t>彭玉琴</t>
  </si>
  <si>
    <t>新入职</t>
  </si>
  <si>
    <t>鲁柯町</t>
  </si>
  <si>
    <t>李梦琪</t>
  </si>
  <si>
    <t>6230200202567777</t>
  </si>
  <si>
    <t>马红利</t>
  </si>
  <si>
    <t>瞳瞳</t>
  </si>
  <si>
    <t>6230210202486811</t>
  </si>
  <si>
    <t>杨承南</t>
  </si>
  <si>
    <t>杨文</t>
  </si>
  <si>
    <t>6230200202527615</t>
  </si>
  <si>
    <t>罗兰</t>
  </si>
  <si>
    <t>6230200201726002</t>
  </si>
  <si>
    <t>陈俊</t>
  </si>
  <si>
    <t>6230210202616235</t>
  </si>
  <si>
    <t>唐艺</t>
  </si>
  <si>
    <t>谢佳燕</t>
  </si>
  <si>
    <t>小七</t>
  </si>
  <si>
    <t>6230210202695999</t>
  </si>
  <si>
    <t>冯琳芳</t>
  </si>
  <si>
    <t>冯啦啦</t>
  </si>
  <si>
    <t>6230210202333609</t>
  </si>
  <si>
    <t>桃子</t>
  </si>
  <si>
    <t>苏小北</t>
  </si>
  <si>
    <t xml:space="preserve">严山姗 </t>
  </si>
  <si>
    <t>林香</t>
  </si>
  <si>
    <t>6230210202621417</t>
  </si>
  <si>
    <t>边治中</t>
  </si>
  <si>
    <t>李雪</t>
  </si>
  <si>
    <t>6230210201770900</t>
  </si>
  <si>
    <t>王雪</t>
  </si>
  <si>
    <t>6230200202491564</t>
  </si>
  <si>
    <t>李星</t>
  </si>
  <si>
    <t>林洋</t>
  </si>
  <si>
    <t>6230200201266629</t>
  </si>
  <si>
    <t>刘菲</t>
  </si>
  <si>
    <t>菲菲</t>
  </si>
  <si>
    <t>6230200202374778</t>
  </si>
  <si>
    <t>郭秀红</t>
  </si>
  <si>
    <t>董阳</t>
  </si>
  <si>
    <t>6230200202522889</t>
  </si>
  <si>
    <t>李婷</t>
  </si>
  <si>
    <t>6230200201661613</t>
  </si>
  <si>
    <t>伍勇梅</t>
  </si>
  <si>
    <t>伍月</t>
  </si>
  <si>
    <t>6230210201790460</t>
  </si>
  <si>
    <t>莎妹</t>
  </si>
  <si>
    <t>黎绪艳</t>
  </si>
  <si>
    <t>程玉娥</t>
  </si>
  <si>
    <t>6230200202522657</t>
  </si>
  <si>
    <t>周于琳</t>
  </si>
  <si>
    <t>于琳</t>
  </si>
  <si>
    <t>6230200201879991</t>
  </si>
  <si>
    <t>李慧敏</t>
  </si>
  <si>
    <t>慧敏</t>
  </si>
  <si>
    <t>6230210202504688</t>
  </si>
  <si>
    <t>杨艳</t>
  </si>
  <si>
    <t>熊薇</t>
  </si>
  <si>
    <t>阿薇</t>
  </si>
  <si>
    <t>6230210202080952</t>
  </si>
  <si>
    <t>钟玲</t>
  </si>
  <si>
    <t>小羽</t>
  </si>
  <si>
    <t>甘青凡</t>
  </si>
  <si>
    <t>凡凡</t>
  </si>
  <si>
    <t>6230210201790601</t>
  </si>
  <si>
    <t>张徐</t>
  </si>
  <si>
    <t>张丹</t>
  </si>
  <si>
    <t>6230200201725988</t>
  </si>
  <si>
    <t>肖婉怡</t>
  </si>
  <si>
    <t>肖子怡</t>
  </si>
  <si>
    <t>6230200201646424</t>
  </si>
  <si>
    <t>赵丽平</t>
  </si>
  <si>
    <t>赵萍</t>
  </si>
  <si>
    <t>6230200202469529</t>
  </si>
  <si>
    <t>陈慧</t>
  </si>
  <si>
    <t>谭愫</t>
  </si>
  <si>
    <t>愫愫</t>
  </si>
  <si>
    <t>6230200201857427</t>
  </si>
  <si>
    <t>肖屿笙</t>
  </si>
  <si>
    <t>星宇</t>
  </si>
  <si>
    <t>6230200202322454</t>
  </si>
  <si>
    <t>李莎莎</t>
  </si>
  <si>
    <t>6230210202145771</t>
  </si>
  <si>
    <t>安娜</t>
  </si>
  <si>
    <t>陈怡竹</t>
  </si>
  <si>
    <t>6230210202505404</t>
  </si>
  <si>
    <t>何春漫</t>
  </si>
  <si>
    <t>何琪</t>
  </si>
  <si>
    <t>6230210202486316</t>
  </si>
  <si>
    <t>黄琴</t>
  </si>
  <si>
    <t>黄晴</t>
  </si>
  <si>
    <t>6230210202128991</t>
  </si>
  <si>
    <t>颜芳</t>
  </si>
  <si>
    <t>琪琪</t>
  </si>
  <si>
    <t>6230210201827239</t>
  </si>
  <si>
    <t>何黄梅</t>
  </si>
  <si>
    <t>何冉</t>
  </si>
  <si>
    <t>6230200201822892</t>
  </si>
  <si>
    <t>李华娟</t>
  </si>
  <si>
    <t>6230200201713737</t>
  </si>
  <si>
    <t>张瑜</t>
  </si>
  <si>
    <t>赵蕾</t>
  </si>
  <si>
    <t>6230200200534332</t>
  </si>
  <si>
    <t>陈晓</t>
  </si>
  <si>
    <t>陈筱</t>
  </si>
  <si>
    <t>6226322010679127</t>
  </si>
  <si>
    <t>范晶玉</t>
  </si>
  <si>
    <t>晶玉</t>
  </si>
  <si>
    <t>6230200202425588</t>
  </si>
  <si>
    <t>杜佳</t>
  </si>
  <si>
    <t>杜曼</t>
  </si>
  <si>
    <t>6230200202264755</t>
  </si>
  <si>
    <t>陈思杏</t>
  </si>
  <si>
    <t>陈乔</t>
  </si>
  <si>
    <t>6230210202116962</t>
  </si>
  <si>
    <t>冉小艳</t>
  </si>
  <si>
    <t>苒苒</t>
  </si>
  <si>
    <t>6230200202326216</t>
  </si>
  <si>
    <t>舒欣</t>
  </si>
  <si>
    <t>舒欣儿</t>
  </si>
  <si>
    <t>6230200201822926</t>
  </si>
  <si>
    <t>李玲</t>
  </si>
  <si>
    <t>李李</t>
  </si>
  <si>
    <t>6230200201738593</t>
  </si>
  <si>
    <t>罗敏</t>
  </si>
  <si>
    <t>6230200201728222</t>
  </si>
  <si>
    <t>程琪</t>
  </si>
  <si>
    <t>程茜</t>
  </si>
  <si>
    <t>6230200201903304</t>
  </si>
  <si>
    <t>何芳君</t>
  </si>
  <si>
    <t>何静</t>
  </si>
  <si>
    <t>6230200202386780</t>
  </si>
  <si>
    <t>杨莉容</t>
  </si>
  <si>
    <t>杨希</t>
  </si>
  <si>
    <t>6230200202386798</t>
  </si>
  <si>
    <t>王欣</t>
  </si>
  <si>
    <t>6230200202387671</t>
  </si>
  <si>
    <t>夏丽</t>
  </si>
  <si>
    <t>邓睿</t>
  </si>
  <si>
    <t>6230200202220872</t>
  </si>
  <si>
    <t>陈俊璐</t>
  </si>
  <si>
    <t>6230200201859522</t>
  </si>
  <si>
    <t>刘红梅</t>
  </si>
  <si>
    <t>小雪</t>
  </si>
  <si>
    <t>6230200201703597</t>
  </si>
  <si>
    <t>雷丹</t>
  </si>
  <si>
    <t>6230210201505942</t>
  </si>
  <si>
    <t>陈孝琴</t>
  </si>
  <si>
    <t>陈玉</t>
  </si>
  <si>
    <t>6230200201599466</t>
  </si>
  <si>
    <t>张议娇</t>
  </si>
  <si>
    <t>阿娇</t>
  </si>
  <si>
    <t>6230200202279084</t>
  </si>
  <si>
    <t>任程琳</t>
  </si>
  <si>
    <t>子兮</t>
  </si>
  <si>
    <t>6217853100021962543</t>
  </si>
  <si>
    <t>侯亚亚</t>
  </si>
  <si>
    <t>丫丫</t>
  </si>
  <si>
    <t>6230200201652190</t>
  </si>
  <si>
    <t>王炼</t>
  </si>
  <si>
    <t>曦曦</t>
  </si>
  <si>
    <t>6230210201738576</t>
  </si>
  <si>
    <t>王玉珍</t>
  </si>
  <si>
    <t>王天珍</t>
  </si>
  <si>
    <t>6230210202347542</t>
  </si>
  <si>
    <t>向宇</t>
  </si>
  <si>
    <t>夏宇</t>
  </si>
  <si>
    <t>6230210201681677</t>
  </si>
  <si>
    <t>蒋瑶</t>
  </si>
  <si>
    <t>瑶瑶</t>
  </si>
  <si>
    <t>6230210202145920</t>
  </si>
  <si>
    <t>唐甜</t>
  </si>
  <si>
    <t>小甜</t>
  </si>
  <si>
    <t>6230200202256579</t>
  </si>
  <si>
    <t>陈丽娟</t>
  </si>
  <si>
    <t>陈晨</t>
  </si>
  <si>
    <t>6230200201682825</t>
  </si>
  <si>
    <t>杨涵</t>
  </si>
  <si>
    <t>韩冰</t>
  </si>
  <si>
    <t>6230200202220963</t>
  </si>
  <si>
    <t>毛明英</t>
  </si>
  <si>
    <t>果果</t>
  </si>
  <si>
    <t>6230210202090639</t>
  </si>
  <si>
    <t>向以兰</t>
  </si>
  <si>
    <t>文文</t>
  </si>
  <si>
    <t>6230200201725129</t>
  </si>
  <si>
    <t>兰华</t>
  </si>
  <si>
    <t>兰倩</t>
  </si>
  <si>
    <t>6230210201738337</t>
  </si>
  <si>
    <t>李珍</t>
  </si>
  <si>
    <t>周末</t>
  </si>
  <si>
    <t>6230200201938656</t>
  </si>
  <si>
    <t>董丹</t>
  </si>
  <si>
    <t>李茉</t>
  </si>
  <si>
    <t>朱艳</t>
  </si>
  <si>
    <t>四月</t>
  </si>
  <si>
    <t>6230200201880395</t>
  </si>
  <si>
    <t>叶姗姗</t>
  </si>
  <si>
    <t>方糖</t>
  </si>
  <si>
    <t>6230200201938060</t>
  </si>
  <si>
    <t>谯红梅</t>
  </si>
  <si>
    <t>小谯</t>
  </si>
  <si>
    <t>6230200201965782</t>
  </si>
  <si>
    <t>何欢</t>
  </si>
  <si>
    <t>何小小</t>
  </si>
  <si>
    <t>6230200201727190</t>
  </si>
  <si>
    <t>吴苡榕</t>
  </si>
  <si>
    <t>安琪</t>
  </si>
  <si>
    <t>6230210202107813</t>
  </si>
  <si>
    <t>罗雯</t>
  </si>
  <si>
    <t>林初</t>
  </si>
  <si>
    <t>6230200200093537</t>
  </si>
  <si>
    <t>姜悦</t>
  </si>
  <si>
    <t>越越</t>
  </si>
  <si>
    <t>6228450468096647776</t>
  </si>
  <si>
    <t>曾珊议</t>
  </si>
  <si>
    <t>珊珊</t>
  </si>
  <si>
    <t>6230200202218900</t>
  </si>
  <si>
    <t>潘秋月</t>
  </si>
  <si>
    <t>6230200201883829</t>
  </si>
  <si>
    <t>任娜</t>
  </si>
  <si>
    <t>钟艾</t>
  </si>
  <si>
    <t>6230210201680299</t>
  </si>
  <si>
    <t>万怡</t>
  </si>
  <si>
    <t>万一</t>
  </si>
  <si>
    <t>6230200201899601</t>
  </si>
  <si>
    <t>向丽君</t>
  </si>
  <si>
    <t>林希</t>
  </si>
  <si>
    <t>6230200201978215</t>
  </si>
  <si>
    <t>王珏</t>
  </si>
  <si>
    <t>张甜甜</t>
  </si>
  <si>
    <t>6217853100024846859</t>
  </si>
  <si>
    <t>周晓完</t>
  </si>
  <si>
    <t>依依</t>
  </si>
  <si>
    <t>6230210201702465</t>
  </si>
  <si>
    <t>杨娜</t>
  </si>
  <si>
    <t>佳儿</t>
  </si>
  <si>
    <t>6230200201995698</t>
  </si>
  <si>
    <t>张恬</t>
  </si>
  <si>
    <t>贝贝</t>
  </si>
  <si>
    <t>6217853100000631259</t>
  </si>
  <si>
    <t>吴倩倩</t>
  </si>
  <si>
    <t>吴菲</t>
  </si>
  <si>
    <t>6230200201883837</t>
  </si>
  <si>
    <t>刘春燕</t>
  </si>
  <si>
    <t>6230200201841488</t>
  </si>
  <si>
    <t>彭佳俪</t>
  </si>
  <si>
    <t>李艾</t>
  </si>
  <si>
    <t>6230200201769432</t>
  </si>
  <si>
    <t>唐九儿</t>
  </si>
  <si>
    <t>李青萝</t>
  </si>
  <si>
    <t>肖桥</t>
  </si>
  <si>
    <t>6230200201726952</t>
  </si>
  <si>
    <t>李凤</t>
  </si>
  <si>
    <t>蹦蹦</t>
  </si>
  <si>
    <t>6230200201694630</t>
  </si>
  <si>
    <t>阮霞</t>
  </si>
  <si>
    <t>阮子倩</t>
  </si>
  <si>
    <t>6230200201604605</t>
  </si>
  <si>
    <t>易尧</t>
  </si>
  <si>
    <t>易遥</t>
  </si>
  <si>
    <t>6230200201647752</t>
  </si>
  <si>
    <t>胡君洁</t>
  </si>
  <si>
    <t>胡可欣</t>
  </si>
  <si>
    <t>6230200201860470</t>
  </si>
  <si>
    <t>王倩</t>
  </si>
  <si>
    <t>622908436533663712</t>
  </si>
  <si>
    <t>宋徳英</t>
  </si>
  <si>
    <t>宋曼琪</t>
  </si>
  <si>
    <t>张倩</t>
  </si>
  <si>
    <t>6230200201727026</t>
  </si>
  <si>
    <t>唐谦</t>
  </si>
  <si>
    <t>谦谦</t>
  </si>
  <si>
    <t>6230200201738825</t>
  </si>
  <si>
    <t>古倩</t>
  </si>
  <si>
    <t>顾佳倩</t>
  </si>
  <si>
    <t>6230200201727240</t>
  </si>
  <si>
    <t>冯才巧</t>
  </si>
  <si>
    <t>韩小乔</t>
  </si>
  <si>
    <t>6230200201738114</t>
  </si>
  <si>
    <t>梅丹</t>
  </si>
  <si>
    <t>夏汐</t>
  </si>
  <si>
    <t>6230200201935066</t>
  </si>
  <si>
    <t>张燕</t>
  </si>
  <si>
    <t>6230200201883712</t>
  </si>
  <si>
    <t>苏晓月</t>
  </si>
  <si>
    <t>6230200201788598</t>
  </si>
  <si>
    <t>总业绩：1160925  房间数:107  均消：10850</t>
  </si>
  <si>
    <t xml:space="preserve">  一、业绩任务1.5万，零提25%，未完成部分按25%扣罚。
  二、DJ个人业绩完成3万(含)以上，提成按30%计算(注:开台及小吃按25%计提成)。
  三、DJ 个人业绩完成达6万(含)以上，原奖励2000元调整为奖励2500元；完成业绩达8万(含)以上，给予额外奖励4000 元。
  四、上半月新入职DJ当月无业绩任务扣罚，下半月新入职DJ次月无业绩任务扣罚</t>
  </si>
  <si>
    <t>2024.2.25开始介绍引进新DJ入职，给予介绍人1500 元/人奖金奖励要求新入职DJ工作满一个月且完成个人15000元业绩任务或形象气质优秀)</t>
  </si>
  <si>
    <t>管理费：</t>
  </si>
  <si>
    <r>
      <rPr>
        <sz val="9"/>
        <color rgb="FF0000FF"/>
        <rFont val="黑体"/>
        <charset val="134"/>
      </rPr>
      <t>一、未完成当月个人任务(15000元)的DJ当月管理费按上房天数x100元收取。</t>
    </r>
  </si>
  <si>
    <r>
      <rPr>
        <sz val="9"/>
        <color rgb="FF0000FF"/>
        <rFont val="黑体"/>
        <charset val="134"/>
      </rPr>
      <t>    二、杯损 200 元/人/月。</t>
    </r>
  </si>
  <si>
    <r>
      <rPr>
        <sz val="9"/>
        <color rgb="FF0000FF"/>
        <rFont val="Arial"/>
        <charset val="0"/>
      </rPr>
      <t>   </t>
    </r>
    <r>
      <rPr>
        <sz val="9"/>
        <color rgb="FF0000FF"/>
        <rFont val="黑体"/>
        <charset val="134"/>
      </rPr>
      <t xml:space="preserve"> 2024年3月1日起执行</t>
    </r>
  </si>
  <si>
    <t>维也纳2024年04月商务部业绩报表</t>
  </si>
  <si>
    <t>姓名</t>
  </si>
  <si>
    <t>组名</t>
  </si>
  <si>
    <t>入场时间</t>
  </si>
  <si>
    <t>当期合同（单位：万元）</t>
  </si>
  <si>
    <t>月业绩明细</t>
  </si>
  <si>
    <t>4月总合计</t>
  </si>
  <si>
    <t>4月总业绩</t>
  </si>
  <si>
    <t>维也纳部分</t>
  </si>
  <si>
    <t>明悦部分</t>
  </si>
  <si>
    <t>实发金额合计</t>
  </si>
  <si>
    <t>卡号</t>
  </si>
  <si>
    <t>签名</t>
  </si>
  <si>
    <t>合同时间</t>
  </si>
  <si>
    <t>场 费（万元）</t>
  </si>
  <si>
    <t>第一次</t>
  </si>
  <si>
    <t>第二次</t>
  </si>
  <si>
    <t>合同业绩（万元）</t>
  </si>
  <si>
    <t>已完成业绩（万元）</t>
  </si>
  <si>
    <t>合同明细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</si>
  <si>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</si>
  <si>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</si>
  <si>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</si>
  <si>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</si>
  <si>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</si>
  <si>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</si>
  <si>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</si>
  <si>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</si>
  <si>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</si>
  <si>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</si>
  <si>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</si>
  <si>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</si>
  <si>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提成比例</t>
  </si>
  <si>
    <t>提成金额</t>
  </si>
  <si>
    <t>火腿业绩</t>
  </si>
  <si>
    <t>会员卡账单金额</t>
  </si>
  <si>
    <t>会员卡折扣金额</t>
  </si>
  <si>
    <t>红酒啤酒业绩</t>
  </si>
  <si>
    <t>洋酒业绩</t>
  </si>
  <si>
    <t>小吃罚款</t>
  </si>
  <si>
    <t>小计</t>
  </si>
  <si>
    <t>明悦业绩</t>
  </si>
  <si>
    <t>李道华</t>
  </si>
  <si>
    <t>K组</t>
  </si>
  <si>
    <t>老组</t>
  </si>
  <si>
    <t>2021.08.01-2022.07.31</t>
  </si>
  <si>
    <t>25%提，场费3%，完成600万奖励2%；业绩合同600万，场费18万,2022.4.1开始红酒啤酒奖励5%</t>
  </si>
  <si>
    <t>25%提，场费3%，完成600万奖励2%；业绩合同600万，场费18万</t>
  </si>
  <si>
    <t>6230200201645764</t>
  </si>
  <si>
    <t>2023.11.01-2024.10.31</t>
  </si>
  <si>
    <r>
      <rPr>
        <sz val="10"/>
        <rFont val="宋体"/>
        <charset val="134"/>
      </rPr>
      <t>25%提，红酒啤酒30%提成，合同业绩480万，场费24万（完成50%支付剩余12万），完成合同额外奖励1.5%</t>
    </r>
    <r>
      <rPr>
        <sz val="10"/>
        <color rgb="FFFF0000"/>
        <rFont val="宋体"/>
        <charset val="134"/>
      </rPr>
      <t>（2024.3开始达30万以上，洋酒奖励3%--6000以上洋酒不计奖励）</t>
    </r>
  </si>
  <si>
    <t>6215584402005133996</t>
  </si>
  <si>
    <t>金莲花</t>
  </si>
  <si>
    <r>
      <rPr>
        <sz val="12"/>
        <rFont val="Tahoma"/>
        <charset val="134"/>
      </rPr>
      <t>G1</t>
    </r>
    <r>
      <rPr>
        <sz val="12"/>
        <rFont val="宋体"/>
        <charset val="134"/>
      </rPr>
      <t>简颖</t>
    </r>
  </si>
  <si>
    <t>2022.03.01-2023.02.28</t>
  </si>
  <si>
    <t>23%提，场费5%；业绩合同300万，场费15万；啤酒、红酒奖励5%</t>
  </si>
  <si>
    <t>23%提，场费5%；业绩合同500万，场费25万</t>
  </si>
  <si>
    <t>6230210200110686</t>
  </si>
  <si>
    <r>
      <rPr>
        <sz val="10"/>
        <rFont val="Tahoma"/>
        <charset val="134"/>
      </rPr>
      <t>2024.3</t>
    </r>
    <r>
      <rPr>
        <sz val="10"/>
        <rFont val="宋体"/>
        <charset val="134"/>
      </rPr>
      <t>取消原业绩合同</t>
    </r>
  </si>
  <si>
    <t>25%提，场费5%；业绩合同300万，场费15万；啤酒、红酒奖励5%
2024.03开始取消后续场费支付，通提25%，啤酒、红酒按30%总业绩额外奖励5%
每月完成15万以上洋酒奖励5%（6000以上洋酒不计奖励）</t>
  </si>
  <si>
    <t>张跃</t>
  </si>
  <si>
    <t>阳阳组</t>
  </si>
  <si>
    <t>2023.03.01-2024.02.29</t>
  </si>
  <si>
    <t>30万以下25%，30万以上30%提，场费5%；业绩合同900万，场费63万，完成业绩合同红酒啤酒奖励2%（已付33万）</t>
  </si>
  <si>
    <t>30万以下23%，30万以上30%提，场费5%，800万奖励1%；业绩合同800万，场费40万</t>
  </si>
  <si>
    <t>6230200201646457</t>
  </si>
  <si>
    <t>30万以下25%，30万以上30%提，场费5%；业绩合同900万，场费72万，</t>
  </si>
  <si>
    <t>曹姗姗</t>
  </si>
  <si>
    <t>思思组</t>
  </si>
  <si>
    <t>2021.05.01-2022.04.30</t>
  </si>
  <si>
    <r>
      <rPr>
        <sz val="10"/>
        <rFont val="宋体"/>
        <charset val="134"/>
      </rPr>
      <t>25%提，场费3%；业绩合同600万，场费18万，2021.9.1开始完成业绩奖励2%，2022.04.01开始红酒啤酒奖励5%，</t>
    </r>
    <r>
      <rPr>
        <sz val="10"/>
        <color rgb="FFFF0000"/>
        <rFont val="宋体"/>
        <charset val="134"/>
      </rPr>
      <t>2.8万业绩从新合同扣除</t>
    </r>
  </si>
  <si>
    <t>25%提，场费3%；业绩合同600万，场费18万</t>
  </si>
  <si>
    <t>6230200201646606</t>
  </si>
  <si>
    <t>2023.10.01-2024.09.30</t>
  </si>
  <si>
    <r>
      <rPr>
        <sz val="10"/>
        <rFont val="宋体"/>
        <charset val="134"/>
      </rPr>
      <t>25%提，业绩合同400万，场费20万，红酒啤酒奖励5%，完成合同业绩奖励1%（本期合同扣2.8万抵上期合同）</t>
    </r>
    <r>
      <rPr>
        <sz val="10"/>
        <color rgb="FFFF0000"/>
        <rFont val="宋体"/>
        <charset val="134"/>
      </rPr>
      <t>（2024.3开始达27万以上，洋酒奖励4%--6000以上洋酒不计奖励）</t>
    </r>
  </si>
  <si>
    <t>乔洋组</t>
  </si>
  <si>
    <t>2022.02.01-2023.01.31</t>
  </si>
  <si>
    <t>25%提，场费5%，业绩合同300万，场费15万；红酒，啤酒额外奖励5%，</t>
  </si>
  <si>
    <t>23%提，场费5%，完成合同业绩300万奖励1%，400万奖励2%；业绩合同300万，场费15万</t>
  </si>
  <si>
    <t>6230200201759490</t>
  </si>
  <si>
    <r>
      <rPr>
        <sz val="10"/>
        <rFont val="宋体"/>
        <charset val="134"/>
      </rPr>
      <t>2023.8-2024.7，25%提，场费5%，业绩合同300万，场费15万；红酒，啤酒额外奖励5%，</t>
    </r>
    <r>
      <rPr>
        <sz val="10"/>
        <color rgb="FFFF0000"/>
        <rFont val="宋体"/>
        <charset val="134"/>
      </rPr>
      <t>（2024.3开始达20万以上，洋酒奖励5%--6000以上洋酒不计奖励）</t>
    </r>
  </si>
  <si>
    <t>任峰</t>
  </si>
  <si>
    <t>任小小</t>
  </si>
  <si>
    <t>25%提，场费5%，业绩合同600万，场费30万,3月起红酒、啤酒奖励5%</t>
  </si>
  <si>
    <t>23%提，场费5%，完成合同业绩400万奖励1%，500万奖励2%；业绩合同400万，场费20万</t>
  </si>
  <si>
    <t>6230200201704207</t>
  </si>
  <si>
    <t>李妍</t>
  </si>
  <si>
    <t>李林组</t>
  </si>
  <si>
    <t>2023.02.01-2024.01.31</t>
  </si>
  <si>
    <t>27%提，场费5%，业绩合同720万，场费36万；完成合同业绩720万，奖励7.2万（2024.3-2024.4月业绩达50万，奖励1万。2024.4终止本期合同</t>
  </si>
  <si>
    <t>25%提，场费5%；业绩合同600万，场费30万</t>
  </si>
  <si>
    <t>6230200201759482</t>
  </si>
  <si>
    <t>2024.04.01-2025.03.31</t>
  </si>
  <si>
    <t>30%提，场费5%，业绩合同360万，场费18万；完成合同业绩360万奖励红酒啤酒业绩3%</t>
  </si>
  <si>
    <t>王学潮</t>
  </si>
  <si>
    <t>王亿组</t>
  </si>
  <si>
    <t>2022.08.01-2023.07.31</t>
  </si>
  <si>
    <t>25%提，场费3%，业绩合同300万，场费15万；完成业绩合同红酒啤酒奖励5%</t>
  </si>
  <si>
    <t>22%提，场费5%，维也纳和波士顿达到480万，奖励3%；业绩合同480万，场费24万</t>
  </si>
  <si>
    <t>6230200201728438</t>
  </si>
  <si>
    <r>
      <rPr>
        <sz val="10"/>
        <rFont val="宋体"/>
        <charset val="134"/>
      </rPr>
      <t>25%提，红酒啤酒30%提；场费5%，业绩合同300万，场费15万；完成业绩500万奖励2%</t>
    </r>
    <r>
      <rPr>
        <sz val="10"/>
        <color rgb="FFFF0000"/>
        <rFont val="宋体"/>
        <charset val="134"/>
      </rPr>
      <t>（2024.3开始达25万以上，洋酒业绩奖励5%--6000以上洋酒不计奖励）</t>
    </r>
  </si>
  <si>
    <t>张曦梨</t>
  </si>
  <si>
    <t>琳琳组</t>
  </si>
  <si>
    <t>2021.08.01-2022.7.31</t>
  </si>
  <si>
    <r>
      <rPr>
        <sz val="10"/>
        <rFont val="宋体"/>
        <charset val="134"/>
      </rPr>
      <t>25%提，场费4%；业绩合同500万，场费20万；完成业绩合同，奖励1%，2022.04.01开始红酒啤酒奖励5%，2023.10终止本合同，重签合同，退款</t>
    </r>
    <r>
      <rPr>
        <sz val="10"/>
        <color rgb="FFFF0000"/>
        <rFont val="宋体"/>
        <charset val="134"/>
      </rPr>
      <t>25519</t>
    </r>
  </si>
  <si>
    <t>25%提，合同期内完成500万，奖励1%，场费4%；业绩合同500万，场费20万</t>
  </si>
  <si>
    <t>6230200201693665</t>
  </si>
  <si>
    <r>
      <rPr>
        <sz val="10"/>
        <rFont val="宋体"/>
        <charset val="134"/>
      </rPr>
      <t>25%提，业绩合同480万，场费24万；25%提成，红酒啤酒30%</t>
    </r>
    <r>
      <rPr>
        <sz val="10"/>
        <color rgb="FFFF0000"/>
        <rFont val="宋体"/>
        <charset val="134"/>
      </rPr>
      <t>（2024.3开始达30万以上，洋酒奖励5%--6000以上洋酒不计奖励）</t>
    </r>
  </si>
  <si>
    <t>天天组</t>
  </si>
  <si>
    <t>25%提，场费5%，业绩合同600万，场费30万；完成合同业绩奖励1%，场费5%，红酒、啤酒奖励2%</t>
  </si>
  <si>
    <t>22%提，完成合同业绩600万奖励3%，场费5%；业绩合同600万，场费30万</t>
  </si>
  <si>
    <t>向兰</t>
  </si>
  <si>
    <t>2023.06.01-2024.05.31</t>
  </si>
  <si>
    <t>25%提，红酒啤酒30%提；场费5%，业绩合同720万，场费36万；完成合同业绩奖励1.5%，</t>
  </si>
  <si>
    <t>6228480469675109877</t>
  </si>
  <si>
    <t>陈桔</t>
  </si>
  <si>
    <t>天，陈桔</t>
  </si>
  <si>
    <t>2019.12.01-2020.11.30</t>
  </si>
  <si>
    <t>20%提，场费5%；业绩合同200万，场费10万；完成合同业绩200万奖励1%，（应退场费8767，已完成业绩奖励18246抵扣场费）</t>
  </si>
  <si>
    <t>20%提，完成合同业绩200万奖励1%，场费5%；业绩合同300万，场费10万</t>
  </si>
  <si>
    <t>6230200200261621</t>
  </si>
  <si>
    <t>唐明东</t>
  </si>
  <si>
    <t>唐西组</t>
  </si>
  <si>
    <t>2022.07.01-2023.06.30</t>
  </si>
  <si>
    <r>
      <rPr>
        <sz val="10"/>
        <rFont val="宋体"/>
        <charset val="134"/>
      </rPr>
      <t>25%提，场费5%；业绩合同800万，场费40万；完成合同业绩800万奖励红酒、啤酒业绩5%，</t>
    </r>
    <r>
      <rPr>
        <sz val="10"/>
        <color rgb="FFFF0000"/>
        <rFont val="宋体"/>
        <charset val="134"/>
      </rPr>
      <t>2023.10.21已退款51258</t>
    </r>
  </si>
  <si>
    <t>25%提，完成合同业绩800万奖励2%，场费3%；业绩合同800万，场费24万</t>
  </si>
  <si>
    <t>6230200201759409</t>
  </si>
  <si>
    <t>鲜美</t>
  </si>
  <si>
    <t>鲜美组</t>
  </si>
  <si>
    <t>2019.03.01-2020.02.29</t>
  </si>
  <si>
    <t>20%提，场费5%；业绩合同200万，场费10万（已付5万）</t>
  </si>
  <si>
    <t>6230200201704744</t>
  </si>
  <si>
    <t>李琼芳</t>
  </si>
  <si>
    <t>李姐</t>
  </si>
  <si>
    <t>零提25%（红酒啤酒30%），未签合同额外奖励5%，3月起，每月完成10万以上额外奖励所完成洋酒业绩5%提成（单瓶6000+洋酒不计奖励）</t>
  </si>
  <si>
    <t>25%提，达到10万奖励3%，达到18万奖励5%</t>
  </si>
  <si>
    <t>6230200201725608</t>
  </si>
  <si>
    <t>高敏</t>
  </si>
  <si>
    <t>高丹组</t>
  </si>
  <si>
    <t>25%提，红酒、啤酒额外5%，10万以上奖励5%</t>
  </si>
  <si>
    <t>25%通提，完成合同业绩300万奖励2%；业绩合同300万，场费9万</t>
  </si>
  <si>
    <t>6230200201418931</t>
  </si>
  <si>
    <t>L1组</t>
  </si>
  <si>
    <t>2022.06.01-2023.05.31</t>
  </si>
  <si>
    <t>25%提，场费5%；合同业绩500万，场费25万；啤酒、红酒奖励5%</t>
  </si>
  <si>
    <t>25%+5%</t>
  </si>
  <si>
    <r>
      <rPr>
        <sz val="10"/>
        <rFont val="宋体"/>
        <charset val="134"/>
      </rPr>
      <t>2023.9-2024.825%提，场费5%；合同业绩600万，场费30万；啤酒、红酒奖励5%，完成业绩任务奖励3万</t>
    </r>
    <r>
      <rPr>
        <sz val="10"/>
        <color rgb="FFFF0000"/>
        <rFont val="宋体"/>
        <charset val="134"/>
      </rPr>
      <t>（2024.3开始达50万以上，洋酒奖励4%--6000以上洋酒不计奖励）</t>
    </r>
  </si>
  <si>
    <t>L2组</t>
  </si>
  <si>
    <t>2024.03.01-2025.02.28</t>
  </si>
  <si>
    <r>
      <rPr>
        <sz val="10"/>
        <rFont val="宋体"/>
        <charset val="134"/>
      </rPr>
      <t>25%通提，啤酒，红酒部分业绩按30%提成,3、本组每月完成业绩达25万，公司额外给予洋酒部分业绩的5%提成奖励</t>
    </r>
    <r>
      <rPr>
        <sz val="10"/>
        <color rgb="FFFF0000"/>
        <rFont val="宋体"/>
        <charset val="134"/>
      </rPr>
      <t>(单瓶6000以上洋酒不计奖励)</t>
    </r>
  </si>
  <si>
    <r>
      <rPr>
        <sz val="10"/>
        <color rgb="FFFF0000"/>
        <rFont val="宋体"/>
        <charset val="134"/>
      </rPr>
      <t>退4.4971万</t>
    </r>
    <r>
      <rPr>
        <sz val="10"/>
        <rFont val="宋体"/>
        <charset val="134"/>
      </rPr>
      <t>25%提，场费5%；业绩合同300万，场费15万；（2023.03与潘潘合组，重签业绩合同360万，场费18万，25%提，红酒啤酒奖励5%）</t>
    </r>
  </si>
  <si>
    <t>L2潘潘</t>
  </si>
  <si>
    <r>
      <rPr>
        <sz val="10"/>
        <color rgb="FFFF0000"/>
        <rFont val="宋体"/>
        <charset val="134"/>
      </rPr>
      <t>退1.3778万</t>
    </r>
    <r>
      <rPr>
        <sz val="10"/>
        <rFont val="宋体"/>
        <charset val="134"/>
      </rPr>
      <t>25%提，场费5%；业绩合同160万，场费8万；完成业绩合同奖励2%，红酒啤奖励5%（2023.03与L2合组，重签合同）</t>
    </r>
  </si>
  <si>
    <t>25%提，完成业绩合同奖励2%，业绩合同200万，场费6万，已支付3万</t>
  </si>
  <si>
    <t>何小丽</t>
  </si>
  <si>
    <t>Q组何丽</t>
  </si>
  <si>
    <t>2022.06.11-2023.06.10</t>
  </si>
  <si>
    <t>25%提，场费5%；合同业绩400万，场费20万；红酒、啤酒奖励5%（2024.1开始与提成一起发放）；</t>
  </si>
  <si>
    <t>6222034402012455327</t>
  </si>
  <si>
    <t>朱才艳</t>
  </si>
  <si>
    <t>L3韩小燕</t>
  </si>
  <si>
    <t>2024.02.1-2025.01.31</t>
  </si>
  <si>
    <t xml:space="preserve"> 1、25%通提,啤酒、红酒30%提成(注:每月完成50万(含)以上业绩，公司额外给予洋酒部分业绩3%提成奖励)
 2、支付本组每月业绩的 2%提成给予李道华。</t>
  </si>
  <si>
    <t>6230200202425943</t>
  </si>
  <si>
    <t>李建琴</t>
  </si>
  <si>
    <t>25%+5%通提红酒、啤酒30%+5%提成</t>
  </si>
  <si>
    <t>6230210202719351</t>
  </si>
  <si>
    <t>陈卓组</t>
  </si>
  <si>
    <r>
      <rPr>
        <sz val="10"/>
        <rFont val="宋体"/>
        <charset val="134"/>
      </rPr>
      <t>25%提，红酒、啤酒30%提，场费5%；合同业绩240万，场费12万；</t>
    </r>
    <r>
      <rPr>
        <sz val="10"/>
        <color rgb="FFFF0000"/>
        <rFont val="宋体"/>
        <charset val="134"/>
      </rPr>
      <t>（2024.3开始达25万以上，洋酒奖励5%--6000以上洋酒不计奖励）</t>
    </r>
  </si>
  <si>
    <t>李帅</t>
  </si>
  <si>
    <t>C1-李帅</t>
  </si>
  <si>
    <t>2024.02-2025.01</t>
  </si>
  <si>
    <t>业绩分配:自协议签订日期生效起，乙方承诺在有效期内完成甲方指定的年销售1200000元业绩任务指标:壹佰贰拾万元。
2.甲方共计支付乙方入场费用6万元整(大写:陆万元整)。合同签订后甲方先支付乙方入场奖励30000元整。大写:叁万元整。待该组上班完成百分之50业绩后再支付另外入场奖励，大写:叁万元整。
3.提成标准:该组每月业绩按 30%提成计算。(开台与厨房小吃按25%提成）。
4.公司如有活动及另外提成奖励则额外核算。
注:
1、承组人:李帅
2、如因大环境和疫情等原因无法正常经营情况下，则视其情况顺延。
3.本组业绩计入C组绩效奖励。</t>
  </si>
  <si>
    <t>6214830165031419</t>
  </si>
  <si>
    <t>招商银行，转郑红红</t>
  </si>
  <si>
    <t>郑红红</t>
  </si>
  <si>
    <t>C-KK</t>
  </si>
  <si>
    <t>1.业绩分配:自协议签订日期生效起，乙方承诺在有效期内完成甲方指定的年销售2400000元业绩任务指标：大写贰佰肆拾万元整。
2.甲方共计支付乙方入场费用12万元整(大写: 壹拾贰万元整)。合同签订后甲方先支付乙方入场奖励60000元整，大写:陆万元整。待该组上班完成百分之50业绩后再支付另外入场奖励，大写:陆万元整。
3.提成标准:该组每月业绩按30%提成计算（开台与厨房小吃按25%提成执行）。
4.该组所介绍到公司上班的其他商务组及本组业绩达到每月20万以上给予5000元奖励;达到30万以上给予8000元奖励:(未达20万基本标准则无奖励)。
5、公司如有活动及另外提成奖励则额外核算。
注:
1、承组人:KK(郑红红)
2、如因大环境和疫情等原因无法正常经营情况下，则视其情况顺延。</t>
  </si>
  <si>
    <t>6214832813496606</t>
  </si>
  <si>
    <t>招商银行</t>
  </si>
  <si>
    <t>张兰</t>
  </si>
  <si>
    <t>C-兰兰</t>
  </si>
  <si>
    <t>2024.04-2025.03</t>
  </si>
  <si>
    <t>1.业绩分配:兰兰承诺在有效期内完成公司指定的年销售1200000元业绩任务指标:壹佰贰拾万元整。2.提成标准:该组每月业绩按30%提成计算。(开台和厨房小吃按25%提成执行)
3.公司如有活动及另外提成奖励则额外核算。
4.该组业绩计入KK(郑红红)合同绩效。
5、该文件从2024年4月1日起执行。</t>
  </si>
  <si>
    <t>6217003810043497091</t>
  </si>
  <si>
    <t>张华珍</t>
  </si>
  <si>
    <t>G6张娅</t>
  </si>
  <si>
    <t>1、30%提成计算(开台和厨房小吃按25%提成执行)；
2、额外按5%奖励。
3、该组每月业绩达20万以上再给予2%奖励;每月达到30万以上给予2.5%奖励:每月达到40万以上给予3%奖励(未达到20万业绩标准则无奖励)
4、公司如有活动及另外提成奖励则额外核算。</t>
  </si>
  <si>
    <t>6214993802525605</t>
  </si>
  <si>
    <t>郭飞</t>
  </si>
  <si>
    <t>G3欧阳</t>
  </si>
  <si>
    <t>2024.03-2025.02</t>
  </si>
  <si>
    <t>暂未付</t>
  </si>
  <si>
    <t>1、120万元业绩任务
2、入场费用6万元整(大写:陆万元整)。合同签订后甲方先支付乙方入场奖励30000元整。大写:叁万元整。完成50%业绩后再支付剩余3万。
3.提成标准:该组每月业绩按30%提成计算(开台和房小吃按25%提成)。
4、公司如有活动及另外提成奖励则额外核算。</t>
  </si>
  <si>
    <t>6217850500023087749</t>
  </si>
  <si>
    <t>周雪梅</t>
  </si>
  <si>
    <t>W1组</t>
  </si>
  <si>
    <t>2024-3-1至2025-2-28完成360万业绩任务合同，
1、公司支付18万场费，合同签订日支付9万元，完成总业绩任务50%(180万元)支付剩余的9万元；
2、本组提成按每月完成业绩的25%通提，红酒、啤酒部分业绩按30%提成；
3、月业绩完成达20万元奖励1万元，达50万元以上奖励2万元</t>
  </si>
  <si>
    <t>620522353791337634</t>
  </si>
  <si>
    <t>上海银行</t>
  </si>
  <si>
    <t>杨红</t>
  </si>
  <si>
    <t>W1组-杨红</t>
  </si>
  <si>
    <t xml:space="preserve"> 签订一年 2024-4-11至 2025-4-10(12 个月)完成 360万业绩任务合同，依据合同约定，公司给予“W6”组以下待遇:1，公司支付 18 万场费，合同签订目支付9万元，完成总业绩任务50%(180万元)支付剩余的9万元;
2，本组提成按每月完成业绩的30%通提(开台，厨房小吃业绩按25%提成，单价10000元以上洋酒提成按20%执行)
3、本组正常享受公司额外提成奖励政策。
注:1、“W6”组成组人:杨红 510921199202020678
</t>
  </si>
  <si>
    <t>62305830000008094676</t>
  </si>
  <si>
    <t>平安银行</t>
  </si>
  <si>
    <t>罗献洪</t>
  </si>
  <si>
    <t>W2组</t>
  </si>
  <si>
    <t xml:space="preserve">    1、本组暂不签订业绩合同不一次性支取场费，公司按每月完成业绩5%提成的方式支付;
    2、本组提成按每月完成有效业绩的30%通提;
    3、本组每月业绩完成达到50万元公司额外给子5%提成奖励，(注:4.5.6月份按实际业绩正常给予额外提成奖励，完成业绩达50万元以上则按 6%提成奖励）；
    4、本组正常享有公司各楼层包厢订房奖励政策;
    5、本组入场后前3个月(4.5.6月份)无房小吃销售任务。
注:
    1,单支10000元以上洋酒提成标准按财务制度执行，不计额外提成奖励
    2,“W”组成组人:W1冉冉  W2思思  W3于倩  W4陈登平
 2024.4与原E组合组，更名为W2组
</t>
  </si>
  <si>
    <t>6212264402040998761</t>
  </si>
  <si>
    <t>工商银行，扣38226不发</t>
  </si>
  <si>
    <t>曾建伟</t>
  </si>
  <si>
    <t>622908436194016911</t>
  </si>
  <si>
    <t>袁嘉明</t>
  </si>
  <si>
    <t>622908436383354412</t>
  </si>
  <si>
    <t>杜小东</t>
  </si>
  <si>
    <t>622908436194031712</t>
  </si>
  <si>
    <t>李杰</t>
  </si>
  <si>
    <t>622908436478752215</t>
  </si>
  <si>
    <t>彭标</t>
  </si>
  <si>
    <t>622908436202320610</t>
  </si>
  <si>
    <t>唐勇军</t>
  </si>
  <si>
    <t>622908436234932218</t>
  </si>
  <si>
    <t>外联</t>
  </si>
  <si>
    <t>总业绩5832258</t>
  </si>
  <si>
    <t>均消</t>
  </si>
  <si>
    <r>
      <rPr>
        <sz val="9"/>
        <color rgb="FF0000FF"/>
        <rFont val="黑体"/>
        <charset val="134"/>
      </rPr>
      <t>一、48 楼酒水服务费由原10%调整为15%，包厢最低折扣全单9.5折，不提供发票给予订房人 400 元/间奖金奖励，取消原48楼消费额外奖励方案。</t>
    </r>
  </si>
  <si>
    <r>
      <rPr>
        <sz val="9"/>
        <color rgb="FF0000FF"/>
        <rFont val="黑体"/>
        <charset val="134"/>
      </rPr>
      <t>    二、3、4 楼酒水服务费由原10%调整为15%,包厢最低折扣全单 9.5折，9.5折买单不提供发票额外奖励订房人5%提成，全单买单不提供发票额外奖励订房人10%提成，取消原3、4楼消费额外奖励方案。</t>
    </r>
  </si>
  <si>
    <r>
      <rPr>
        <sz val="9"/>
        <color rgb="FF0000FF"/>
        <rFont val="黑体"/>
        <charset val="134"/>
      </rPr>
      <t>    注:包厢开台、特饮、香烟、赔偿、开瓶费、销售价6000元以上的“高端洋酒香槟红酒”均不在额外提成奖励之内。</t>
    </r>
  </si>
  <si>
    <t>C组，48楼全单买单奖励酒水5%</t>
  </si>
  <si>
    <r>
      <rPr>
        <sz val="22"/>
        <rFont val="宋体"/>
        <charset val="134"/>
      </rPr>
      <t>维也纳商务部</t>
    </r>
    <r>
      <rPr>
        <sz val="22"/>
        <rFont val="Tahoma"/>
        <charset val="134"/>
      </rPr>
      <t>2024</t>
    </r>
    <r>
      <rPr>
        <sz val="22"/>
        <rFont val="宋体"/>
        <charset val="134"/>
      </rPr>
      <t>年04月预提分红</t>
    </r>
  </si>
  <si>
    <t>分红标准</t>
  </si>
  <si>
    <t>分红比例</t>
  </si>
  <si>
    <t>完成合同业绩720万奖励1.5%</t>
  </si>
  <si>
    <t>2024.4借支10万</t>
  </si>
  <si>
    <t>2023.10.1-2024.09.0完成业绩合同400万，奖励1%</t>
  </si>
  <si>
    <t>2023.09.01-2024.08.31完成业绩合同600万，奖励0.5%</t>
  </si>
  <si>
    <t>2023.11.01-2024.10.31完成500万，奖励2%</t>
  </si>
  <si>
    <t>完成业绩任务480万公司额外给予1.5%提成奖金奖励</t>
  </si>
  <si>
    <r>
      <rPr>
        <sz val="22"/>
        <rFont val="宋体"/>
        <charset val="134"/>
      </rPr>
      <t>维也纳商务部</t>
    </r>
    <r>
      <rPr>
        <sz val="22"/>
        <rFont val="Tahoma"/>
        <charset val="134"/>
      </rPr>
      <t>2024</t>
    </r>
    <r>
      <rPr>
        <sz val="22"/>
        <rFont val="宋体"/>
        <charset val="134"/>
      </rPr>
      <t>年04月酒水奖励</t>
    </r>
  </si>
  <si>
    <t>组别</t>
  </si>
  <si>
    <t>订房人</t>
  </si>
  <si>
    <t>3-4楼奖励</t>
  </si>
  <si>
    <t>48楼奖励</t>
  </si>
  <si>
    <t>开户行</t>
  </si>
  <si>
    <t>补发</t>
  </si>
  <si>
    <r>
      <rPr>
        <sz val="12"/>
        <rFont val="Tahoma"/>
        <charset val="134"/>
      </rPr>
      <t>K</t>
    </r>
    <r>
      <rPr>
        <sz val="12"/>
        <rFont val="宋体"/>
        <charset val="134"/>
      </rPr>
      <t>组</t>
    </r>
  </si>
  <si>
    <t>黄丹</t>
  </si>
  <si>
    <t>丹丹</t>
  </si>
  <si>
    <t>6228460468026615776</t>
  </si>
  <si>
    <t>6194*10%=619</t>
  </si>
  <si>
    <t>孙杰敏</t>
  </si>
  <si>
    <t>孙洁</t>
  </si>
  <si>
    <t>华夏银行</t>
  </si>
  <si>
    <t>6230210200879165</t>
  </si>
  <si>
    <t>12593*10%=1259</t>
  </si>
  <si>
    <t>6222022317006495697</t>
  </si>
  <si>
    <t>文希</t>
  </si>
  <si>
    <r>
      <rPr>
        <sz val="12"/>
        <rFont val="Tahoma"/>
        <charset val="134"/>
      </rPr>
      <t>L1</t>
    </r>
    <r>
      <rPr>
        <sz val="12"/>
        <rFont val="宋体"/>
        <charset val="134"/>
      </rPr>
      <t>陈玉</t>
    </r>
  </si>
  <si>
    <t>6214993802099601</t>
  </si>
  <si>
    <t>9918*10%=992</t>
  </si>
  <si>
    <t>6216603100011296899</t>
  </si>
  <si>
    <t>11068*10%=1107</t>
  </si>
  <si>
    <r>
      <rPr>
        <sz val="12"/>
        <rFont val="Tahoma"/>
        <charset val="134"/>
      </rPr>
      <t>L2</t>
    </r>
    <r>
      <rPr>
        <sz val="12"/>
        <rFont val="宋体"/>
        <charset val="134"/>
      </rPr>
      <t>程程</t>
    </r>
  </si>
  <si>
    <t>程程</t>
  </si>
  <si>
    <t>潘虹利</t>
  </si>
  <si>
    <t>潘潘</t>
  </si>
  <si>
    <t>6222022309004222520</t>
  </si>
  <si>
    <t>19950*10%=1995</t>
  </si>
  <si>
    <t>7199*10%=720</t>
  </si>
  <si>
    <r>
      <rPr>
        <sz val="12"/>
        <rFont val="Tahoma"/>
        <charset val="134"/>
      </rPr>
      <t>L3</t>
    </r>
    <r>
      <rPr>
        <sz val="12"/>
        <rFont val="宋体"/>
        <charset val="134"/>
      </rPr>
      <t>韩小燕</t>
    </r>
  </si>
  <si>
    <t>韩小燕</t>
  </si>
  <si>
    <t>26449*10%=2645</t>
  </si>
  <si>
    <t>侯亭亭</t>
  </si>
  <si>
    <t>何文迪</t>
  </si>
  <si>
    <t>6216603100009072468</t>
  </si>
  <si>
    <t>7218*10%=722</t>
  </si>
  <si>
    <t>6228480469797199475</t>
  </si>
  <si>
    <r>
      <rPr>
        <sz val="12"/>
        <rFont val="Tahoma"/>
        <charset val="134"/>
      </rPr>
      <t>Q</t>
    </r>
    <r>
      <rPr>
        <sz val="12"/>
        <rFont val="宋体"/>
        <charset val="134"/>
      </rPr>
      <t>何丽</t>
    </r>
  </si>
  <si>
    <t>何丽</t>
  </si>
  <si>
    <t>8657*10%=866</t>
  </si>
  <si>
    <t>高丹</t>
  </si>
  <si>
    <t>胡海琳</t>
  </si>
  <si>
    <t>海琳</t>
  </si>
  <si>
    <t>6215584402019639889</t>
  </si>
  <si>
    <t>13725*10%=1373</t>
  </si>
  <si>
    <t>李林</t>
  </si>
  <si>
    <t>韩雪</t>
  </si>
  <si>
    <t>范美琼</t>
  </si>
  <si>
    <t>娇娇</t>
  </si>
  <si>
    <t>6217562700031337487</t>
  </si>
  <si>
    <t>刘娟</t>
  </si>
  <si>
    <t>刘西</t>
  </si>
  <si>
    <t>6217003810021692739</t>
  </si>
  <si>
    <t>郑闻</t>
  </si>
  <si>
    <t>郑文</t>
  </si>
  <si>
    <t>6222034402026239790</t>
  </si>
  <si>
    <t>乔洋</t>
  </si>
  <si>
    <t>陈加丽</t>
  </si>
  <si>
    <t>陈萌</t>
  </si>
  <si>
    <t>6228480463046001814</t>
  </si>
  <si>
    <t>李涵</t>
  </si>
  <si>
    <t>韩涵</t>
  </si>
  <si>
    <t>6212264402043228174</t>
  </si>
  <si>
    <t>6306*10%=631</t>
  </si>
  <si>
    <t>雷玲玲</t>
  </si>
  <si>
    <t>琳琳</t>
  </si>
  <si>
    <t>6212264402073484515</t>
  </si>
  <si>
    <t>思思</t>
  </si>
  <si>
    <t>代露斯</t>
  </si>
  <si>
    <t>6217003810051073958</t>
  </si>
  <si>
    <t>曹珊珊</t>
  </si>
  <si>
    <t>兴业银行</t>
  </si>
  <si>
    <t>622908436172997611</t>
  </si>
  <si>
    <t>周晓丽</t>
  </si>
  <si>
    <t>周晓晓</t>
  </si>
  <si>
    <t>6230580000367706715</t>
  </si>
  <si>
    <t>天天</t>
  </si>
  <si>
    <t>曾义</t>
  </si>
  <si>
    <t>陈文婷</t>
  </si>
  <si>
    <t>6212264402097702132</t>
  </si>
  <si>
    <t>贺微</t>
  </si>
  <si>
    <t>6217253100013037490</t>
  </si>
  <si>
    <t>6766*10%=677</t>
  </si>
  <si>
    <t>14193*10%=1419</t>
  </si>
  <si>
    <t>周红艳</t>
  </si>
  <si>
    <t>燕子</t>
  </si>
  <si>
    <t>6217003810038242007</t>
  </si>
  <si>
    <t>王亿</t>
  </si>
  <si>
    <t>杨幼林</t>
  </si>
  <si>
    <t>韩亿</t>
  </si>
  <si>
    <t>6214663800831269</t>
  </si>
  <si>
    <t>潘月</t>
  </si>
  <si>
    <t>6222032309001349738</t>
  </si>
  <si>
    <t>王瑞</t>
  </si>
  <si>
    <t>6222034402010833806</t>
  </si>
  <si>
    <t>10705*10%=1071</t>
  </si>
  <si>
    <t>王学</t>
  </si>
  <si>
    <t>6227003813780204927</t>
  </si>
  <si>
    <t>邹静</t>
  </si>
  <si>
    <t>阳阳</t>
  </si>
  <si>
    <t>6229883815251666</t>
  </si>
  <si>
    <t>25233*5%=1262</t>
  </si>
  <si>
    <t>付丽</t>
  </si>
  <si>
    <t>付莉</t>
  </si>
  <si>
    <t>6214993801257812</t>
  </si>
  <si>
    <t>黄万秋</t>
  </si>
  <si>
    <t>黄婉秋</t>
  </si>
  <si>
    <t>6222034402018502239</t>
  </si>
  <si>
    <t>19752*10%=1975</t>
  </si>
  <si>
    <t>刘彤</t>
  </si>
  <si>
    <t>若涵</t>
  </si>
  <si>
    <t>邮政</t>
  </si>
  <si>
    <t>6217992330012867656</t>
  </si>
  <si>
    <t>谢玲琳</t>
  </si>
  <si>
    <t>罗拉</t>
  </si>
  <si>
    <t>6217003670001915660</t>
  </si>
  <si>
    <t>祝红</t>
  </si>
  <si>
    <t>玫朵</t>
  </si>
  <si>
    <t>6214673800036783900</t>
  </si>
  <si>
    <t>6222034402016824023</t>
  </si>
  <si>
    <t>王天真</t>
  </si>
  <si>
    <t>雍伦丽</t>
  </si>
  <si>
    <t>雍雍</t>
  </si>
  <si>
    <t>6230520460260798677</t>
  </si>
  <si>
    <t>7974*10%=797</t>
  </si>
  <si>
    <t>张耀</t>
  </si>
  <si>
    <t>24100*5%=1205</t>
  </si>
  <si>
    <t>K4张琳组</t>
  </si>
  <si>
    <t>张琳</t>
  </si>
  <si>
    <t>11789*10%=1179</t>
  </si>
  <si>
    <t>622908436194030516</t>
  </si>
  <si>
    <r>
      <rPr>
        <sz val="12"/>
        <rFont val="Tahoma"/>
        <charset val="134"/>
      </rPr>
      <t>G</t>
    </r>
    <r>
      <rPr>
        <sz val="12"/>
        <rFont val="宋体"/>
        <charset val="134"/>
      </rPr>
      <t>组</t>
    </r>
  </si>
  <si>
    <t>5668*10%+5555*0.91*10%</t>
  </si>
  <si>
    <t>李姐组</t>
  </si>
  <si>
    <t>14129*10%=1413</t>
  </si>
  <si>
    <t>贾丽容</t>
  </si>
  <si>
    <t>韩雨</t>
  </si>
  <si>
    <t>6228484118827671278</t>
  </si>
  <si>
    <r>
      <rPr>
        <sz val="12"/>
        <rFont val="Tahoma"/>
        <charset val="134"/>
      </rPr>
      <t>C</t>
    </r>
    <r>
      <rPr>
        <sz val="12"/>
        <rFont val="宋体"/>
        <charset val="134"/>
      </rPr>
      <t>组</t>
    </r>
  </si>
  <si>
    <t>兰兰</t>
  </si>
  <si>
    <t>KK</t>
  </si>
  <si>
    <t>李沫</t>
  </si>
  <si>
    <r>
      <rPr>
        <sz val="12"/>
        <rFont val="Tahoma"/>
        <charset val="134"/>
      </rPr>
      <t>C1</t>
    </r>
    <r>
      <rPr>
        <sz val="12"/>
        <rFont val="宋体"/>
        <charset val="134"/>
      </rPr>
      <t>组</t>
    </r>
  </si>
  <si>
    <t>C1李帅</t>
  </si>
  <si>
    <r>
      <rPr>
        <sz val="12"/>
        <rFont val="Tahoma"/>
        <charset val="134"/>
      </rPr>
      <t>W1</t>
    </r>
    <r>
      <rPr>
        <sz val="12"/>
        <rFont val="宋体"/>
        <charset val="134"/>
      </rPr>
      <t>组</t>
    </r>
  </si>
  <si>
    <t>6214832816061357</t>
  </si>
  <si>
    <t>6230583000008094676</t>
  </si>
  <si>
    <t>余富丽</t>
  </si>
  <si>
    <t>于丽</t>
  </si>
  <si>
    <t>6227003812990550137</t>
  </si>
  <si>
    <r>
      <rPr>
        <sz val="12"/>
        <rFont val="Tahoma"/>
        <charset val="134"/>
      </rPr>
      <t>G3</t>
    </r>
    <r>
      <rPr>
        <sz val="12"/>
        <rFont val="宋体"/>
        <charset val="134"/>
      </rPr>
      <t>组</t>
    </r>
  </si>
  <si>
    <t>欧阳</t>
  </si>
  <si>
    <t>张蔚希</t>
  </si>
  <si>
    <t>希希</t>
  </si>
  <si>
    <t>6217003800012758177</t>
  </si>
  <si>
    <r>
      <rPr>
        <sz val="12"/>
        <rFont val="Tahoma"/>
        <charset val="134"/>
      </rPr>
      <t>G6</t>
    </r>
    <r>
      <rPr>
        <sz val="12"/>
        <rFont val="宋体"/>
        <charset val="134"/>
      </rPr>
      <t>组</t>
    </r>
  </si>
  <si>
    <t>张娅</t>
  </si>
  <si>
    <r>
      <rPr>
        <sz val="12"/>
        <rFont val="Tahoma"/>
        <charset val="134"/>
      </rPr>
      <t>W</t>
    </r>
    <r>
      <rPr>
        <sz val="12"/>
        <rFont val="宋体"/>
        <charset val="134"/>
      </rPr>
      <t>组</t>
    </r>
  </si>
  <si>
    <t>冉冉</t>
  </si>
  <si>
    <t>于倩</t>
  </si>
  <si>
    <t>雯雯</t>
  </si>
  <si>
    <t>管理人员</t>
  </si>
  <si>
    <t>杜晓东</t>
  </si>
  <si>
    <t>4722*10%=472</t>
  </si>
  <si>
    <t>制表人：王月</t>
  </si>
  <si>
    <t>出纳签字：</t>
  </si>
  <si>
    <t>负责人签字：</t>
  </si>
  <si>
    <r>
      <rPr>
        <sz val="22"/>
        <rFont val="宋体"/>
        <charset val="134"/>
      </rPr>
      <t>维也纳商务部</t>
    </r>
    <r>
      <rPr>
        <sz val="22"/>
        <rFont val="Tahoma"/>
        <charset val="134"/>
      </rPr>
      <t>2024</t>
    </r>
    <r>
      <rPr>
        <sz val="22"/>
        <rFont val="宋体"/>
        <charset val="134"/>
      </rPr>
      <t>年04月啤酒、红酒、洋酒奖励预提</t>
    </r>
  </si>
  <si>
    <t>业绩小计</t>
  </si>
  <si>
    <t>维也纳业绩</t>
  </si>
  <si>
    <t>波士顿业绩</t>
  </si>
  <si>
    <t>啤酒，红酒奖励5%</t>
  </si>
  <si>
    <t>啤酒、红酒奖励3%</t>
  </si>
  <si>
    <r>
      <rPr>
        <sz val="12"/>
        <rFont val="Tahoma"/>
        <charset val="134"/>
      </rPr>
      <t>2024.4-2025.3</t>
    </r>
    <r>
      <rPr>
        <sz val="12"/>
        <rFont val="宋体"/>
        <charset val="134"/>
      </rPr>
      <t>完成</t>
    </r>
    <r>
      <rPr>
        <sz val="12"/>
        <rFont val="Tahoma"/>
        <charset val="134"/>
      </rPr>
      <t>360</t>
    </r>
    <r>
      <rPr>
        <sz val="12"/>
        <rFont val="宋体"/>
        <charset val="134"/>
      </rPr>
      <t>万业绩红酒啤酒奖励</t>
    </r>
    <r>
      <rPr>
        <sz val="12"/>
        <rFont val="Tahoma"/>
        <charset val="134"/>
      </rPr>
      <t>3%</t>
    </r>
  </si>
  <si>
    <t>3-4月洋酒奖励5%</t>
  </si>
  <si>
    <r>
      <rPr>
        <sz val="12"/>
        <rFont val="Tahoma"/>
        <charset val="134"/>
      </rPr>
      <t>2024.3-2024.4</t>
    </r>
    <r>
      <rPr>
        <sz val="12"/>
        <rFont val="宋体"/>
        <charset val="134"/>
      </rPr>
      <t>完成合同业绩，奖励洋酒</t>
    </r>
    <r>
      <rPr>
        <sz val="12"/>
        <rFont val="Tahoma"/>
        <charset val="134"/>
      </rPr>
      <t>5%</t>
    </r>
    <r>
      <rPr>
        <sz val="12"/>
        <rFont val="宋体"/>
        <charset val="134"/>
      </rPr>
      <t>（单瓶</t>
    </r>
    <r>
      <rPr>
        <sz val="12"/>
        <rFont val="Tahoma"/>
        <charset val="134"/>
      </rPr>
      <t>6000</t>
    </r>
    <r>
      <rPr>
        <sz val="12"/>
        <rFont val="宋体"/>
        <charset val="134"/>
      </rPr>
      <t>以上洋酒不计奖励）</t>
    </r>
  </si>
  <si>
    <t>洋酒奖励4%</t>
  </si>
  <si>
    <r>
      <rPr>
        <sz val="12"/>
        <rFont val="Tahoma"/>
        <charset val="134"/>
      </rPr>
      <t>2024.3-2024.8</t>
    </r>
    <r>
      <rPr>
        <sz val="12"/>
        <rFont val="宋体"/>
        <charset val="134"/>
      </rPr>
      <t>完成</t>
    </r>
    <r>
      <rPr>
        <sz val="12"/>
        <rFont val="Tahoma"/>
        <charset val="134"/>
      </rPr>
      <t>300</t>
    </r>
    <r>
      <rPr>
        <sz val="12"/>
        <rFont val="宋体"/>
        <charset val="134"/>
      </rPr>
      <t>万业绩奖励（单瓶6000以上洋酒不计奖励）</t>
    </r>
  </si>
  <si>
    <t>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</si>
</sst>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%"/>
    <numFmt numFmtId="179" formatCode="#,##0.00_ "/>
    <numFmt numFmtId="180" formatCode="0_);[Red]\(0\)"/>
    <numFmt numFmtId="181" formatCode="0.00_);[Red]\(0.00\)"/>
  </numFmts>
  <fonts count="59">
    <font>
      <sz val="12"/>
      <name val="宋体"/>
      <charset val="134"/>
    </font>
    <font>
      <sz val="12"/>
      <name val="Tahoma"/>
      <charset val="134"/>
    </font>
    <font>
      <sz val="22"/>
      <name val="宋体"/>
      <charset val="134"/>
    </font>
    <font>
      <sz val="12"/>
      <name val="Tahoma"/>
      <charset val="134"/>
    </font>
    <font>
      <b/>
      <sz val="12"/>
      <name val="Tahoma"/>
      <charset val="134"/>
    </font>
    <font>
      <b/>
      <sz val="12"/>
      <name val="Tahoma"/>
      <charset val="134"/>
    </font>
    <font>
      <sz val="11"/>
      <color rgb="FF000000"/>
      <name val="宋体"/>
      <charset val="134"/>
    </font>
    <font>
      <sz val="11"/>
      <color indexed="8"/>
      <name val="Tahoma"/>
      <charset val="134"/>
    </font>
    <font>
      <sz val="22"/>
      <name val="Tahoma"/>
      <charset val="134"/>
    </font>
    <font>
      <sz val="22"/>
      <name val="黑体"/>
      <charset val="134"/>
    </font>
    <font>
      <sz val="10"/>
      <name val="Tahoma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2"/>
      <name val="宋体"/>
      <charset val="134"/>
    </font>
    <font>
      <sz val="11"/>
      <name val="Tahoma"/>
      <charset val="134"/>
    </font>
    <font>
      <sz val="10"/>
      <color rgb="FFFF0000"/>
      <name val="宋体"/>
      <charset val="134"/>
    </font>
    <font>
      <sz val="20"/>
      <name val="宋体"/>
      <charset val="134"/>
    </font>
    <font>
      <sz val="9"/>
      <color rgb="FF0000FF"/>
      <name val="黑体"/>
      <charset val="134"/>
    </font>
    <font>
      <sz val="11"/>
      <name val="宋体"/>
      <charset val="134"/>
    </font>
    <font>
      <sz val="14"/>
      <name val="宋体"/>
      <charset val="134"/>
    </font>
    <font>
      <sz val="12"/>
      <color rgb="FFFF0000"/>
      <name val="宋体"/>
      <charset val="134"/>
    </font>
    <font>
      <sz val="12"/>
      <color theme="1"/>
      <name val="Tahoma"/>
      <charset val="134"/>
    </font>
    <font>
      <b/>
      <sz val="11"/>
      <color indexed="8"/>
      <name val="Tahoma"/>
      <charset val="134"/>
    </font>
    <font>
      <b/>
      <sz val="20"/>
      <name val="宋体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9"/>
      <name val="Tahoma"/>
      <charset val="134"/>
    </font>
    <font>
      <sz val="9"/>
      <name val="宋体"/>
      <charset val="134"/>
    </font>
    <font>
      <sz val="11"/>
      <color rgb="FF000000"/>
      <name val="Tahoma"/>
      <charset val="134"/>
    </font>
    <font>
      <sz val="11"/>
      <color theme="1"/>
      <name val="Tahoma"/>
      <charset val="134"/>
    </font>
    <font>
      <sz val="10"/>
      <color rgb="FF000000"/>
      <name val="宋体"/>
      <charset val="134"/>
    </font>
    <font>
      <sz val="11"/>
      <color rgb="FF000000"/>
      <name val="Microsoft YaHei"/>
      <charset val="134"/>
    </font>
    <font>
      <u/>
      <sz val="11"/>
      <color rgb="FF800080"/>
      <name val="宋体"/>
      <charset val="134"/>
      <scheme val="minor"/>
    </font>
    <font>
      <sz val="10"/>
      <color indexed="8"/>
      <name val="Tahoma"/>
      <charset val="134"/>
    </font>
    <font>
      <sz val="9"/>
      <color rgb="FF0000FF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FF"/>
      <name val="黑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1" fillId="15" borderId="1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6" borderId="19" applyNumberFormat="0" applyAlignment="0" applyProtection="0">
      <alignment vertical="center"/>
    </xf>
    <xf numFmtId="0" fontId="45" fillId="17" borderId="20" applyNumberFormat="0" applyAlignment="0" applyProtection="0">
      <alignment vertical="center"/>
    </xf>
    <xf numFmtId="0" fontId="46" fillId="17" borderId="19" applyNumberFormat="0" applyAlignment="0" applyProtection="0">
      <alignment vertical="center"/>
    </xf>
    <xf numFmtId="0" fontId="47" fillId="18" borderId="21" applyNumberFormat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37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 wrapText="1"/>
    </xf>
    <xf numFmtId="9" fontId="0" fillId="0" borderId="2" xfId="0" applyNumberFormat="1" applyFont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177" fontId="0" fillId="6" borderId="4" xfId="0" applyNumberFormat="1" applyFont="1" applyFill="1" applyBorder="1" applyAlignment="1">
      <alignment horizontal="center" vertical="center"/>
    </xf>
    <xf numFmtId="177" fontId="0" fillId="6" borderId="5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77" fontId="0" fillId="6" borderId="1" xfId="0" applyNumberFormat="1" applyFont="1" applyFill="1" applyBorder="1" applyAlignment="1">
      <alignment horizontal="center" vertical="center"/>
    </xf>
    <xf numFmtId="9" fontId="0" fillId="6" borderId="1" xfId="0" applyNumberFormat="1" applyFont="1" applyFill="1" applyBorder="1" applyAlignment="1">
      <alignment horizontal="center" vertical="center"/>
    </xf>
    <xf numFmtId="176" fontId="0" fillId="7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176" fontId="0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7" fontId="0" fillId="6" borderId="6" xfId="0" applyNumberFormat="1" applyFont="1" applyFill="1" applyBorder="1" applyAlignment="1">
      <alignment horizontal="center" vertical="center"/>
    </xf>
    <xf numFmtId="176" fontId="0" fillId="8" borderId="4" xfId="0" applyNumberFormat="1" applyFont="1" applyFill="1" applyBorder="1" applyAlignment="1">
      <alignment horizontal="center" vertical="center"/>
    </xf>
    <xf numFmtId="176" fontId="0" fillId="8" borderId="5" xfId="0" applyNumberFormat="1" applyFont="1" applyFill="1" applyBorder="1" applyAlignment="1">
      <alignment horizontal="center" vertical="center"/>
    </xf>
    <xf numFmtId="176" fontId="0" fillId="8" borderId="6" xfId="0" applyNumberFormat="1" applyFont="1" applyFill="1" applyBorder="1" applyAlignment="1">
      <alignment horizontal="center" vertical="center"/>
    </xf>
    <xf numFmtId="176" fontId="0" fillId="8" borderId="1" xfId="0" applyNumberFormat="1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0" fillId="6" borderId="3" xfId="0" applyNumberFormat="1" applyFont="1" applyFill="1" applyBorder="1" applyAlignment="1">
      <alignment horizontal="center" vertical="center"/>
    </xf>
    <xf numFmtId="49" fontId="0" fillId="6" borderId="3" xfId="0" applyNumberFormat="1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176" fontId="0" fillId="6" borderId="1" xfId="0" applyNumberFormat="1" applyFont="1" applyFill="1" applyBorder="1" applyAlignment="1">
      <alignment horizontal="center" vertical="center"/>
    </xf>
    <xf numFmtId="176" fontId="0" fillId="6" borderId="2" xfId="0" applyNumberFormat="1" applyFont="1" applyFill="1" applyBorder="1" applyAlignment="1">
      <alignment horizontal="center" vertical="center"/>
    </xf>
    <xf numFmtId="49" fontId="0" fillId="6" borderId="2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176" fontId="0" fillId="0" borderId="7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0" fontId="8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9" fontId="0" fillId="0" borderId="0" xfId="0" applyNumberFormat="1" applyFont="1" applyFill="1" applyBorder="1" applyAlignment="1">
      <alignment vertical="center"/>
    </xf>
    <xf numFmtId="178" fontId="0" fillId="0" borderId="0" xfId="0" applyNumberFormat="1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left" vertical="center" wrapText="1"/>
    </xf>
    <xf numFmtId="177" fontId="0" fillId="0" borderId="1" xfId="0" applyNumberFormat="1" applyFont="1" applyFill="1" applyBorder="1" applyAlignment="1">
      <alignment horizontal="left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12" fillId="0" borderId="1" xfId="0" applyNumberFormat="1" applyFont="1" applyFill="1" applyBorder="1" applyAlignment="1">
      <alignment horizontal="left" vertical="center" wrapText="1"/>
    </xf>
    <xf numFmtId="177" fontId="12" fillId="0" borderId="3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177" fontId="0" fillId="0" borderId="3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left" vertical="center" wrapText="1"/>
    </xf>
    <xf numFmtId="177" fontId="12" fillId="0" borderId="1" xfId="0" applyNumberFormat="1" applyFont="1" applyFill="1" applyBorder="1" applyAlignment="1">
      <alignment vertical="center" wrapText="1"/>
    </xf>
    <xf numFmtId="177" fontId="12" fillId="0" borderId="2" xfId="0" applyNumberFormat="1" applyFont="1" applyFill="1" applyBorder="1" applyAlignment="1">
      <alignment vertical="center" wrapText="1"/>
    </xf>
    <xf numFmtId="177" fontId="12" fillId="0" borderId="7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13" fillId="4" borderId="1" xfId="0" applyNumberFormat="1" applyFont="1" applyFill="1" applyBorder="1" applyAlignment="1">
      <alignment horizontal="left" vertical="center" wrapText="1"/>
    </xf>
    <xf numFmtId="176" fontId="8" fillId="0" borderId="0" xfId="0" applyNumberFormat="1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left" vertical="center" wrapText="1"/>
    </xf>
    <xf numFmtId="176" fontId="13" fillId="4" borderId="1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left" vertical="center"/>
    </xf>
    <xf numFmtId="176" fontId="16" fillId="0" borderId="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176" fontId="16" fillId="0" borderId="5" xfId="0" applyNumberFormat="1" applyFont="1" applyFill="1" applyBorder="1" applyAlignment="1">
      <alignment horizontal="center" vertical="center"/>
    </xf>
    <xf numFmtId="176" fontId="0" fillId="9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center" vertical="center"/>
    </xf>
    <xf numFmtId="176" fontId="0" fillId="9" borderId="3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76" fontId="3" fillId="1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6" fontId="18" fillId="9" borderId="1" xfId="0" applyNumberFormat="1" applyFont="1" applyFill="1" applyBorder="1" applyAlignment="1">
      <alignment horizontal="center" vertical="center" wrapText="1"/>
    </xf>
    <xf numFmtId="178" fontId="0" fillId="0" borderId="2" xfId="0" applyNumberFormat="1" applyFont="1" applyFill="1" applyBorder="1" applyAlignment="1">
      <alignment horizontal="center" vertical="center"/>
    </xf>
    <xf numFmtId="176" fontId="0" fillId="9" borderId="2" xfId="0" applyNumberFormat="1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176" fontId="3" fillId="11" borderId="2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vertical="center"/>
    </xf>
    <xf numFmtId="178" fontId="9" fillId="0" borderId="0" xfId="0" applyNumberFormat="1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center" vertical="center"/>
    </xf>
    <xf numFmtId="178" fontId="16" fillId="0" borderId="5" xfId="0" applyNumberFormat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20" fillId="2" borderId="1" xfId="0" applyNumberFormat="1" applyFont="1" applyFill="1" applyBorder="1" applyAlignment="1">
      <alignment horizontal="center" vertical="center"/>
    </xf>
    <xf numFmtId="176" fontId="0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176" fontId="16" fillId="0" borderId="6" xfId="0" applyNumberFormat="1" applyFont="1" applyFill="1" applyBorder="1" applyAlignment="1">
      <alignment horizontal="center" vertical="center"/>
    </xf>
    <xf numFmtId="176" fontId="0" fillId="0" borderId="10" xfId="0" applyNumberFormat="1" applyFont="1" applyFill="1" applyBorder="1" applyAlignment="1">
      <alignment horizontal="center" vertical="center"/>
    </xf>
    <xf numFmtId="179" fontId="0" fillId="0" borderId="10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Fill="1" applyBorder="1" applyAlignment="1">
      <alignment horizontal="center" vertical="center"/>
    </xf>
    <xf numFmtId="9" fontId="0" fillId="0" borderId="2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21" fillId="0" borderId="10" xfId="0" applyNumberFormat="1" applyFont="1" applyFill="1" applyBorder="1" applyAlignment="1" applyProtection="1">
      <alignment horizontal="left" vertical="center"/>
      <protection locked="0"/>
    </xf>
    <xf numFmtId="49" fontId="21" fillId="0" borderId="10" xfId="0" applyNumberFormat="1" applyFont="1" applyFill="1" applyBorder="1" applyAlignment="1" applyProtection="1">
      <alignment vertical="center"/>
      <protection locked="0"/>
    </xf>
    <xf numFmtId="49" fontId="21" fillId="0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4" xfId="0" applyNumberFormat="1" applyFont="1" applyFill="1" applyBorder="1" applyAlignment="1" applyProtection="1">
      <alignment horizontal="left" vertical="center"/>
      <protection locked="0"/>
    </xf>
    <xf numFmtId="49" fontId="21" fillId="0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>
      <alignment vertical="center"/>
    </xf>
    <xf numFmtId="176" fontId="3" fillId="13" borderId="2" xfId="0" applyNumberFormat="1" applyFont="1" applyFill="1" applyBorder="1" applyAlignment="1">
      <alignment horizontal="center" vertical="center"/>
    </xf>
    <xf numFmtId="9" fontId="3" fillId="0" borderId="2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4" xfId="0" applyNumberFormat="1" applyFont="1" applyFill="1" applyBorder="1" applyAlignment="1">
      <alignment horizontal="center" vertical="center"/>
    </xf>
    <xf numFmtId="179" fontId="13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vertical="center"/>
    </xf>
    <xf numFmtId="177" fontId="7" fillId="0" borderId="0" xfId="0" applyNumberFormat="1" applyFont="1" applyFill="1" applyBorder="1" applyAlignment="1">
      <alignment vertical="center"/>
    </xf>
    <xf numFmtId="9" fontId="7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23" fillId="0" borderId="1" xfId="49" applyFont="1" applyFill="1" applyBorder="1" applyAlignment="1">
      <alignment horizontal="center" vertical="center"/>
    </xf>
    <xf numFmtId="0" fontId="14" fillId="0" borderId="2" xfId="49" applyFont="1" applyFill="1" applyBorder="1" applyAlignment="1">
      <alignment horizontal="center" vertical="center"/>
    </xf>
    <xf numFmtId="0" fontId="24" fillId="0" borderId="2" xfId="49" applyFont="1" applyFill="1" applyBorder="1" applyAlignment="1">
      <alignment horizontal="center" vertical="center"/>
    </xf>
    <xf numFmtId="0" fontId="14" fillId="9" borderId="2" xfId="49" applyFont="1" applyFill="1" applyBorder="1" applyAlignment="1">
      <alignment horizontal="center" vertical="center"/>
    </xf>
    <xf numFmtId="9" fontId="14" fillId="0" borderId="2" xfId="49" applyNumberFormat="1" applyFont="1" applyFill="1" applyBorder="1" applyAlignment="1">
      <alignment horizontal="center" vertical="center"/>
    </xf>
    <xf numFmtId="176" fontId="14" fillId="0" borderId="2" xfId="49" applyNumberFormat="1" applyFont="1" applyFill="1" applyBorder="1" applyAlignment="1">
      <alignment horizontal="center" vertical="center"/>
    </xf>
    <xf numFmtId="176" fontId="18" fillId="9" borderId="2" xfId="49" applyNumberFormat="1" applyFont="1" applyFill="1" applyBorder="1" applyAlignment="1">
      <alignment horizontal="center" vertical="center" wrapText="1"/>
    </xf>
    <xf numFmtId="0" fontId="0" fillId="0" borderId="1" xfId="49" applyFont="1" applyFill="1" applyBorder="1" applyAlignment="1">
      <alignment horizontal="center" vertical="center"/>
    </xf>
    <xf numFmtId="0" fontId="18" fillId="0" borderId="1" xfId="49" applyFont="1" applyFill="1" applyBorder="1" applyAlignment="1">
      <alignment horizontal="center" vertical="center"/>
    </xf>
    <xf numFmtId="0" fontId="25" fillId="0" borderId="1" xfId="50" applyFont="1" applyBorder="1" applyAlignment="1">
      <alignment horizontal="center" vertical="center" wrapText="1"/>
    </xf>
    <xf numFmtId="0" fontId="14" fillId="9" borderId="1" xfId="50" applyFont="1" applyFill="1" applyBorder="1" applyAlignment="1">
      <alignment horizontal="center" vertical="center" wrapText="1"/>
    </xf>
    <xf numFmtId="9" fontId="3" fillId="0" borderId="1" xfId="49" applyNumberFormat="1" applyFont="1" applyFill="1" applyBorder="1" applyAlignment="1">
      <alignment horizontal="center" vertical="center"/>
    </xf>
    <xf numFmtId="176" fontId="14" fillId="0" borderId="1" xfId="49" applyNumberFormat="1" applyFont="1" applyFill="1" applyBorder="1" applyAlignment="1">
      <alignment horizontal="center" vertical="center"/>
    </xf>
    <xf numFmtId="176" fontId="14" fillId="9" borderId="1" xfId="49" applyNumberFormat="1" applyFont="1" applyFill="1" applyBorder="1" applyAlignment="1">
      <alignment horizontal="center" vertical="center"/>
    </xf>
    <xf numFmtId="176" fontId="14" fillId="3" borderId="1" xfId="49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8" fillId="0" borderId="4" xfId="49" applyFont="1" applyFill="1" applyBorder="1" applyAlignment="1">
      <alignment horizontal="center" vertical="center"/>
    </xf>
    <xf numFmtId="178" fontId="18" fillId="0" borderId="2" xfId="49" applyNumberFormat="1" applyFont="1" applyFill="1" applyBorder="1" applyAlignment="1">
      <alignment horizontal="center" vertical="center"/>
    </xf>
    <xf numFmtId="176" fontId="18" fillId="0" borderId="2" xfId="49" applyNumberFormat="1" applyFont="1" applyFill="1" applyBorder="1" applyAlignment="1">
      <alignment horizontal="center" vertical="center"/>
    </xf>
    <xf numFmtId="176" fontId="14" fillId="9" borderId="2" xfId="49" applyNumberFormat="1" applyFont="1" applyFill="1" applyBorder="1" applyAlignment="1">
      <alignment horizontal="center" vertical="center"/>
    </xf>
    <xf numFmtId="177" fontId="18" fillId="9" borderId="2" xfId="49" applyNumberFormat="1" applyFont="1" applyFill="1" applyBorder="1" applyAlignment="1">
      <alignment horizontal="center" vertical="center"/>
    </xf>
    <xf numFmtId="178" fontId="27" fillId="0" borderId="1" xfId="49" applyNumberFormat="1" applyFont="1" applyFill="1" applyBorder="1" applyAlignment="1">
      <alignment horizontal="center" vertical="center"/>
    </xf>
    <xf numFmtId="176" fontId="14" fillId="0" borderId="1" xfId="49" applyNumberFormat="1" applyFont="1" applyFill="1" applyBorder="1" applyAlignment="1">
      <alignment vertical="center"/>
    </xf>
    <xf numFmtId="177" fontId="14" fillId="9" borderId="1" xfId="49" applyNumberFormat="1" applyFont="1" applyFill="1" applyBorder="1" applyAlignment="1">
      <alignment vertical="center"/>
    </xf>
    <xf numFmtId="178" fontId="28" fillId="0" borderId="1" xfId="49" applyNumberFormat="1" applyFont="1" applyFill="1" applyBorder="1" applyAlignment="1">
      <alignment horizontal="center" vertical="center"/>
    </xf>
    <xf numFmtId="0" fontId="14" fillId="9" borderId="1" xfId="49" applyFont="1" applyFill="1" applyBorder="1" applyAlignment="1">
      <alignment horizontal="center" vertical="center"/>
    </xf>
    <xf numFmtId="176" fontId="28" fillId="9" borderId="2" xfId="49" applyNumberFormat="1" applyFont="1" applyFill="1" applyBorder="1" applyAlignment="1">
      <alignment horizontal="center" vertical="center"/>
    </xf>
    <xf numFmtId="9" fontId="18" fillId="0" borderId="2" xfId="49" applyNumberFormat="1" applyFont="1" applyFill="1" applyBorder="1" applyAlignment="1">
      <alignment horizontal="center" vertical="center"/>
    </xf>
    <xf numFmtId="180" fontId="12" fillId="0" borderId="2" xfId="49" applyNumberFormat="1" applyFont="1" applyFill="1" applyBorder="1" applyAlignment="1">
      <alignment horizontal="center" vertical="center"/>
    </xf>
    <xf numFmtId="176" fontId="28" fillId="3" borderId="2" xfId="49" applyNumberFormat="1" applyFont="1" applyFill="1" applyBorder="1" applyAlignment="1">
      <alignment horizontal="center" vertical="center"/>
    </xf>
    <xf numFmtId="9" fontId="7" fillId="0" borderId="1" xfId="0" applyNumberFormat="1" applyFont="1" applyFill="1" applyBorder="1" applyAlignment="1">
      <alignment horizontal="center" vertical="center"/>
    </xf>
    <xf numFmtId="9" fontId="14" fillId="0" borderId="1" xfId="49" applyNumberFormat="1" applyFont="1" applyFill="1" applyBorder="1" applyAlignment="1">
      <alignment horizontal="center" vertical="center"/>
    </xf>
    <xf numFmtId="176" fontId="28" fillId="0" borderId="2" xfId="49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18" fillId="0" borderId="2" xfId="49" applyNumberFormat="1" applyFont="1" applyFill="1" applyBorder="1" applyAlignment="1">
      <alignment horizontal="center" vertical="center"/>
    </xf>
    <xf numFmtId="0" fontId="18" fillId="0" borderId="2" xfId="49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49" fontId="14" fillId="0" borderId="1" xfId="49" applyNumberFormat="1" applyFont="1" applyFill="1" applyBorder="1" applyAlignment="1">
      <alignment vertical="center"/>
    </xf>
    <xf numFmtId="49" fontId="14" fillId="0" borderId="1" xfId="49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177" fontId="14" fillId="0" borderId="1" xfId="49" applyNumberFormat="1" applyFont="1" applyFill="1" applyBorder="1" applyAlignment="1">
      <alignment vertical="center"/>
    </xf>
    <xf numFmtId="181" fontId="6" fillId="0" borderId="1" xfId="1" applyNumberFormat="1" applyFont="1" applyBorder="1" applyAlignment="1">
      <alignment vertical="center"/>
    </xf>
    <xf numFmtId="176" fontId="18" fillId="0" borderId="1" xfId="49" applyNumberFormat="1" applyFont="1" applyFill="1" applyBorder="1" applyAlignment="1">
      <alignment horizontal="center" vertical="center"/>
    </xf>
    <xf numFmtId="181" fontId="29" fillId="0" borderId="1" xfId="1" applyNumberFormat="1" applyFont="1" applyBorder="1" applyAlignment="1">
      <alignment vertical="center"/>
    </xf>
    <xf numFmtId="181" fontId="7" fillId="0" borderId="1" xfId="1" applyNumberFormat="1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8" fillId="0" borderId="1" xfId="49" applyFont="1" applyFill="1" applyBorder="1" applyAlignment="1">
      <alignment horizontal="left" vertical="center"/>
    </xf>
    <xf numFmtId="181" fontId="4" fillId="0" borderId="1" xfId="1" applyNumberFormat="1" applyFont="1" applyBorder="1" applyAlignment="1">
      <alignment vertical="center"/>
    </xf>
    <xf numFmtId="49" fontId="18" fillId="0" borderId="1" xfId="49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4" fillId="9" borderId="1" xfId="49" applyFont="1" applyFill="1" applyBorder="1" applyAlignment="1">
      <alignment vertical="center"/>
    </xf>
    <xf numFmtId="0" fontId="18" fillId="0" borderId="10" xfId="49" applyFont="1" applyFill="1" applyBorder="1" applyAlignment="1">
      <alignment horizontal="center" vertical="center"/>
    </xf>
    <xf numFmtId="0" fontId="14" fillId="9" borderId="1" xfId="50" applyFont="1" applyFill="1" applyBorder="1" applyAlignment="1">
      <alignment horizontal="center" vertical="center"/>
    </xf>
    <xf numFmtId="0" fontId="10" fillId="9" borderId="1" xfId="50" applyFont="1" applyFill="1" applyBorder="1" applyAlignment="1">
      <alignment horizontal="center" vertical="center"/>
    </xf>
    <xf numFmtId="0" fontId="18" fillId="0" borderId="3" xfId="49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4" fillId="9" borderId="1" xfId="5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14" fillId="9" borderId="1" xfId="51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horizontal="center" vertical="center"/>
    </xf>
    <xf numFmtId="0" fontId="7" fillId="0" borderId="1" xfId="49" applyNumberFormat="1" applyFont="1" applyFill="1" applyBorder="1" applyAlignment="1">
      <alignment horizontal="left" vertical="center"/>
    </xf>
    <xf numFmtId="49" fontId="7" fillId="0" borderId="1" xfId="49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181" fontId="3" fillId="0" borderId="1" xfId="1" applyNumberFormat="1" applyFont="1" applyBorder="1" applyAlignment="1">
      <alignment vertical="center"/>
    </xf>
    <xf numFmtId="49" fontId="14" fillId="0" borderId="0" xfId="49" applyNumberFormat="1" applyFont="1" applyFill="1" applyAlignment="1">
      <alignment vertical="center"/>
    </xf>
    <xf numFmtId="176" fontId="14" fillId="0" borderId="3" xfId="49" applyNumberFormat="1" applyFont="1" applyFill="1" applyBorder="1" applyAlignment="1">
      <alignment horizontal="center" vertical="center"/>
    </xf>
    <xf numFmtId="181" fontId="4" fillId="0" borderId="3" xfId="1" applyNumberFormat="1" applyFont="1" applyBorder="1" applyAlignment="1">
      <alignment vertical="center"/>
    </xf>
    <xf numFmtId="0" fontId="18" fillId="0" borderId="3" xfId="49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0" xfId="49" applyFont="1" applyFill="1" applyBorder="1" applyAlignment="1">
      <alignment horizontal="center" vertical="center"/>
    </xf>
    <xf numFmtId="0" fontId="3" fillId="6" borderId="7" xfId="49" applyFont="1" applyFill="1" applyBorder="1" applyAlignment="1">
      <alignment horizontal="center" vertical="center"/>
    </xf>
    <xf numFmtId="0" fontId="4" fillId="6" borderId="7" xfId="49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14" fillId="6" borderId="7" xfId="49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vertical="center"/>
    </xf>
    <xf numFmtId="0" fontId="33" fillId="0" borderId="0" xfId="6" applyFont="1" applyFill="1" applyAlignment="1">
      <alignment horizontal="left" vertical="center"/>
    </xf>
    <xf numFmtId="0" fontId="31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176" fontId="14" fillId="6" borderId="7" xfId="49" applyNumberFormat="1" applyFont="1" applyFill="1" applyBorder="1" applyAlignment="1">
      <alignment horizontal="center" vertical="center"/>
    </xf>
    <xf numFmtId="176" fontId="14" fillId="6" borderId="1" xfId="49" applyNumberFormat="1" applyFont="1" applyFill="1" applyBorder="1" applyAlignment="1">
      <alignment horizontal="center" vertical="center"/>
    </xf>
    <xf numFmtId="176" fontId="14" fillId="0" borderId="1" xfId="49" applyNumberFormat="1" applyFont="1" applyFill="1" applyBorder="1" applyAlignment="1">
      <alignment horizontal="left" vertical="center"/>
    </xf>
    <xf numFmtId="49" fontId="14" fillId="0" borderId="1" xfId="49" applyNumberFormat="1" applyFont="1" applyFill="1" applyBorder="1" applyAlignment="1">
      <alignment horizontal="left" vertical="center"/>
    </xf>
    <xf numFmtId="176" fontId="7" fillId="6" borderId="7" xfId="0" applyNumberFormat="1" applyFont="1" applyFill="1" applyBorder="1" applyAlignment="1">
      <alignment horizontal="center" vertical="center"/>
    </xf>
    <xf numFmtId="49" fontId="7" fillId="6" borderId="7" xfId="0" applyNumberFormat="1" applyFont="1" applyFill="1" applyBorder="1" applyAlignment="1">
      <alignment horizontal="center" vertical="center"/>
    </xf>
    <xf numFmtId="181" fontId="7" fillId="6" borderId="7" xfId="1" applyNumberFormat="1" applyFont="1" applyFill="1" applyBorder="1" applyAlignment="1">
      <alignment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29" fillId="0" borderId="0" xfId="0" applyNumberFormat="1" applyFont="1" applyFill="1" applyAlignment="1">
      <alignment horizontal="left" vertical="center"/>
    </xf>
    <xf numFmtId="49" fontId="33" fillId="0" borderId="0" xfId="6" applyNumberFormat="1" applyFont="1" applyFill="1" applyAlignment="1">
      <alignment horizontal="left" vertical="center"/>
    </xf>
    <xf numFmtId="0" fontId="33" fillId="0" borderId="0" xfId="6" applyFont="1" applyFill="1" applyAlignment="1">
      <alignment horizontal="center" vertical="center"/>
    </xf>
    <xf numFmtId="49" fontId="34" fillId="0" borderId="0" xfId="0" applyNumberFormat="1" applyFont="1" applyFill="1" applyAlignment="1">
      <alignment horizontal="center" vertical="center"/>
    </xf>
    <xf numFmtId="49" fontId="14" fillId="0" borderId="1" xfId="49" applyNumberFormat="1" applyFont="1" applyFill="1" applyBorder="1" applyAlignment="1" quotePrefix="1">
      <alignment vertical="center"/>
    </xf>
    <xf numFmtId="0" fontId="14" fillId="0" borderId="1" xfId="0" applyFont="1" applyBorder="1" applyAlignment="1" quotePrefix="1">
      <alignment horizontal="left" vertical="center"/>
    </xf>
    <xf numFmtId="0" fontId="7" fillId="0" borderId="1" xfId="49" applyNumberFormat="1" applyFont="1" applyFill="1" applyBorder="1" applyAlignment="1" quotePrefix="1">
      <alignment horizontal="left" vertical="center"/>
    </xf>
    <xf numFmtId="0" fontId="14" fillId="0" borderId="0" xfId="0" applyFont="1" applyAlignment="1" quotePrefix="1">
      <alignment horizontal="left" vertical="center"/>
    </xf>
    <xf numFmtId="0" fontId="3" fillId="0" borderId="4" xfId="0" applyFont="1" applyFill="1" applyBorder="1" applyAlignment="1" quotePrefix="1">
      <alignment horizontal="left" vertical="center"/>
    </xf>
    <xf numFmtId="0" fontId="3" fillId="0" borderId="1" xfId="0" applyFont="1" applyFill="1" applyBorder="1" applyAlignment="1" quotePrefix="1">
      <alignment horizontal="left" vertical="center"/>
    </xf>
    <xf numFmtId="49" fontId="21" fillId="0" borderId="4" xfId="0" applyNumberFormat="1" applyFont="1" applyFill="1" applyBorder="1" applyAlignment="1" applyProtection="1" quotePrefix="1">
      <alignment horizontal="left" vertical="center"/>
      <protection locked="0"/>
    </xf>
    <xf numFmtId="0" fontId="3" fillId="0" borderId="4" xfId="0" applyFont="1" applyFill="1" applyBorder="1" applyAlignment="1" quotePrefix="1">
      <alignment vertical="center"/>
    </xf>
    <xf numFmtId="49" fontId="21" fillId="0" borderId="1" xfId="0" applyNumberFormat="1" applyFont="1" applyFill="1" applyBorder="1" applyAlignment="1" applyProtection="1" quotePrefix="1">
      <alignment horizontal="left" vertical="center"/>
      <protection locked="0"/>
    </xf>
    <xf numFmtId="49" fontId="1" fillId="0" borderId="1" xfId="0" applyNumberFormat="1" applyFont="1" applyBorder="1" applyAlignment="1" quotePrefix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6" xfId="50"/>
    <cellStyle name="常规 2 2 2 2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DJ&#37096;&#39046;&#29677;&#20813;&#19994;&#32489;&#32602;&#27454;&#35828;&#26126;.jpg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26"/>
  <sheetViews>
    <sheetView tabSelected="1" zoomScale="80" zoomScaleNormal="80" workbookViewId="0">
      <selection activeCell="AD63" sqref="AD$1:AD$1048576"/>
    </sheetView>
  </sheetViews>
  <sheetFormatPr defaultColWidth="9" defaultRowHeight="15.6"/>
  <cols>
    <col min="1" max="1" width="7.375" style="108" customWidth="1"/>
    <col min="2" max="2" width="11.375" style="255" customWidth="1"/>
    <col min="3" max="3" width="8.25" style="108" customWidth="1"/>
    <col min="4" max="4" width="11.25" style="256" customWidth="1"/>
    <col min="5" max="5" width="9.05833333333333" style="108" customWidth="1"/>
    <col min="6" max="6" width="11.625" style="108" customWidth="1"/>
    <col min="7" max="7" width="12" style="257" customWidth="1"/>
    <col min="8" max="8" width="12.5" style="258" customWidth="1"/>
    <col min="9" max="9" width="14.25" style="259" customWidth="1"/>
    <col min="10" max="10" width="13" style="257" customWidth="1"/>
    <col min="11" max="11" width="12.25" style="258" customWidth="1"/>
    <col min="12" max="12" width="11" style="259" customWidth="1"/>
    <col min="13" max="13" width="6.5" style="257" customWidth="1"/>
    <col min="14" max="14" width="7.35" style="257" customWidth="1"/>
    <col min="15" max="15" width="10.275" style="260" customWidth="1"/>
    <col min="16" max="16" width="13.75" style="259" customWidth="1"/>
    <col min="17" max="17" width="13.375" style="257" customWidth="1"/>
    <col min="18" max="18" width="8.875" style="108" customWidth="1"/>
    <col min="19" max="19" width="4.75" style="261" customWidth="1"/>
    <col min="20" max="20" width="6.38333333333333" style="108" customWidth="1"/>
    <col min="21" max="21" width="8.875" style="108" customWidth="1"/>
    <col min="22" max="22" width="4.75" style="261" customWidth="1"/>
    <col min="23" max="23" width="6.38333333333333" style="108" customWidth="1"/>
    <col min="24" max="24" width="8.875" style="108" customWidth="1"/>
    <col min="25" max="25" width="4.75" style="261" customWidth="1"/>
    <col min="26" max="26" width="6.38333333333333" style="108" customWidth="1"/>
    <col min="27" max="27" width="8.875" style="108" customWidth="1"/>
    <col min="28" max="28" width="4.75" style="261" customWidth="1"/>
    <col min="29" max="29" width="6.38333333333333" style="108" customWidth="1"/>
    <col min="30" max="30" width="13.125" style="108" customWidth="1"/>
    <col min="31" max="31" width="6.875" style="108" hidden="1" customWidth="1"/>
    <col min="32" max="32" width="15" style="258" customWidth="1"/>
    <col min="33" max="33" width="22.3416666666667" style="257" customWidth="1"/>
    <col min="34" max="34" width="6.525" style="262" customWidth="1"/>
    <col min="35" max="36" width="6.10833333333333" style="258" customWidth="1"/>
    <col min="37" max="37" width="9.44166666666667" style="256" customWidth="1"/>
    <col min="38" max="38" width="14.4333333333333" style="254" customWidth="1"/>
    <col min="39" max="16384" width="9" style="254"/>
  </cols>
  <sheetData>
    <row r="1" s="254" customFormat="1" ht="25.8" spans="1:38">
      <c r="A1" s="26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</row>
    <row r="2" s="254" customFormat="1" ht="26" customHeight="1" spans="1:38">
      <c r="A2" s="264" t="s">
        <v>1</v>
      </c>
      <c r="B2" s="265" t="s">
        <v>2</v>
      </c>
      <c r="C2" s="264" t="s">
        <v>3</v>
      </c>
      <c r="D2" s="264" t="s">
        <v>4</v>
      </c>
      <c r="E2" s="266" t="s">
        <v>5</v>
      </c>
      <c r="F2" s="267" t="s">
        <v>6</v>
      </c>
      <c r="G2" s="268" t="s">
        <v>7</v>
      </c>
      <c r="H2" s="269" t="s">
        <v>8</v>
      </c>
      <c r="I2" s="283" t="s">
        <v>6</v>
      </c>
      <c r="J2" s="284" t="s">
        <v>7</v>
      </c>
      <c r="K2" s="269" t="s">
        <v>5</v>
      </c>
      <c r="L2" s="283" t="s">
        <v>6</v>
      </c>
      <c r="M2" s="284" t="s">
        <v>7</v>
      </c>
      <c r="N2" s="285" t="s">
        <v>9</v>
      </c>
      <c r="O2" s="286" t="s">
        <v>10</v>
      </c>
      <c r="P2" s="283" t="s">
        <v>11</v>
      </c>
      <c r="Q2" s="268" t="s">
        <v>7</v>
      </c>
      <c r="R2" s="292" t="s">
        <v>12</v>
      </c>
      <c r="S2" s="293" t="s">
        <v>6</v>
      </c>
      <c r="T2" s="294" t="s">
        <v>7</v>
      </c>
      <c r="U2" s="295" t="s">
        <v>13</v>
      </c>
      <c r="V2" s="293" t="s">
        <v>6</v>
      </c>
      <c r="W2" s="294" t="s">
        <v>7</v>
      </c>
      <c r="X2" s="295" t="s">
        <v>13</v>
      </c>
      <c r="Y2" s="293" t="s">
        <v>6</v>
      </c>
      <c r="Z2" s="294" t="s">
        <v>7</v>
      </c>
      <c r="AA2" s="295" t="s">
        <v>13</v>
      </c>
      <c r="AB2" s="293" t="s">
        <v>6</v>
      </c>
      <c r="AC2" s="294" t="s">
        <v>7</v>
      </c>
      <c r="AD2" s="298" t="s">
        <v>14</v>
      </c>
      <c r="AE2" s="298" t="s">
        <v>15</v>
      </c>
      <c r="AF2" s="268" t="s">
        <v>16</v>
      </c>
      <c r="AG2" s="268" t="s">
        <v>17</v>
      </c>
      <c r="AH2" s="300" t="s">
        <v>18</v>
      </c>
      <c r="AI2" s="284" t="s">
        <v>19</v>
      </c>
      <c r="AJ2" s="284" t="s">
        <v>20</v>
      </c>
      <c r="AK2" s="301" t="s">
        <v>21</v>
      </c>
      <c r="AL2" s="302"/>
    </row>
    <row r="3" s="254" customFormat="1" ht="18" customHeight="1" spans="1:38">
      <c r="A3" s="270">
        <v>1</v>
      </c>
      <c r="B3" s="271" t="s">
        <v>22</v>
      </c>
      <c r="C3" s="271" t="s">
        <v>22</v>
      </c>
      <c r="D3" s="272">
        <f t="shared" ref="D3:D66" si="0">E3+H3+O3</f>
        <v>109038</v>
      </c>
      <c r="E3" s="273">
        <v>109038</v>
      </c>
      <c r="F3" s="274">
        <v>0.25</v>
      </c>
      <c r="G3" s="275">
        <f t="shared" ref="G3:G66" si="1">ROUND(E3*F3,)</f>
        <v>27260</v>
      </c>
      <c r="H3" s="276"/>
      <c r="I3" s="287">
        <v>0</v>
      </c>
      <c r="J3" s="288">
        <f t="shared" ref="J3:J66" si="2">ROUND(H3*I3,)</f>
        <v>0</v>
      </c>
      <c r="K3" s="276">
        <v>93591</v>
      </c>
      <c r="L3" s="287">
        <v>0.05</v>
      </c>
      <c r="M3" s="288">
        <f t="shared" ref="M3:M66" si="3">ROUND(K3*L3,)</f>
        <v>4680</v>
      </c>
      <c r="N3" s="276"/>
      <c r="O3" s="289">
        <f>N3*0.83</f>
        <v>0</v>
      </c>
      <c r="P3" s="287"/>
      <c r="Q3" s="275">
        <f t="shared" ref="Q3:Q66" si="4">O3*P3</f>
        <v>0</v>
      </c>
      <c r="R3" s="276"/>
      <c r="S3" s="296">
        <v>0.05</v>
      </c>
      <c r="T3" s="275">
        <f t="shared" ref="T3:T66" si="5">R3*S3</f>
        <v>0</v>
      </c>
      <c r="U3" s="276"/>
      <c r="V3" s="296">
        <v>0.15</v>
      </c>
      <c r="W3" s="275">
        <f t="shared" ref="W3:W66" si="6">U3*V3</f>
        <v>0</v>
      </c>
      <c r="X3" s="276"/>
      <c r="Y3" s="296">
        <v>0.1</v>
      </c>
      <c r="Z3" s="275">
        <f t="shared" ref="Z3:Z66" si="7">X3*Y3</f>
        <v>0</v>
      </c>
      <c r="AA3" s="276"/>
      <c r="AB3" s="296">
        <v>0.05</v>
      </c>
      <c r="AC3" s="275">
        <f t="shared" ref="AC3:AC66" si="8">AA3*AB3</f>
        <v>0</v>
      </c>
      <c r="AD3" s="275">
        <v>4000</v>
      </c>
      <c r="AE3" s="275"/>
      <c r="AF3" s="275">
        <f t="shared" ref="AF3:AF66" si="9">ROUND(G3+J3+M3+Q3+T3+W3+AC3+AD3+Z3+AE3,)</f>
        <v>35940</v>
      </c>
      <c r="AG3" s="303" t="s">
        <v>23</v>
      </c>
      <c r="AH3" s="304" t="s">
        <v>24</v>
      </c>
      <c r="AI3" s="275">
        <v>6</v>
      </c>
      <c r="AJ3" s="275">
        <v>1200</v>
      </c>
      <c r="AK3" s="305"/>
      <c r="AL3" s="306"/>
    </row>
    <row r="4" s="254" customFormat="1" ht="18" customHeight="1" spans="1:38">
      <c r="A4" s="270">
        <v>2</v>
      </c>
      <c r="B4" s="271" t="s">
        <v>25</v>
      </c>
      <c r="C4" s="271" t="s">
        <v>26</v>
      </c>
      <c r="D4" s="272">
        <f t="shared" si="0"/>
        <v>103716</v>
      </c>
      <c r="E4" s="273">
        <v>103716</v>
      </c>
      <c r="F4" s="274">
        <v>0.25</v>
      </c>
      <c r="G4" s="275">
        <f t="shared" si="1"/>
        <v>25929</v>
      </c>
      <c r="H4" s="276"/>
      <c r="I4" s="287">
        <v>0</v>
      </c>
      <c r="J4" s="288">
        <f t="shared" si="2"/>
        <v>0</v>
      </c>
      <c r="K4" s="276">
        <v>92216</v>
      </c>
      <c r="L4" s="287">
        <v>0.05</v>
      </c>
      <c r="M4" s="288">
        <f t="shared" si="3"/>
        <v>4611</v>
      </c>
      <c r="N4" s="276"/>
      <c r="O4" s="289">
        <f t="shared" ref="O4:O7" si="10">N4*0.77</f>
        <v>0</v>
      </c>
      <c r="P4" s="287"/>
      <c r="Q4" s="275">
        <f t="shared" si="4"/>
        <v>0</v>
      </c>
      <c r="R4" s="276"/>
      <c r="S4" s="296">
        <v>0.05</v>
      </c>
      <c r="T4" s="275">
        <f t="shared" si="5"/>
        <v>0</v>
      </c>
      <c r="U4" s="276"/>
      <c r="V4" s="296">
        <v>0.15</v>
      </c>
      <c r="W4" s="275">
        <f t="shared" si="6"/>
        <v>0</v>
      </c>
      <c r="X4" s="276"/>
      <c r="Y4" s="296">
        <v>0.1</v>
      </c>
      <c r="Z4" s="275">
        <f t="shared" si="7"/>
        <v>0</v>
      </c>
      <c r="AA4" s="276"/>
      <c r="AB4" s="296">
        <v>0.05</v>
      </c>
      <c r="AC4" s="275">
        <f t="shared" si="8"/>
        <v>0</v>
      </c>
      <c r="AD4" s="275">
        <v>4000</v>
      </c>
      <c r="AE4" s="275"/>
      <c r="AF4" s="275">
        <f t="shared" si="9"/>
        <v>34540</v>
      </c>
      <c r="AG4" s="303" t="s">
        <v>27</v>
      </c>
      <c r="AH4" s="304">
        <v>3</v>
      </c>
      <c r="AI4" s="275">
        <v>3</v>
      </c>
      <c r="AJ4" s="275">
        <v>600</v>
      </c>
      <c r="AK4" s="305"/>
      <c r="AL4" s="306"/>
    </row>
    <row r="5" s="254" customFormat="1" ht="18" customHeight="1" spans="1:38">
      <c r="A5" s="270">
        <v>3</v>
      </c>
      <c r="B5" s="271" t="s">
        <v>28</v>
      </c>
      <c r="C5" s="271" t="s">
        <v>28</v>
      </c>
      <c r="D5" s="272">
        <f t="shared" si="0"/>
        <v>70315</v>
      </c>
      <c r="E5" s="273">
        <v>66494</v>
      </c>
      <c r="F5" s="274">
        <v>0.25</v>
      </c>
      <c r="G5" s="275">
        <f t="shared" si="1"/>
        <v>16624</v>
      </c>
      <c r="H5" s="277">
        <v>3821</v>
      </c>
      <c r="I5" s="287">
        <v>0</v>
      </c>
      <c r="J5" s="288">
        <f t="shared" si="2"/>
        <v>0</v>
      </c>
      <c r="K5" s="276">
        <v>55136</v>
      </c>
      <c r="L5" s="287">
        <v>0.05</v>
      </c>
      <c r="M5" s="288">
        <f t="shared" si="3"/>
        <v>2757</v>
      </c>
      <c r="N5" s="276"/>
      <c r="O5" s="289">
        <f t="shared" si="10"/>
        <v>0</v>
      </c>
      <c r="P5" s="287"/>
      <c r="Q5" s="275">
        <f t="shared" si="4"/>
        <v>0</v>
      </c>
      <c r="R5" s="276"/>
      <c r="S5" s="296">
        <v>0.05</v>
      </c>
      <c r="T5" s="275">
        <f t="shared" si="5"/>
        <v>0</v>
      </c>
      <c r="U5" s="276"/>
      <c r="V5" s="296">
        <v>0.15</v>
      </c>
      <c r="W5" s="275">
        <f t="shared" si="6"/>
        <v>0</v>
      </c>
      <c r="X5" s="276"/>
      <c r="Y5" s="296">
        <v>0.1</v>
      </c>
      <c r="Z5" s="275">
        <f t="shared" si="7"/>
        <v>0</v>
      </c>
      <c r="AA5" s="276"/>
      <c r="AB5" s="296">
        <v>0.05</v>
      </c>
      <c r="AC5" s="275">
        <f t="shared" si="8"/>
        <v>0</v>
      </c>
      <c r="AD5" s="275">
        <v>2500</v>
      </c>
      <c r="AE5" s="275"/>
      <c r="AF5" s="275">
        <f t="shared" si="9"/>
        <v>21881</v>
      </c>
      <c r="AG5" s="303" t="s">
        <v>29</v>
      </c>
      <c r="AH5" s="304">
        <v>7</v>
      </c>
      <c r="AI5" s="275">
        <v>7</v>
      </c>
      <c r="AJ5" s="275">
        <v>1400</v>
      </c>
      <c r="AK5" s="305"/>
      <c r="AL5" s="306"/>
    </row>
    <row r="6" s="254" customFormat="1" ht="18" customHeight="1" spans="1:38">
      <c r="A6" s="270">
        <v>4</v>
      </c>
      <c r="B6" s="271" t="s">
        <v>30</v>
      </c>
      <c r="C6" s="271" t="s">
        <v>30</v>
      </c>
      <c r="D6" s="272">
        <f t="shared" si="0"/>
        <v>60590</v>
      </c>
      <c r="E6" s="273">
        <v>60590</v>
      </c>
      <c r="F6" s="274">
        <v>0.25</v>
      </c>
      <c r="G6" s="275">
        <f t="shared" si="1"/>
        <v>15148</v>
      </c>
      <c r="H6" s="276"/>
      <c r="I6" s="287">
        <v>0</v>
      </c>
      <c r="J6" s="288">
        <f t="shared" si="2"/>
        <v>0</v>
      </c>
      <c r="K6" s="276">
        <v>52089</v>
      </c>
      <c r="L6" s="287">
        <v>0.05</v>
      </c>
      <c r="M6" s="288">
        <f t="shared" si="3"/>
        <v>2604</v>
      </c>
      <c r="N6" s="276"/>
      <c r="O6" s="289">
        <f t="shared" si="10"/>
        <v>0</v>
      </c>
      <c r="P6" s="287"/>
      <c r="Q6" s="275">
        <f t="shared" si="4"/>
        <v>0</v>
      </c>
      <c r="R6" s="276"/>
      <c r="S6" s="296">
        <v>0.05</v>
      </c>
      <c r="T6" s="275">
        <f t="shared" si="5"/>
        <v>0</v>
      </c>
      <c r="U6" s="276"/>
      <c r="V6" s="296">
        <v>0.15</v>
      </c>
      <c r="W6" s="275">
        <f t="shared" si="6"/>
        <v>0</v>
      </c>
      <c r="X6" s="276"/>
      <c r="Y6" s="296">
        <v>0.1</v>
      </c>
      <c r="Z6" s="275">
        <f t="shared" si="7"/>
        <v>0</v>
      </c>
      <c r="AA6" s="276"/>
      <c r="AB6" s="296">
        <v>0.05</v>
      </c>
      <c r="AC6" s="275">
        <f t="shared" si="8"/>
        <v>0</v>
      </c>
      <c r="AD6" s="275">
        <v>2500</v>
      </c>
      <c r="AE6" s="275"/>
      <c r="AF6" s="275">
        <f t="shared" si="9"/>
        <v>20252</v>
      </c>
      <c r="AG6" s="303" t="s">
        <v>31</v>
      </c>
      <c r="AH6" s="303"/>
      <c r="AI6" s="275"/>
      <c r="AJ6" s="275"/>
      <c r="AK6" s="305"/>
      <c r="AL6" s="306"/>
    </row>
    <row r="7" s="254" customFormat="1" ht="18" customHeight="1" spans="1:38">
      <c r="A7" s="270">
        <v>5</v>
      </c>
      <c r="B7" s="271" t="s">
        <v>32</v>
      </c>
      <c r="C7" s="271" t="s">
        <v>33</v>
      </c>
      <c r="D7" s="272">
        <f t="shared" si="0"/>
        <v>60084</v>
      </c>
      <c r="E7" s="273">
        <v>60084</v>
      </c>
      <c r="F7" s="274">
        <v>0.25</v>
      </c>
      <c r="G7" s="275">
        <f t="shared" si="1"/>
        <v>15021</v>
      </c>
      <c r="H7" s="276"/>
      <c r="I7" s="287">
        <v>0</v>
      </c>
      <c r="J7" s="288">
        <f t="shared" si="2"/>
        <v>0</v>
      </c>
      <c r="K7" s="276">
        <v>52250</v>
      </c>
      <c r="L7" s="287">
        <v>0.05</v>
      </c>
      <c r="M7" s="288">
        <f t="shared" si="3"/>
        <v>2613</v>
      </c>
      <c r="N7" s="276"/>
      <c r="O7" s="289">
        <f t="shared" si="10"/>
        <v>0</v>
      </c>
      <c r="P7" s="287"/>
      <c r="Q7" s="275">
        <f t="shared" si="4"/>
        <v>0</v>
      </c>
      <c r="R7" s="276"/>
      <c r="S7" s="296">
        <v>0.05</v>
      </c>
      <c r="T7" s="275">
        <f t="shared" si="5"/>
        <v>0</v>
      </c>
      <c r="U7" s="276"/>
      <c r="V7" s="296">
        <v>0.15</v>
      </c>
      <c r="W7" s="275">
        <f t="shared" si="6"/>
        <v>0</v>
      </c>
      <c r="X7" s="276"/>
      <c r="Y7" s="296">
        <v>0.1</v>
      </c>
      <c r="Z7" s="275">
        <f t="shared" si="7"/>
        <v>0</v>
      </c>
      <c r="AA7" s="276"/>
      <c r="AB7" s="296">
        <v>0.05</v>
      </c>
      <c r="AC7" s="275">
        <f t="shared" si="8"/>
        <v>0</v>
      </c>
      <c r="AD7" s="275">
        <v>2500</v>
      </c>
      <c r="AE7" s="275"/>
      <c r="AF7" s="275">
        <f t="shared" si="9"/>
        <v>20134</v>
      </c>
      <c r="AG7" s="303" t="s">
        <v>34</v>
      </c>
      <c r="AH7" s="304">
        <v>4</v>
      </c>
      <c r="AI7" s="275">
        <v>4</v>
      </c>
      <c r="AJ7" s="275">
        <v>800</v>
      </c>
      <c r="AK7" s="305"/>
      <c r="AL7" s="306"/>
    </row>
    <row r="8" s="254" customFormat="1" ht="18" customHeight="1" spans="1:38">
      <c r="A8" s="270">
        <v>6</v>
      </c>
      <c r="B8" s="271" t="s">
        <v>35</v>
      </c>
      <c r="C8" s="278" t="s">
        <v>36</v>
      </c>
      <c r="D8" s="272">
        <f t="shared" si="0"/>
        <v>49105.26</v>
      </c>
      <c r="E8" s="273">
        <v>42202</v>
      </c>
      <c r="F8" s="274">
        <v>0.25</v>
      </c>
      <c r="G8" s="275">
        <f t="shared" si="1"/>
        <v>10551</v>
      </c>
      <c r="H8" s="276"/>
      <c r="I8" s="287">
        <v>0</v>
      </c>
      <c r="J8" s="288">
        <f t="shared" si="2"/>
        <v>0</v>
      </c>
      <c r="K8" s="276">
        <v>36005</v>
      </c>
      <c r="L8" s="287">
        <v>0.05</v>
      </c>
      <c r="M8" s="288">
        <f t="shared" si="3"/>
        <v>1800</v>
      </c>
      <c r="N8" s="276">
        <v>7586</v>
      </c>
      <c r="O8" s="289">
        <f>N8*0.91</f>
        <v>6903.26</v>
      </c>
      <c r="P8" s="287">
        <v>0</v>
      </c>
      <c r="Q8" s="275">
        <f t="shared" si="4"/>
        <v>0</v>
      </c>
      <c r="R8" s="276"/>
      <c r="S8" s="296">
        <v>0.05</v>
      </c>
      <c r="T8" s="275">
        <f t="shared" si="5"/>
        <v>0</v>
      </c>
      <c r="U8" s="276"/>
      <c r="V8" s="296">
        <v>0.15</v>
      </c>
      <c r="W8" s="275">
        <f t="shared" si="6"/>
        <v>0</v>
      </c>
      <c r="X8" s="276"/>
      <c r="Y8" s="296">
        <v>0.1</v>
      </c>
      <c r="Z8" s="275">
        <f t="shared" si="7"/>
        <v>0</v>
      </c>
      <c r="AA8" s="276"/>
      <c r="AB8" s="296">
        <v>0.05</v>
      </c>
      <c r="AC8" s="275">
        <f t="shared" si="8"/>
        <v>0</v>
      </c>
      <c r="AD8" s="275"/>
      <c r="AE8" s="275"/>
      <c r="AF8" s="275">
        <f t="shared" si="9"/>
        <v>12351</v>
      </c>
      <c r="AG8" s="307" t="s">
        <v>37</v>
      </c>
      <c r="AH8" s="304">
        <v>7</v>
      </c>
      <c r="AI8" s="275">
        <v>4</v>
      </c>
      <c r="AJ8" s="275">
        <v>-300</v>
      </c>
      <c r="AK8" s="308" t="s">
        <v>38</v>
      </c>
      <c r="AL8" s="306"/>
    </row>
    <row r="9" s="254" customFormat="1" ht="18" customHeight="1" spans="1:38">
      <c r="A9" s="270">
        <v>7</v>
      </c>
      <c r="B9" s="271" t="s">
        <v>39</v>
      </c>
      <c r="C9" s="271" t="s">
        <v>40</v>
      </c>
      <c r="D9" s="272">
        <f t="shared" si="0"/>
        <v>49689</v>
      </c>
      <c r="E9" s="273">
        <v>48301</v>
      </c>
      <c r="F9" s="274">
        <v>0.25</v>
      </c>
      <c r="G9" s="275">
        <f t="shared" si="1"/>
        <v>12075</v>
      </c>
      <c r="H9" s="277">
        <f>398+990</f>
        <v>1388</v>
      </c>
      <c r="I9" s="287">
        <v>0</v>
      </c>
      <c r="J9" s="288">
        <f t="shared" si="2"/>
        <v>0</v>
      </c>
      <c r="K9" s="276">
        <v>39708</v>
      </c>
      <c r="L9" s="287">
        <v>0.05</v>
      </c>
      <c r="M9" s="288">
        <f t="shared" si="3"/>
        <v>1985</v>
      </c>
      <c r="N9" s="276"/>
      <c r="O9" s="289">
        <f>N9*0.77</f>
        <v>0</v>
      </c>
      <c r="P9" s="287"/>
      <c r="Q9" s="275">
        <f t="shared" si="4"/>
        <v>0</v>
      </c>
      <c r="R9" s="276"/>
      <c r="S9" s="296">
        <v>0.05</v>
      </c>
      <c r="T9" s="275">
        <f t="shared" si="5"/>
        <v>0</v>
      </c>
      <c r="U9" s="276"/>
      <c r="V9" s="296">
        <v>0.15</v>
      </c>
      <c r="W9" s="275">
        <f t="shared" si="6"/>
        <v>0</v>
      </c>
      <c r="X9" s="276"/>
      <c r="Y9" s="296">
        <v>0.1</v>
      </c>
      <c r="Z9" s="275">
        <f t="shared" si="7"/>
        <v>0</v>
      </c>
      <c r="AA9" s="276"/>
      <c r="AB9" s="296">
        <v>0.05</v>
      </c>
      <c r="AC9" s="275">
        <f t="shared" si="8"/>
        <v>0</v>
      </c>
      <c r="AD9" s="275"/>
      <c r="AE9" s="275"/>
      <c r="AF9" s="275">
        <f t="shared" si="9"/>
        <v>14060</v>
      </c>
      <c r="AG9" s="303" t="s">
        <v>41</v>
      </c>
      <c r="AH9" s="304">
        <v>6</v>
      </c>
      <c r="AI9" s="275">
        <v>4</v>
      </c>
      <c r="AJ9" s="275">
        <v>-400</v>
      </c>
      <c r="AK9" s="305"/>
      <c r="AL9" s="306"/>
    </row>
    <row r="10" s="254" customFormat="1" ht="18" customHeight="1" spans="1:38">
      <c r="A10" s="270">
        <v>8</v>
      </c>
      <c r="B10" s="271" t="s">
        <v>42</v>
      </c>
      <c r="C10" s="271" t="s">
        <v>43</v>
      </c>
      <c r="D10" s="272">
        <f t="shared" si="0"/>
        <v>47176</v>
      </c>
      <c r="E10" s="273">
        <v>46778</v>
      </c>
      <c r="F10" s="274">
        <v>0.25</v>
      </c>
      <c r="G10" s="275">
        <f t="shared" si="1"/>
        <v>11695</v>
      </c>
      <c r="H10" s="276">
        <v>398</v>
      </c>
      <c r="I10" s="287">
        <v>0</v>
      </c>
      <c r="J10" s="288">
        <f t="shared" si="2"/>
        <v>0</v>
      </c>
      <c r="K10" s="276">
        <v>39493</v>
      </c>
      <c r="L10" s="287">
        <v>0.05</v>
      </c>
      <c r="M10" s="288">
        <f t="shared" si="3"/>
        <v>1975</v>
      </c>
      <c r="N10" s="276"/>
      <c r="O10" s="289">
        <f t="shared" ref="O10:O15" si="11">N10*0.83</f>
        <v>0</v>
      </c>
      <c r="P10" s="287"/>
      <c r="Q10" s="275">
        <f t="shared" si="4"/>
        <v>0</v>
      </c>
      <c r="R10" s="276"/>
      <c r="S10" s="296">
        <v>0.05</v>
      </c>
      <c r="T10" s="275">
        <f t="shared" si="5"/>
        <v>0</v>
      </c>
      <c r="U10" s="276"/>
      <c r="V10" s="296">
        <v>0.15</v>
      </c>
      <c r="W10" s="275">
        <f t="shared" si="6"/>
        <v>0</v>
      </c>
      <c r="X10" s="276"/>
      <c r="Y10" s="296">
        <v>0.1</v>
      </c>
      <c r="Z10" s="275">
        <f t="shared" si="7"/>
        <v>0</v>
      </c>
      <c r="AA10" s="276"/>
      <c r="AB10" s="296">
        <v>0.05</v>
      </c>
      <c r="AC10" s="275">
        <f t="shared" si="8"/>
        <v>0</v>
      </c>
      <c r="AD10" s="275"/>
      <c r="AE10" s="275"/>
      <c r="AF10" s="275">
        <f t="shared" si="9"/>
        <v>13670</v>
      </c>
      <c r="AG10" s="303" t="s">
        <v>44</v>
      </c>
      <c r="AH10" s="304" t="s">
        <v>45</v>
      </c>
      <c r="AI10" s="275">
        <v>3</v>
      </c>
      <c r="AJ10" s="275">
        <v>-200</v>
      </c>
      <c r="AK10" s="305"/>
      <c r="AL10" s="306"/>
    </row>
    <row r="11" s="254" customFormat="1" ht="18" customHeight="1" spans="1:38">
      <c r="A11" s="270">
        <v>9</v>
      </c>
      <c r="B11" s="271" t="s">
        <v>46</v>
      </c>
      <c r="C11" s="271" t="s">
        <v>46</v>
      </c>
      <c r="D11" s="272">
        <f t="shared" si="0"/>
        <v>40403</v>
      </c>
      <c r="E11" s="273">
        <v>40403</v>
      </c>
      <c r="F11" s="274">
        <v>0.25</v>
      </c>
      <c r="G11" s="275">
        <f t="shared" si="1"/>
        <v>10101</v>
      </c>
      <c r="H11" s="276"/>
      <c r="I11" s="287">
        <v>0</v>
      </c>
      <c r="J11" s="288">
        <f t="shared" si="2"/>
        <v>0</v>
      </c>
      <c r="K11" s="276">
        <v>33297</v>
      </c>
      <c r="L11" s="287">
        <v>0.05</v>
      </c>
      <c r="M11" s="288">
        <f t="shared" si="3"/>
        <v>1665</v>
      </c>
      <c r="N11" s="276"/>
      <c r="O11" s="289">
        <f t="shared" si="11"/>
        <v>0</v>
      </c>
      <c r="P11" s="287"/>
      <c r="Q11" s="275">
        <f t="shared" si="4"/>
        <v>0</v>
      </c>
      <c r="R11" s="276"/>
      <c r="S11" s="296">
        <v>0.05</v>
      </c>
      <c r="T11" s="275">
        <f t="shared" si="5"/>
        <v>0</v>
      </c>
      <c r="U11" s="276"/>
      <c r="V11" s="296">
        <v>0.15</v>
      </c>
      <c r="W11" s="275">
        <f t="shared" si="6"/>
        <v>0</v>
      </c>
      <c r="X11" s="276"/>
      <c r="Y11" s="296">
        <v>0.05</v>
      </c>
      <c r="Z11" s="275">
        <f t="shared" si="7"/>
        <v>0</v>
      </c>
      <c r="AA11" s="276"/>
      <c r="AB11" s="296">
        <v>0.05</v>
      </c>
      <c r="AC11" s="275">
        <f t="shared" si="8"/>
        <v>0</v>
      </c>
      <c r="AD11" s="275"/>
      <c r="AE11" s="275"/>
      <c r="AF11" s="275">
        <f t="shared" si="9"/>
        <v>11766</v>
      </c>
      <c r="AG11" s="303" t="s">
        <v>47</v>
      </c>
      <c r="AH11" s="304" t="s">
        <v>48</v>
      </c>
      <c r="AI11" s="275">
        <v>1</v>
      </c>
      <c r="AJ11" s="275">
        <v>-200</v>
      </c>
      <c r="AK11" s="305"/>
      <c r="AL11" s="306"/>
    </row>
    <row r="12" s="254" customFormat="1" ht="18" customHeight="1" spans="1:38">
      <c r="A12" s="270">
        <v>10</v>
      </c>
      <c r="B12" s="271" t="s">
        <v>49</v>
      </c>
      <c r="C12" s="271" t="s">
        <v>50</v>
      </c>
      <c r="D12" s="272">
        <f t="shared" si="0"/>
        <v>36651</v>
      </c>
      <c r="E12" s="273">
        <v>35501</v>
      </c>
      <c r="F12" s="274">
        <v>0.25</v>
      </c>
      <c r="G12" s="275">
        <f t="shared" si="1"/>
        <v>8875</v>
      </c>
      <c r="H12" s="277">
        <v>1150</v>
      </c>
      <c r="I12" s="287">
        <v>0</v>
      </c>
      <c r="J12" s="288">
        <f t="shared" si="2"/>
        <v>0</v>
      </c>
      <c r="K12" s="276">
        <v>29992</v>
      </c>
      <c r="L12" s="287">
        <v>0.05</v>
      </c>
      <c r="M12" s="288">
        <f t="shared" si="3"/>
        <v>1500</v>
      </c>
      <c r="N12" s="276"/>
      <c r="O12" s="289">
        <f t="shared" si="11"/>
        <v>0</v>
      </c>
      <c r="P12" s="287"/>
      <c r="Q12" s="275">
        <f t="shared" si="4"/>
        <v>0</v>
      </c>
      <c r="R12" s="276"/>
      <c r="S12" s="296">
        <v>0.05</v>
      </c>
      <c r="T12" s="275">
        <f t="shared" si="5"/>
        <v>0</v>
      </c>
      <c r="U12" s="276"/>
      <c r="V12" s="296">
        <v>0.15</v>
      </c>
      <c r="W12" s="275">
        <f t="shared" si="6"/>
        <v>0</v>
      </c>
      <c r="X12" s="276"/>
      <c r="Y12" s="296">
        <v>0.1</v>
      </c>
      <c r="Z12" s="275">
        <f t="shared" si="7"/>
        <v>0</v>
      </c>
      <c r="AA12" s="276"/>
      <c r="AB12" s="296">
        <v>0.1</v>
      </c>
      <c r="AC12" s="275">
        <f t="shared" si="8"/>
        <v>0</v>
      </c>
      <c r="AD12" s="275"/>
      <c r="AE12" s="275"/>
      <c r="AF12" s="275">
        <f t="shared" si="9"/>
        <v>10375</v>
      </c>
      <c r="AG12" s="303" t="s">
        <v>51</v>
      </c>
      <c r="AH12" s="304" t="s">
        <v>48</v>
      </c>
      <c r="AI12" s="275">
        <v>1</v>
      </c>
      <c r="AJ12" s="275">
        <v>-200</v>
      </c>
      <c r="AK12" s="305"/>
      <c r="AL12" s="306" t="s">
        <v>52</v>
      </c>
    </row>
    <row r="13" s="254" customFormat="1" ht="18" customHeight="1" spans="1:38">
      <c r="A13" s="270">
        <v>11</v>
      </c>
      <c r="B13" s="271" t="s">
        <v>53</v>
      </c>
      <c r="C13" s="271" t="s">
        <v>54</v>
      </c>
      <c r="D13" s="272">
        <f t="shared" si="0"/>
        <v>35542</v>
      </c>
      <c r="E13" s="273">
        <v>35542</v>
      </c>
      <c r="F13" s="274">
        <v>0.25</v>
      </c>
      <c r="G13" s="275">
        <f t="shared" si="1"/>
        <v>8886</v>
      </c>
      <c r="H13" s="276"/>
      <c r="I13" s="287">
        <v>0</v>
      </c>
      <c r="J13" s="288">
        <f t="shared" si="2"/>
        <v>0</v>
      </c>
      <c r="K13" s="276">
        <v>29042</v>
      </c>
      <c r="L13" s="287">
        <v>0.05</v>
      </c>
      <c r="M13" s="288">
        <f t="shared" si="3"/>
        <v>1452</v>
      </c>
      <c r="N13" s="276"/>
      <c r="O13" s="289">
        <f t="shared" si="11"/>
        <v>0</v>
      </c>
      <c r="P13" s="287"/>
      <c r="Q13" s="275">
        <f t="shared" si="4"/>
        <v>0</v>
      </c>
      <c r="R13" s="276"/>
      <c r="S13" s="296">
        <v>0.05</v>
      </c>
      <c r="T13" s="275">
        <f t="shared" si="5"/>
        <v>0</v>
      </c>
      <c r="U13" s="276"/>
      <c r="V13" s="296">
        <v>0.2</v>
      </c>
      <c r="W13" s="275">
        <f t="shared" si="6"/>
        <v>0</v>
      </c>
      <c r="X13" s="276"/>
      <c r="Y13" s="296">
        <v>0.2</v>
      </c>
      <c r="Z13" s="275">
        <f t="shared" si="7"/>
        <v>0</v>
      </c>
      <c r="AA13" s="276"/>
      <c r="AB13" s="296">
        <v>0.2</v>
      </c>
      <c r="AC13" s="275">
        <f t="shared" si="8"/>
        <v>0</v>
      </c>
      <c r="AD13" s="275"/>
      <c r="AE13" s="275"/>
      <c r="AF13" s="275">
        <f t="shared" si="9"/>
        <v>10338</v>
      </c>
      <c r="AG13" s="303" t="s">
        <v>55</v>
      </c>
      <c r="AH13" s="303"/>
      <c r="AI13" s="275"/>
      <c r="AJ13" s="275"/>
      <c r="AK13" s="305"/>
      <c r="AL13" s="306"/>
    </row>
    <row r="14" s="254" customFormat="1" ht="18" customHeight="1" spans="1:38">
      <c r="A14" s="270">
        <v>12</v>
      </c>
      <c r="B14" s="271" t="s">
        <v>56</v>
      </c>
      <c r="C14" s="271" t="s">
        <v>57</v>
      </c>
      <c r="D14" s="272">
        <f t="shared" si="0"/>
        <v>34346</v>
      </c>
      <c r="E14" s="273">
        <v>34346</v>
      </c>
      <c r="F14" s="274">
        <v>0.25</v>
      </c>
      <c r="G14" s="275">
        <f t="shared" si="1"/>
        <v>8587</v>
      </c>
      <c r="H14" s="276"/>
      <c r="I14" s="287">
        <v>0</v>
      </c>
      <c r="J14" s="288">
        <f t="shared" si="2"/>
        <v>0</v>
      </c>
      <c r="K14" s="276">
        <v>29042</v>
      </c>
      <c r="L14" s="287">
        <v>0.05</v>
      </c>
      <c r="M14" s="288">
        <f t="shared" si="3"/>
        <v>1452</v>
      </c>
      <c r="N14" s="276"/>
      <c r="O14" s="289">
        <f t="shared" si="11"/>
        <v>0</v>
      </c>
      <c r="P14" s="287"/>
      <c r="Q14" s="275">
        <f t="shared" si="4"/>
        <v>0</v>
      </c>
      <c r="R14" s="276"/>
      <c r="S14" s="296">
        <v>0.05</v>
      </c>
      <c r="T14" s="275">
        <f t="shared" si="5"/>
        <v>0</v>
      </c>
      <c r="U14" s="276"/>
      <c r="V14" s="296">
        <v>0.15</v>
      </c>
      <c r="W14" s="275">
        <f t="shared" si="6"/>
        <v>0</v>
      </c>
      <c r="X14" s="276"/>
      <c r="Y14" s="296">
        <v>0.1</v>
      </c>
      <c r="Z14" s="275">
        <f t="shared" si="7"/>
        <v>0</v>
      </c>
      <c r="AA14" s="276"/>
      <c r="AB14" s="296">
        <v>0.05</v>
      </c>
      <c r="AC14" s="275">
        <f t="shared" si="8"/>
        <v>0</v>
      </c>
      <c r="AD14" s="275"/>
      <c r="AE14" s="275"/>
      <c r="AF14" s="275">
        <f t="shared" si="9"/>
        <v>10039</v>
      </c>
      <c r="AG14" s="303" t="s">
        <v>58</v>
      </c>
      <c r="AH14" s="304" t="s">
        <v>59</v>
      </c>
      <c r="AI14" s="275">
        <v>2</v>
      </c>
      <c r="AJ14" s="275">
        <v>-200</v>
      </c>
      <c r="AK14" s="305"/>
      <c r="AL14" s="306"/>
    </row>
    <row r="15" s="254" customFormat="1" ht="18" customHeight="1" spans="1:38">
      <c r="A15" s="270">
        <v>13</v>
      </c>
      <c r="B15" s="271" t="s">
        <v>60</v>
      </c>
      <c r="C15" s="271" t="s">
        <v>61</v>
      </c>
      <c r="D15" s="272">
        <f t="shared" si="0"/>
        <v>33615</v>
      </c>
      <c r="E15" s="273">
        <v>33615</v>
      </c>
      <c r="F15" s="274">
        <v>0.25</v>
      </c>
      <c r="G15" s="275">
        <f t="shared" si="1"/>
        <v>8404</v>
      </c>
      <c r="H15" s="276"/>
      <c r="I15" s="287">
        <v>0</v>
      </c>
      <c r="J15" s="288">
        <f t="shared" si="2"/>
        <v>0</v>
      </c>
      <c r="K15" s="276">
        <v>27092</v>
      </c>
      <c r="L15" s="287">
        <v>0.05</v>
      </c>
      <c r="M15" s="288">
        <f t="shared" si="3"/>
        <v>1355</v>
      </c>
      <c r="N15" s="276"/>
      <c r="O15" s="289">
        <f t="shared" si="11"/>
        <v>0</v>
      </c>
      <c r="P15" s="287"/>
      <c r="Q15" s="275">
        <f t="shared" si="4"/>
        <v>0</v>
      </c>
      <c r="R15" s="276"/>
      <c r="S15" s="296">
        <v>0.05</v>
      </c>
      <c r="T15" s="275">
        <f t="shared" si="5"/>
        <v>0</v>
      </c>
      <c r="U15" s="276"/>
      <c r="V15" s="296">
        <v>0.15</v>
      </c>
      <c r="W15" s="275">
        <f t="shared" si="6"/>
        <v>0</v>
      </c>
      <c r="X15" s="276"/>
      <c r="Y15" s="296">
        <v>0.1</v>
      </c>
      <c r="Z15" s="275">
        <f t="shared" si="7"/>
        <v>0</v>
      </c>
      <c r="AA15" s="276"/>
      <c r="AB15" s="296">
        <v>0.05</v>
      </c>
      <c r="AC15" s="275">
        <f t="shared" si="8"/>
        <v>0</v>
      </c>
      <c r="AD15" s="275"/>
      <c r="AE15" s="275"/>
      <c r="AF15" s="275">
        <f t="shared" si="9"/>
        <v>9759</v>
      </c>
      <c r="AG15" s="303" t="s">
        <v>62</v>
      </c>
      <c r="AH15" s="304" t="s">
        <v>48</v>
      </c>
      <c r="AI15" s="309">
        <v>8</v>
      </c>
      <c r="AJ15" s="309">
        <v>3100</v>
      </c>
      <c r="AK15" s="305"/>
      <c r="AL15" s="306" t="s">
        <v>63</v>
      </c>
    </row>
    <row r="16" s="254" customFormat="1" ht="18" customHeight="1" spans="1:38">
      <c r="A16" s="270">
        <v>14</v>
      </c>
      <c r="B16" s="271" t="s">
        <v>64</v>
      </c>
      <c r="C16" s="271" t="s">
        <v>65</v>
      </c>
      <c r="D16" s="272">
        <f t="shared" si="0"/>
        <v>30167</v>
      </c>
      <c r="E16" s="273">
        <v>29371</v>
      </c>
      <c r="F16" s="274">
        <v>0.25</v>
      </c>
      <c r="G16" s="275">
        <f t="shared" si="1"/>
        <v>7343</v>
      </c>
      <c r="H16" s="276">
        <v>796</v>
      </c>
      <c r="I16" s="287">
        <v>0</v>
      </c>
      <c r="J16" s="288">
        <f t="shared" si="2"/>
        <v>0</v>
      </c>
      <c r="K16" s="276">
        <v>24507</v>
      </c>
      <c r="L16" s="287">
        <v>0.05</v>
      </c>
      <c r="M16" s="288">
        <f t="shared" si="3"/>
        <v>1225</v>
      </c>
      <c r="N16" s="276"/>
      <c r="O16" s="289">
        <f>N16*0.77</f>
        <v>0</v>
      </c>
      <c r="P16" s="287"/>
      <c r="Q16" s="275">
        <f t="shared" si="4"/>
        <v>0</v>
      </c>
      <c r="R16" s="276"/>
      <c r="S16" s="296">
        <v>0.05</v>
      </c>
      <c r="T16" s="275">
        <f t="shared" si="5"/>
        <v>0</v>
      </c>
      <c r="U16" s="276"/>
      <c r="V16" s="296">
        <v>0.15</v>
      </c>
      <c r="W16" s="275">
        <f t="shared" si="6"/>
        <v>0</v>
      </c>
      <c r="X16" s="276"/>
      <c r="Y16" s="296">
        <v>0.1</v>
      </c>
      <c r="Z16" s="275">
        <f t="shared" si="7"/>
        <v>0</v>
      </c>
      <c r="AA16" s="276"/>
      <c r="AB16" s="296">
        <v>0.05</v>
      </c>
      <c r="AC16" s="275">
        <f t="shared" si="8"/>
        <v>0</v>
      </c>
      <c r="AD16" s="275"/>
      <c r="AE16" s="275"/>
      <c r="AF16" s="275">
        <f t="shared" si="9"/>
        <v>8568</v>
      </c>
      <c r="AG16" s="303" t="s">
        <v>66</v>
      </c>
      <c r="AH16" s="304" t="s">
        <v>59</v>
      </c>
      <c r="AI16" s="275">
        <v>1</v>
      </c>
      <c r="AJ16" s="275">
        <v>-400</v>
      </c>
      <c r="AK16" s="305"/>
      <c r="AL16" s="306"/>
    </row>
    <row r="17" s="254" customFormat="1" ht="18" customHeight="1" spans="1:38">
      <c r="A17" s="270">
        <v>15</v>
      </c>
      <c r="B17" s="271" t="s">
        <v>67</v>
      </c>
      <c r="C17" s="271" t="s">
        <v>68</v>
      </c>
      <c r="D17" s="272">
        <f t="shared" si="0"/>
        <v>30090</v>
      </c>
      <c r="E17" s="273">
        <v>19894</v>
      </c>
      <c r="F17" s="274">
        <v>0.25</v>
      </c>
      <c r="G17" s="275">
        <f t="shared" si="1"/>
        <v>4974</v>
      </c>
      <c r="H17" s="277">
        <v>10196</v>
      </c>
      <c r="I17" s="287">
        <v>0</v>
      </c>
      <c r="J17" s="288">
        <f t="shared" si="2"/>
        <v>0</v>
      </c>
      <c r="K17" s="276">
        <v>16040</v>
      </c>
      <c r="L17" s="287">
        <v>0.05</v>
      </c>
      <c r="M17" s="288">
        <f t="shared" si="3"/>
        <v>802</v>
      </c>
      <c r="N17" s="276"/>
      <c r="O17" s="289">
        <f t="shared" ref="O17:O23" si="12">N17*0.83</f>
        <v>0</v>
      </c>
      <c r="P17" s="287"/>
      <c r="Q17" s="275">
        <f t="shared" si="4"/>
        <v>0</v>
      </c>
      <c r="R17" s="276"/>
      <c r="S17" s="296">
        <v>0.05</v>
      </c>
      <c r="T17" s="275">
        <f t="shared" si="5"/>
        <v>0</v>
      </c>
      <c r="U17" s="276"/>
      <c r="V17" s="296">
        <v>0.15</v>
      </c>
      <c r="W17" s="275">
        <f t="shared" si="6"/>
        <v>0</v>
      </c>
      <c r="X17" s="276"/>
      <c r="Y17" s="296">
        <v>0.1</v>
      </c>
      <c r="Z17" s="275">
        <f t="shared" si="7"/>
        <v>0</v>
      </c>
      <c r="AA17" s="276"/>
      <c r="AB17" s="296">
        <v>0.05</v>
      </c>
      <c r="AC17" s="275">
        <f t="shared" si="8"/>
        <v>0</v>
      </c>
      <c r="AD17" s="275"/>
      <c r="AE17" s="275"/>
      <c r="AF17" s="275">
        <f t="shared" si="9"/>
        <v>5776</v>
      </c>
      <c r="AG17" s="303" t="s">
        <v>69</v>
      </c>
      <c r="AH17" s="304" t="s">
        <v>48</v>
      </c>
      <c r="AI17" s="309">
        <v>7</v>
      </c>
      <c r="AJ17" s="309">
        <v>2600</v>
      </c>
      <c r="AK17" s="305"/>
      <c r="AL17" s="306" t="s">
        <v>70</v>
      </c>
    </row>
    <row r="18" s="254" customFormat="1" ht="18" customHeight="1" spans="1:38">
      <c r="A18" s="270">
        <v>16</v>
      </c>
      <c r="B18" s="271" t="s">
        <v>71</v>
      </c>
      <c r="C18" s="271" t="s">
        <v>72</v>
      </c>
      <c r="D18" s="272">
        <f t="shared" si="0"/>
        <v>29980</v>
      </c>
      <c r="E18" s="273">
        <v>29980</v>
      </c>
      <c r="F18" s="274">
        <v>0.25</v>
      </c>
      <c r="G18" s="275">
        <f t="shared" si="1"/>
        <v>7495</v>
      </c>
      <c r="H18" s="276"/>
      <c r="I18" s="287">
        <v>0</v>
      </c>
      <c r="J18" s="288">
        <f t="shared" si="2"/>
        <v>0</v>
      </c>
      <c r="K18" s="276"/>
      <c r="L18" s="287"/>
      <c r="M18" s="288">
        <f t="shared" si="3"/>
        <v>0</v>
      </c>
      <c r="N18" s="276"/>
      <c r="O18" s="289">
        <f>N18*0.77</f>
        <v>0</v>
      </c>
      <c r="P18" s="287"/>
      <c r="Q18" s="275">
        <f t="shared" si="4"/>
        <v>0</v>
      </c>
      <c r="R18" s="276"/>
      <c r="S18" s="296">
        <v>0.05</v>
      </c>
      <c r="T18" s="275">
        <f t="shared" si="5"/>
        <v>0</v>
      </c>
      <c r="U18" s="276"/>
      <c r="V18" s="296">
        <v>0.15</v>
      </c>
      <c r="W18" s="275">
        <f t="shared" si="6"/>
        <v>0</v>
      </c>
      <c r="X18" s="276"/>
      <c r="Y18" s="296">
        <v>0.1</v>
      </c>
      <c r="Z18" s="275">
        <f t="shared" si="7"/>
        <v>0</v>
      </c>
      <c r="AA18" s="276"/>
      <c r="AB18" s="296">
        <v>0.05</v>
      </c>
      <c r="AC18" s="275">
        <f t="shared" si="8"/>
        <v>0</v>
      </c>
      <c r="AD18" s="275"/>
      <c r="AE18" s="275"/>
      <c r="AF18" s="275">
        <f t="shared" si="9"/>
        <v>7495</v>
      </c>
      <c r="AG18" s="303" t="s">
        <v>73</v>
      </c>
      <c r="AH18" s="303"/>
      <c r="AI18" s="275"/>
      <c r="AJ18" s="275"/>
      <c r="AK18" s="305"/>
      <c r="AL18" s="306" t="s">
        <v>74</v>
      </c>
    </row>
    <row r="19" s="254" customFormat="1" ht="18" customHeight="1" spans="1:38">
      <c r="A19" s="270">
        <v>17</v>
      </c>
      <c r="B19" s="271" t="s">
        <v>75</v>
      </c>
      <c r="C19" s="271" t="s">
        <v>76</v>
      </c>
      <c r="D19" s="272">
        <f t="shared" si="0"/>
        <v>25968</v>
      </c>
      <c r="E19" s="273">
        <v>25968</v>
      </c>
      <c r="F19" s="274">
        <v>0.25</v>
      </c>
      <c r="G19" s="275">
        <f t="shared" si="1"/>
        <v>6492</v>
      </c>
      <c r="H19" s="276"/>
      <c r="I19" s="287">
        <v>0</v>
      </c>
      <c r="J19" s="288">
        <f t="shared" si="2"/>
        <v>0</v>
      </c>
      <c r="K19" s="276"/>
      <c r="L19" s="287"/>
      <c r="M19" s="288">
        <f t="shared" si="3"/>
        <v>0</v>
      </c>
      <c r="N19" s="276"/>
      <c r="O19" s="289">
        <f t="shared" si="12"/>
        <v>0</v>
      </c>
      <c r="P19" s="287"/>
      <c r="Q19" s="275">
        <f t="shared" si="4"/>
        <v>0</v>
      </c>
      <c r="R19" s="276"/>
      <c r="S19" s="296">
        <v>0.05</v>
      </c>
      <c r="T19" s="275">
        <f t="shared" si="5"/>
        <v>0</v>
      </c>
      <c r="U19" s="276"/>
      <c r="V19" s="296">
        <v>0.15</v>
      </c>
      <c r="W19" s="275">
        <f t="shared" si="6"/>
        <v>0</v>
      </c>
      <c r="X19" s="276"/>
      <c r="Y19" s="296">
        <v>0.1</v>
      </c>
      <c r="Z19" s="275">
        <f t="shared" si="7"/>
        <v>0</v>
      </c>
      <c r="AA19" s="276"/>
      <c r="AB19" s="296">
        <v>0.05</v>
      </c>
      <c r="AC19" s="275">
        <f t="shared" si="8"/>
        <v>0</v>
      </c>
      <c r="AD19" s="275"/>
      <c r="AE19" s="275"/>
      <c r="AF19" s="275">
        <f t="shared" si="9"/>
        <v>6492</v>
      </c>
      <c r="AG19" s="303" t="s">
        <v>77</v>
      </c>
      <c r="AH19" s="304" t="s">
        <v>48</v>
      </c>
      <c r="AI19" s="275">
        <v>1</v>
      </c>
      <c r="AJ19" s="275">
        <v>-200</v>
      </c>
      <c r="AK19" s="305"/>
      <c r="AL19" s="306" t="s">
        <v>78</v>
      </c>
    </row>
    <row r="20" s="254" customFormat="1" ht="18" customHeight="1" spans="1:38">
      <c r="A20" s="270">
        <v>18</v>
      </c>
      <c r="B20" s="271" t="s">
        <v>79</v>
      </c>
      <c r="C20" s="271" t="s">
        <v>80</v>
      </c>
      <c r="D20" s="272">
        <f t="shared" si="0"/>
        <v>22826.8</v>
      </c>
      <c r="E20" s="273">
        <v>8335</v>
      </c>
      <c r="F20" s="274">
        <v>0.25</v>
      </c>
      <c r="G20" s="275">
        <f t="shared" si="1"/>
        <v>2084</v>
      </c>
      <c r="H20" s="276"/>
      <c r="I20" s="287">
        <v>0</v>
      </c>
      <c r="J20" s="288">
        <f t="shared" si="2"/>
        <v>0</v>
      </c>
      <c r="K20" s="276"/>
      <c r="L20" s="287"/>
      <c r="M20" s="288">
        <f t="shared" si="3"/>
        <v>0</v>
      </c>
      <c r="N20" s="276">
        <v>17460</v>
      </c>
      <c r="O20" s="289">
        <f t="shared" si="12"/>
        <v>14491.8</v>
      </c>
      <c r="P20" s="287">
        <v>0</v>
      </c>
      <c r="Q20" s="275">
        <f t="shared" si="4"/>
        <v>0</v>
      </c>
      <c r="R20" s="276"/>
      <c r="S20" s="296">
        <v>0.05</v>
      </c>
      <c r="T20" s="275">
        <f t="shared" si="5"/>
        <v>0</v>
      </c>
      <c r="U20" s="276"/>
      <c r="V20" s="296">
        <v>0.15</v>
      </c>
      <c r="W20" s="275">
        <f t="shared" si="6"/>
        <v>0</v>
      </c>
      <c r="X20" s="276"/>
      <c r="Y20" s="296">
        <v>0.1</v>
      </c>
      <c r="Z20" s="275">
        <f t="shared" si="7"/>
        <v>0</v>
      </c>
      <c r="AA20" s="276"/>
      <c r="AB20" s="296">
        <v>0.05</v>
      </c>
      <c r="AC20" s="275">
        <f t="shared" si="8"/>
        <v>0</v>
      </c>
      <c r="AD20" s="275"/>
      <c r="AE20" s="275"/>
      <c r="AF20" s="275">
        <f t="shared" si="9"/>
        <v>2084</v>
      </c>
      <c r="AG20" s="376" t="s">
        <v>81</v>
      </c>
      <c r="AH20" s="304">
        <v>3</v>
      </c>
      <c r="AI20" s="275"/>
      <c r="AJ20" s="275">
        <v>-600</v>
      </c>
      <c r="AK20" s="305"/>
      <c r="AL20" s="306"/>
    </row>
    <row r="21" s="254" customFormat="1" ht="18" customHeight="1" spans="1:38">
      <c r="A21" s="270">
        <v>19</v>
      </c>
      <c r="B21" s="271" t="s">
        <v>82</v>
      </c>
      <c r="C21" s="271" t="s">
        <v>83</v>
      </c>
      <c r="D21" s="272">
        <f t="shared" si="0"/>
        <v>23463</v>
      </c>
      <c r="E21" s="273">
        <v>18822</v>
      </c>
      <c r="F21" s="274">
        <v>0.25</v>
      </c>
      <c r="G21" s="275">
        <f t="shared" si="1"/>
        <v>4706</v>
      </c>
      <c r="H21" s="277">
        <v>4641</v>
      </c>
      <c r="I21" s="287">
        <v>0</v>
      </c>
      <c r="J21" s="288">
        <f t="shared" si="2"/>
        <v>0</v>
      </c>
      <c r="K21" s="276"/>
      <c r="L21" s="287"/>
      <c r="M21" s="288">
        <f t="shared" si="3"/>
        <v>0</v>
      </c>
      <c r="N21" s="276"/>
      <c r="O21" s="289">
        <f t="shared" si="12"/>
        <v>0</v>
      </c>
      <c r="P21" s="287"/>
      <c r="Q21" s="275">
        <f t="shared" si="4"/>
        <v>0</v>
      </c>
      <c r="R21" s="276"/>
      <c r="S21" s="296">
        <v>0.05</v>
      </c>
      <c r="T21" s="275">
        <f t="shared" si="5"/>
        <v>0</v>
      </c>
      <c r="U21" s="276"/>
      <c r="V21" s="296">
        <v>0.15</v>
      </c>
      <c r="W21" s="275">
        <f t="shared" si="6"/>
        <v>0</v>
      </c>
      <c r="X21" s="276"/>
      <c r="Y21" s="296">
        <v>0.1</v>
      </c>
      <c r="Z21" s="275">
        <f t="shared" si="7"/>
        <v>0</v>
      </c>
      <c r="AA21" s="276"/>
      <c r="AB21" s="296">
        <v>0.05</v>
      </c>
      <c r="AC21" s="275">
        <f t="shared" si="8"/>
        <v>0</v>
      </c>
      <c r="AD21" s="275"/>
      <c r="AE21" s="275"/>
      <c r="AF21" s="275">
        <f t="shared" si="9"/>
        <v>4706</v>
      </c>
      <c r="AG21" s="303" t="s">
        <v>84</v>
      </c>
      <c r="AH21" s="304" t="s">
        <v>45</v>
      </c>
      <c r="AI21" s="275">
        <v>1</v>
      </c>
      <c r="AJ21" s="275">
        <v>-600</v>
      </c>
      <c r="AK21" s="305"/>
      <c r="AL21" s="306"/>
    </row>
    <row r="22" s="254" customFormat="1" ht="18" customHeight="1" spans="1:38">
      <c r="A22" s="270">
        <v>20</v>
      </c>
      <c r="B22" s="271" t="s">
        <v>85</v>
      </c>
      <c r="C22" s="271" t="s">
        <v>85</v>
      </c>
      <c r="D22" s="272">
        <f t="shared" si="0"/>
        <v>21548</v>
      </c>
      <c r="E22" s="273">
        <v>21548</v>
      </c>
      <c r="F22" s="274">
        <v>0.25</v>
      </c>
      <c r="G22" s="275">
        <f t="shared" si="1"/>
        <v>5387</v>
      </c>
      <c r="H22" s="276"/>
      <c r="I22" s="287">
        <v>0</v>
      </c>
      <c r="J22" s="288">
        <f t="shared" si="2"/>
        <v>0</v>
      </c>
      <c r="K22" s="276"/>
      <c r="L22" s="287"/>
      <c r="M22" s="288">
        <f t="shared" si="3"/>
        <v>0</v>
      </c>
      <c r="N22" s="276"/>
      <c r="O22" s="289">
        <f t="shared" si="12"/>
        <v>0</v>
      </c>
      <c r="P22" s="287"/>
      <c r="Q22" s="275">
        <f t="shared" si="4"/>
        <v>0</v>
      </c>
      <c r="R22" s="276"/>
      <c r="S22" s="296">
        <v>0.05</v>
      </c>
      <c r="T22" s="275">
        <f t="shared" si="5"/>
        <v>0</v>
      </c>
      <c r="U22" s="276"/>
      <c r="V22" s="296">
        <v>0.15</v>
      </c>
      <c r="W22" s="275">
        <f t="shared" si="6"/>
        <v>0</v>
      </c>
      <c r="X22" s="276"/>
      <c r="Y22" s="296">
        <v>0.05</v>
      </c>
      <c r="Z22" s="275">
        <f t="shared" si="7"/>
        <v>0</v>
      </c>
      <c r="AA22" s="276"/>
      <c r="AB22" s="296">
        <v>0.05</v>
      </c>
      <c r="AC22" s="275">
        <f t="shared" si="8"/>
        <v>0</v>
      </c>
      <c r="AD22" s="275"/>
      <c r="AE22" s="275"/>
      <c r="AF22" s="275">
        <f t="shared" si="9"/>
        <v>5387</v>
      </c>
      <c r="AG22" s="303" t="s">
        <v>86</v>
      </c>
      <c r="AH22" s="304" t="s">
        <v>59</v>
      </c>
      <c r="AI22" s="275">
        <v>1</v>
      </c>
      <c r="AJ22" s="275">
        <v>-400</v>
      </c>
      <c r="AK22" s="305"/>
      <c r="AL22" s="306"/>
    </row>
    <row r="23" s="254" customFormat="1" ht="18" customHeight="1" spans="1:38">
      <c r="A23" s="270">
        <v>21</v>
      </c>
      <c r="B23" s="271" t="s">
        <v>87</v>
      </c>
      <c r="C23" s="271" t="s">
        <v>87</v>
      </c>
      <c r="D23" s="272">
        <f t="shared" si="0"/>
        <v>20477</v>
      </c>
      <c r="E23" s="273">
        <v>20477</v>
      </c>
      <c r="F23" s="274">
        <v>0.25</v>
      </c>
      <c r="G23" s="275">
        <f t="shared" si="1"/>
        <v>5119</v>
      </c>
      <c r="H23" s="276"/>
      <c r="I23" s="287">
        <v>0</v>
      </c>
      <c r="J23" s="288">
        <f t="shared" si="2"/>
        <v>0</v>
      </c>
      <c r="K23" s="276"/>
      <c r="L23" s="287"/>
      <c r="M23" s="288">
        <f t="shared" si="3"/>
        <v>0</v>
      </c>
      <c r="N23" s="276"/>
      <c r="O23" s="289">
        <f t="shared" si="12"/>
        <v>0</v>
      </c>
      <c r="P23" s="287"/>
      <c r="Q23" s="275">
        <f t="shared" si="4"/>
        <v>0</v>
      </c>
      <c r="R23" s="276"/>
      <c r="S23" s="296">
        <v>0.05</v>
      </c>
      <c r="T23" s="275">
        <f t="shared" si="5"/>
        <v>0</v>
      </c>
      <c r="U23" s="276"/>
      <c r="V23" s="296">
        <v>0.15</v>
      </c>
      <c r="W23" s="275">
        <f t="shared" si="6"/>
        <v>0</v>
      </c>
      <c r="X23" s="276"/>
      <c r="Y23" s="296">
        <v>0.1</v>
      </c>
      <c r="Z23" s="275">
        <f t="shared" si="7"/>
        <v>0</v>
      </c>
      <c r="AA23" s="276"/>
      <c r="AB23" s="296">
        <v>0.1</v>
      </c>
      <c r="AC23" s="275">
        <f t="shared" si="8"/>
        <v>0</v>
      </c>
      <c r="AD23" s="275"/>
      <c r="AE23" s="275"/>
      <c r="AF23" s="275">
        <f t="shared" si="9"/>
        <v>5119</v>
      </c>
      <c r="AG23" s="303" t="s">
        <v>88</v>
      </c>
      <c r="AH23" s="304"/>
      <c r="AI23" s="275"/>
      <c r="AJ23" s="275"/>
      <c r="AK23" s="305"/>
      <c r="AL23" s="306"/>
    </row>
    <row r="24" s="254" customFormat="1" ht="18" customHeight="1" spans="1:38">
      <c r="A24" s="270">
        <v>22</v>
      </c>
      <c r="B24" s="271" t="s">
        <v>89</v>
      </c>
      <c r="C24" s="271" t="s">
        <v>89</v>
      </c>
      <c r="D24" s="272">
        <f t="shared" si="0"/>
        <v>19387</v>
      </c>
      <c r="E24" s="273">
        <v>19387</v>
      </c>
      <c r="F24" s="274">
        <v>0.25</v>
      </c>
      <c r="G24" s="275">
        <f t="shared" si="1"/>
        <v>4847</v>
      </c>
      <c r="H24" s="276"/>
      <c r="I24" s="287">
        <v>0</v>
      </c>
      <c r="J24" s="288">
        <f t="shared" si="2"/>
        <v>0</v>
      </c>
      <c r="K24" s="276"/>
      <c r="L24" s="287"/>
      <c r="M24" s="288">
        <f t="shared" si="3"/>
        <v>0</v>
      </c>
      <c r="N24" s="276"/>
      <c r="O24" s="289">
        <f t="shared" ref="O24:O27" si="13">N24*0.77</f>
        <v>0</v>
      </c>
      <c r="P24" s="287"/>
      <c r="Q24" s="275">
        <f t="shared" si="4"/>
        <v>0</v>
      </c>
      <c r="R24" s="276"/>
      <c r="S24" s="296">
        <v>0.05</v>
      </c>
      <c r="T24" s="275">
        <f t="shared" si="5"/>
        <v>0</v>
      </c>
      <c r="U24" s="276"/>
      <c r="V24" s="296">
        <v>0.15</v>
      </c>
      <c r="W24" s="275">
        <f t="shared" si="6"/>
        <v>0</v>
      </c>
      <c r="X24" s="276"/>
      <c r="Y24" s="296">
        <v>0.1</v>
      </c>
      <c r="Z24" s="275">
        <f t="shared" si="7"/>
        <v>0</v>
      </c>
      <c r="AA24" s="276"/>
      <c r="AB24" s="296">
        <v>0.1</v>
      </c>
      <c r="AC24" s="275">
        <f t="shared" si="8"/>
        <v>0</v>
      </c>
      <c r="AD24" s="275"/>
      <c r="AE24" s="275"/>
      <c r="AF24" s="275">
        <f t="shared" si="9"/>
        <v>4847</v>
      </c>
      <c r="AG24" s="303" t="s">
        <v>90</v>
      </c>
      <c r="AH24" s="304" t="s">
        <v>59</v>
      </c>
      <c r="AI24" s="275">
        <v>2</v>
      </c>
      <c r="AJ24" s="275">
        <v>-200</v>
      </c>
      <c r="AK24" s="305"/>
      <c r="AL24" s="306"/>
    </row>
    <row r="25" s="254" customFormat="1" ht="18" customHeight="1" spans="1:38">
      <c r="A25" s="270">
        <v>23</v>
      </c>
      <c r="B25" s="271" t="s">
        <v>91</v>
      </c>
      <c r="C25" s="271" t="s">
        <v>92</v>
      </c>
      <c r="D25" s="272">
        <f t="shared" si="0"/>
        <v>19051</v>
      </c>
      <c r="E25" s="273">
        <v>19051</v>
      </c>
      <c r="F25" s="274">
        <v>0.25</v>
      </c>
      <c r="G25" s="275">
        <f t="shared" si="1"/>
        <v>4763</v>
      </c>
      <c r="H25" s="276"/>
      <c r="I25" s="287">
        <v>0</v>
      </c>
      <c r="J25" s="288">
        <f t="shared" si="2"/>
        <v>0</v>
      </c>
      <c r="K25" s="276"/>
      <c r="L25" s="287"/>
      <c r="M25" s="288">
        <f t="shared" si="3"/>
        <v>0</v>
      </c>
      <c r="N25" s="276"/>
      <c r="O25" s="289">
        <f t="shared" si="13"/>
        <v>0</v>
      </c>
      <c r="P25" s="287"/>
      <c r="Q25" s="275">
        <f t="shared" si="4"/>
        <v>0</v>
      </c>
      <c r="R25" s="276"/>
      <c r="S25" s="296">
        <v>0.05</v>
      </c>
      <c r="T25" s="275">
        <f t="shared" si="5"/>
        <v>0</v>
      </c>
      <c r="U25" s="276"/>
      <c r="V25" s="296">
        <v>0.15</v>
      </c>
      <c r="W25" s="275">
        <f t="shared" si="6"/>
        <v>0</v>
      </c>
      <c r="X25" s="276"/>
      <c r="Y25" s="296">
        <v>0.1</v>
      </c>
      <c r="Z25" s="275">
        <f t="shared" si="7"/>
        <v>0</v>
      </c>
      <c r="AA25" s="276"/>
      <c r="AB25" s="296">
        <v>0.05</v>
      </c>
      <c r="AC25" s="275">
        <f t="shared" si="8"/>
        <v>0</v>
      </c>
      <c r="AD25" s="275"/>
      <c r="AE25" s="275"/>
      <c r="AF25" s="275">
        <f t="shared" si="9"/>
        <v>4763</v>
      </c>
      <c r="AG25" s="303" t="s">
        <v>93</v>
      </c>
      <c r="AH25" s="303"/>
      <c r="AI25" s="275"/>
      <c r="AJ25" s="275"/>
      <c r="AK25" s="305"/>
      <c r="AL25" s="306"/>
    </row>
    <row r="26" s="254" customFormat="1" ht="18" customHeight="1" spans="1:38">
      <c r="A26" s="270">
        <v>24</v>
      </c>
      <c r="B26" s="271" t="s">
        <v>94</v>
      </c>
      <c r="C26" s="271" t="s">
        <v>95</v>
      </c>
      <c r="D26" s="272">
        <f t="shared" si="0"/>
        <v>18393</v>
      </c>
      <c r="E26" s="273">
        <v>18393</v>
      </c>
      <c r="F26" s="274">
        <v>0.25</v>
      </c>
      <c r="G26" s="275">
        <f t="shared" si="1"/>
        <v>4598</v>
      </c>
      <c r="H26" s="276"/>
      <c r="I26" s="287">
        <v>0</v>
      </c>
      <c r="J26" s="288">
        <f t="shared" si="2"/>
        <v>0</v>
      </c>
      <c r="K26" s="276"/>
      <c r="L26" s="287"/>
      <c r="M26" s="288">
        <f t="shared" si="3"/>
        <v>0</v>
      </c>
      <c r="N26" s="276"/>
      <c r="O26" s="289">
        <f t="shared" si="13"/>
        <v>0</v>
      </c>
      <c r="P26" s="287"/>
      <c r="Q26" s="275">
        <f t="shared" si="4"/>
        <v>0</v>
      </c>
      <c r="R26" s="276"/>
      <c r="S26" s="296">
        <v>0.05</v>
      </c>
      <c r="T26" s="275">
        <f t="shared" si="5"/>
        <v>0</v>
      </c>
      <c r="U26" s="276"/>
      <c r="V26" s="296">
        <v>0.15</v>
      </c>
      <c r="W26" s="275">
        <f t="shared" si="6"/>
        <v>0</v>
      </c>
      <c r="X26" s="276"/>
      <c r="Y26" s="296">
        <v>0.1</v>
      </c>
      <c r="Z26" s="275">
        <f t="shared" si="7"/>
        <v>0</v>
      </c>
      <c r="AA26" s="276"/>
      <c r="AB26" s="296">
        <v>0.05</v>
      </c>
      <c r="AC26" s="275">
        <f t="shared" si="8"/>
        <v>0</v>
      </c>
      <c r="AD26" s="275"/>
      <c r="AE26" s="275"/>
      <c r="AF26" s="275">
        <f t="shared" si="9"/>
        <v>4598</v>
      </c>
      <c r="AG26" s="303" t="s">
        <v>96</v>
      </c>
      <c r="AH26" s="303"/>
      <c r="AI26" s="275"/>
      <c r="AJ26" s="275"/>
      <c r="AK26" s="305"/>
      <c r="AL26" s="306" t="s">
        <v>97</v>
      </c>
    </row>
    <row r="27" s="254" customFormat="1" ht="18" customHeight="1" spans="1:38">
      <c r="A27" s="270">
        <v>25</v>
      </c>
      <c r="B27" s="271" t="s">
        <v>98</v>
      </c>
      <c r="C27" s="271" t="s">
        <v>99</v>
      </c>
      <c r="D27" s="272">
        <f t="shared" si="0"/>
        <v>18003</v>
      </c>
      <c r="E27" s="273">
        <v>18003</v>
      </c>
      <c r="F27" s="274">
        <v>0.25</v>
      </c>
      <c r="G27" s="275">
        <f t="shared" si="1"/>
        <v>4501</v>
      </c>
      <c r="H27" s="276"/>
      <c r="I27" s="287">
        <v>0</v>
      </c>
      <c r="J27" s="288">
        <f t="shared" si="2"/>
        <v>0</v>
      </c>
      <c r="K27" s="276"/>
      <c r="L27" s="287"/>
      <c r="M27" s="288">
        <f t="shared" si="3"/>
        <v>0</v>
      </c>
      <c r="N27" s="276"/>
      <c r="O27" s="289">
        <f t="shared" si="13"/>
        <v>0</v>
      </c>
      <c r="P27" s="287"/>
      <c r="Q27" s="275">
        <f t="shared" si="4"/>
        <v>0</v>
      </c>
      <c r="R27" s="276"/>
      <c r="S27" s="296">
        <v>0.05</v>
      </c>
      <c r="T27" s="275">
        <f t="shared" si="5"/>
        <v>0</v>
      </c>
      <c r="U27" s="276"/>
      <c r="V27" s="296">
        <v>0.15</v>
      </c>
      <c r="W27" s="275">
        <f t="shared" si="6"/>
        <v>0</v>
      </c>
      <c r="X27" s="276"/>
      <c r="Y27" s="296">
        <v>0.1</v>
      </c>
      <c r="Z27" s="275">
        <f t="shared" si="7"/>
        <v>0</v>
      </c>
      <c r="AA27" s="276"/>
      <c r="AB27" s="296">
        <v>0.05</v>
      </c>
      <c r="AC27" s="275">
        <f t="shared" si="8"/>
        <v>0</v>
      </c>
      <c r="AD27" s="275"/>
      <c r="AE27" s="275"/>
      <c r="AF27" s="275">
        <f t="shared" si="9"/>
        <v>4501</v>
      </c>
      <c r="AG27" s="303" t="s">
        <v>100</v>
      </c>
      <c r="AH27" s="303"/>
      <c r="AI27" s="275"/>
      <c r="AJ27" s="275"/>
      <c r="AK27" s="305"/>
      <c r="AL27" s="306" t="s">
        <v>78</v>
      </c>
    </row>
    <row r="28" s="254" customFormat="1" ht="18" customHeight="1" spans="1:38">
      <c r="A28" s="270">
        <v>26</v>
      </c>
      <c r="B28" s="271" t="s">
        <v>101</v>
      </c>
      <c r="C28" s="271" t="s">
        <v>101</v>
      </c>
      <c r="D28" s="272">
        <f t="shared" si="0"/>
        <v>17251</v>
      </c>
      <c r="E28" s="273">
        <v>17251</v>
      </c>
      <c r="F28" s="274">
        <v>0.25</v>
      </c>
      <c r="G28" s="275">
        <f t="shared" si="1"/>
        <v>4313</v>
      </c>
      <c r="H28" s="276"/>
      <c r="I28" s="287">
        <v>0</v>
      </c>
      <c r="J28" s="288">
        <f t="shared" si="2"/>
        <v>0</v>
      </c>
      <c r="K28" s="276"/>
      <c r="L28" s="287"/>
      <c r="M28" s="288">
        <f t="shared" si="3"/>
        <v>0</v>
      </c>
      <c r="N28" s="276"/>
      <c r="O28" s="289">
        <f t="shared" ref="O28:O31" si="14">N28*0.83</f>
        <v>0</v>
      </c>
      <c r="P28" s="287"/>
      <c r="Q28" s="275">
        <f t="shared" si="4"/>
        <v>0</v>
      </c>
      <c r="R28" s="276"/>
      <c r="S28" s="296">
        <v>0.05</v>
      </c>
      <c r="T28" s="275">
        <f t="shared" si="5"/>
        <v>0</v>
      </c>
      <c r="U28" s="276"/>
      <c r="V28" s="296">
        <v>0.15</v>
      </c>
      <c r="W28" s="275">
        <f t="shared" si="6"/>
        <v>0</v>
      </c>
      <c r="X28" s="276"/>
      <c r="Y28" s="296">
        <v>0.1</v>
      </c>
      <c r="Z28" s="275">
        <f t="shared" si="7"/>
        <v>0</v>
      </c>
      <c r="AA28" s="276"/>
      <c r="AB28" s="296">
        <v>0.05</v>
      </c>
      <c r="AC28" s="275">
        <f t="shared" si="8"/>
        <v>0</v>
      </c>
      <c r="AD28" s="275"/>
      <c r="AE28" s="275"/>
      <c r="AF28" s="275">
        <f t="shared" si="9"/>
        <v>4313</v>
      </c>
      <c r="AG28" s="303" t="s">
        <v>102</v>
      </c>
      <c r="AH28" s="304" t="s">
        <v>48</v>
      </c>
      <c r="AI28" s="275">
        <v>1</v>
      </c>
      <c r="AJ28" s="275">
        <v>-200</v>
      </c>
      <c r="AK28" s="305"/>
      <c r="AL28" s="306" t="s">
        <v>74</v>
      </c>
    </row>
    <row r="29" s="254" customFormat="1" ht="18" customHeight="1" spans="1:38">
      <c r="A29" s="270">
        <v>27</v>
      </c>
      <c r="B29" s="271" t="s">
        <v>103</v>
      </c>
      <c r="C29" s="271" t="s">
        <v>103</v>
      </c>
      <c r="D29" s="272">
        <f t="shared" si="0"/>
        <v>16808</v>
      </c>
      <c r="E29" s="273">
        <v>16808</v>
      </c>
      <c r="F29" s="274">
        <v>0.25</v>
      </c>
      <c r="G29" s="275">
        <f t="shared" si="1"/>
        <v>4202</v>
      </c>
      <c r="H29" s="276"/>
      <c r="I29" s="287">
        <v>0</v>
      </c>
      <c r="J29" s="288">
        <f t="shared" si="2"/>
        <v>0</v>
      </c>
      <c r="K29" s="276"/>
      <c r="L29" s="287"/>
      <c r="M29" s="288">
        <f t="shared" si="3"/>
        <v>0</v>
      </c>
      <c r="N29" s="276"/>
      <c r="O29" s="289">
        <f t="shared" si="14"/>
        <v>0</v>
      </c>
      <c r="P29" s="287"/>
      <c r="Q29" s="275">
        <f t="shared" si="4"/>
        <v>0</v>
      </c>
      <c r="R29" s="276"/>
      <c r="S29" s="296">
        <v>0.05</v>
      </c>
      <c r="T29" s="275">
        <f t="shared" si="5"/>
        <v>0</v>
      </c>
      <c r="U29" s="276"/>
      <c r="V29" s="296">
        <v>0.1</v>
      </c>
      <c r="W29" s="275">
        <f t="shared" si="6"/>
        <v>0</v>
      </c>
      <c r="X29" s="276"/>
      <c r="Y29" s="296">
        <v>0.05</v>
      </c>
      <c r="Z29" s="275">
        <f t="shared" si="7"/>
        <v>0</v>
      </c>
      <c r="AA29" s="276"/>
      <c r="AB29" s="296">
        <v>0.05</v>
      </c>
      <c r="AC29" s="275">
        <f t="shared" si="8"/>
        <v>0</v>
      </c>
      <c r="AD29" s="275"/>
      <c r="AE29" s="275"/>
      <c r="AF29" s="275">
        <f t="shared" si="9"/>
        <v>4202</v>
      </c>
      <c r="AG29" s="303" t="s">
        <v>104</v>
      </c>
      <c r="AH29" s="304" t="s">
        <v>59</v>
      </c>
      <c r="AI29" s="275">
        <v>1</v>
      </c>
      <c r="AJ29" s="275">
        <v>-400</v>
      </c>
      <c r="AK29" s="305"/>
      <c r="AL29" s="306"/>
    </row>
    <row r="30" s="254" customFormat="1" ht="18" customHeight="1" spans="1:38">
      <c r="A30" s="270">
        <v>28</v>
      </c>
      <c r="B30" s="271" t="s">
        <v>105</v>
      </c>
      <c r="C30" s="271" t="s">
        <v>106</v>
      </c>
      <c r="D30" s="272">
        <f t="shared" si="0"/>
        <v>16777</v>
      </c>
      <c r="E30" s="273">
        <v>16777</v>
      </c>
      <c r="F30" s="274">
        <v>0.25</v>
      </c>
      <c r="G30" s="275">
        <f t="shared" si="1"/>
        <v>4194</v>
      </c>
      <c r="H30" s="276"/>
      <c r="I30" s="287">
        <v>0</v>
      </c>
      <c r="J30" s="288">
        <f t="shared" si="2"/>
        <v>0</v>
      </c>
      <c r="K30" s="276"/>
      <c r="L30" s="287"/>
      <c r="M30" s="288">
        <f t="shared" si="3"/>
        <v>0</v>
      </c>
      <c r="N30" s="276"/>
      <c r="O30" s="289">
        <f t="shared" si="14"/>
        <v>0</v>
      </c>
      <c r="P30" s="287"/>
      <c r="Q30" s="275">
        <f t="shared" si="4"/>
        <v>0</v>
      </c>
      <c r="R30" s="276"/>
      <c r="S30" s="296">
        <v>0.05</v>
      </c>
      <c r="T30" s="275">
        <f t="shared" si="5"/>
        <v>0</v>
      </c>
      <c r="U30" s="276"/>
      <c r="V30" s="296">
        <v>0.15</v>
      </c>
      <c r="W30" s="275">
        <f t="shared" si="6"/>
        <v>0</v>
      </c>
      <c r="X30" s="276"/>
      <c r="Y30" s="296">
        <v>0.1</v>
      </c>
      <c r="Z30" s="275">
        <f t="shared" si="7"/>
        <v>0</v>
      </c>
      <c r="AA30" s="276"/>
      <c r="AB30" s="296">
        <v>0.05</v>
      </c>
      <c r="AC30" s="275">
        <f t="shared" si="8"/>
        <v>0</v>
      </c>
      <c r="AD30" s="275"/>
      <c r="AE30" s="275"/>
      <c r="AF30" s="275">
        <f t="shared" si="9"/>
        <v>4194</v>
      </c>
      <c r="AG30" s="303" t="s">
        <v>107</v>
      </c>
      <c r="AH30" s="304" t="s">
        <v>59</v>
      </c>
      <c r="AI30" s="275">
        <v>1</v>
      </c>
      <c r="AJ30" s="275">
        <v>-400</v>
      </c>
      <c r="AK30" s="305"/>
      <c r="AL30" s="306"/>
    </row>
    <row r="31" s="254" customFormat="1" ht="18" customHeight="1" spans="1:38">
      <c r="A31" s="270">
        <v>29</v>
      </c>
      <c r="B31" s="271" t="s">
        <v>108</v>
      </c>
      <c r="C31" s="271" t="s">
        <v>108</v>
      </c>
      <c r="D31" s="272">
        <f t="shared" si="0"/>
        <v>16187</v>
      </c>
      <c r="E31" s="273">
        <v>16187</v>
      </c>
      <c r="F31" s="274">
        <v>0.25</v>
      </c>
      <c r="G31" s="275">
        <f t="shared" si="1"/>
        <v>4047</v>
      </c>
      <c r="H31" s="276"/>
      <c r="I31" s="287">
        <v>0</v>
      </c>
      <c r="J31" s="288">
        <f t="shared" si="2"/>
        <v>0</v>
      </c>
      <c r="K31" s="276"/>
      <c r="L31" s="287"/>
      <c r="M31" s="288">
        <f t="shared" si="3"/>
        <v>0</v>
      </c>
      <c r="N31" s="276"/>
      <c r="O31" s="289">
        <f t="shared" si="14"/>
        <v>0</v>
      </c>
      <c r="P31" s="287"/>
      <c r="Q31" s="275">
        <f t="shared" si="4"/>
        <v>0</v>
      </c>
      <c r="R31" s="276"/>
      <c r="S31" s="296">
        <v>0.05</v>
      </c>
      <c r="T31" s="275">
        <f t="shared" si="5"/>
        <v>0</v>
      </c>
      <c r="U31" s="276"/>
      <c r="V31" s="296">
        <v>0.15</v>
      </c>
      <c r="W31" s="275">
        <f t="shared" si="6"/>
        <v>0</v>
      </c>
      <c r="X31" s="276"/>
      <c r="Y31" s="296">
        <v>0.1</v>
      </c>
      <c r="Z31" s="275">
        <f t="shared" si="7"/>
        <v>0</v>
      </c>
      <c r="AA31" s="276"/>
      <c r="AB31" s="296">
        <v>0.05</v>
      </c>
      <c r="AC31" s="275">
        <f t="shared" si="8"/>
        <v>0</v>
      </c>
      <c r="AD31" s="275"/>
      <c r="AE31" s="275"/>
      <c r="AF31" s="275">
        <f t="shared" si="9"/>
        <v>4047</v>
      </c>
      <c r="AG31" s="303" t="s">
        <v>109</v>
      </c>
      <c r="AH31" s="303"/>
      <c r="AI31" s="275"/>
      <c r="AJ31" s="275"/>
      <c r="AK31" s="305"/>
      <c r="AL31" s="306" t="s">
        <v>78</v>
      </c>
    </row>
    <row r="32" s="254" customFormat="1" ht="18" customHeight="1" spans="1:38">
      <c r="A32" s="270">
        <v>30</v>
      </c>
      <c r="B32" s="271" t="s">
        <v>110</v>
      </c>
      <c r="C32" s="271" t="s">
        <v>111</v>
      </c>
      <c r="D32" s="272">
        <f t="shared" si="0"/>
        <v>15925</v>
      </c>
      <c r="E32" s="273">
        <v>15925</v>
      </c>
      <c r="F32" s="274">
        <v>0.25</v>
      </c>
      <c r="G32" s="275">
        <f t="shared" si="1"/>
        <v>3981</v>
      </c>
      <c r="H32" s="276"/>
      <c r="I32" s="287">
        <v>0</v>
      </c>
      <c r="J32" s="288">
        <f t="shared" si="2"/>
        <v>0</v>
      </c>
      <c r="K32" s="276"/>
      <c r="L32" s="287"/>
      <c r="M32" s="288">
        <f t="shared" si="3"/>
        <v>0</v>
      </c>
      <c r="N32" s="276"/>
      <c r="O32" s="289">
        <f>N32*0.8</f>
        <v>0</v>
      </c>
      <c r="P32" s="290"/>
      <c r="Q32" s="275">
        <f t="shared" si="4"/>
        <v>0</v>
      </c>
      <c r="R32" s="276"/>
      <c r="S32" s="296">
        <v>0.05</v>
      </c>
      <c r="T32" s="275">
        <f t="shared" si="5"/>
        <v>0</v>
      </c>
      <c r="U32" s="276"/>
      <c r="V32" s="296">
        <v>0.15</v>
      </c>
      <c r="W32" s="275">
        <f t="shared" si="6"/>
        <v>0</v>
      </c>
      <c r="X32" s="276"/>
      <c r="Y32" s="296">
        <v>0.1</v>
      </c>
      <c r="Z32" s="275">
        <f t="shared" si="7"/>
        <v>0</v>
      </c>
      <c r="AA32" s="276"/>
      <c r="AB32" s="296">
        <v>0.05</v>
      </c>
      <c r="AC32" s="275">
        <f t="shared" si="8"/>
        <v>0</v>
      </c>
      <c r="AD32" s="275"/>
      <c r="AE32" s="275"/>
      <c r="AF32" s="275">
        <f t="shared" si="9"/>
        <v>3981</v>
      </c>
      <c r="AG32" s="303" t="s">
        <v>112</v>
      </c>
      <c r="AH32" s="304" t="s">
        <v>59</v>
      </c>
      <c r="AI32" s="275">
        <v>3</v>
      </c>
      <c r="AJ32" s="275">
        <v>0</v>
      </c>
      <c r="AK32" s="305"/>
      <c r="AL32" s="306"/>
    </row>
    <row r="33" s="254" customFormat="1" ht="18" customHeight="1" spans="1:38">
      <c r="A33" s="270">
        <v>31</v>
      </c>
      <c r="B33" s="271" t="s">
        <v>113</v>
      </c>
      <c r="C33" s="279" t="s">
        <v>114</v>
      </c>
      <c r="D33" s="272">
        <f t="shared" si="0"/>
        <v>15486</v>
      </c>
      <c r="E33" s="273">
        <v>5482</v>
      </c>
      <c r="F33" s="274">
        <v>0.25</v>
      </c>
      <c r="G33" s="275">
        <f t="shared" si="1"/>
        <v>1371</v>
      </c>
      <c r="H33" s="277">
        <v>10004</v>
      </c>
      <c r="I33" s="287">
        <v>0</v>
      </c>
      <c r="J33" s="288">
        <f t="shared" si="2"/>
        <v>0</v>
      </c>
      <c r="K33" s="276"/>
      <c r="L33" s="287"/>
      <c r="M33" s="288">
        <f t="shared" si="3"/>
        <v>0</v>
      </c>
      <c r="N33" s="291"/>
      <c r="O33" s="289">
        <f>N33*0.8</f>
        <v>0</v>
      </c>
      <c r="P33" s="287"/>
      <c r="Q33" s="275">
        <f t="shared" si="4"/>
        <v>0</v>
      </c>
      <c r="R33" s="281"/>
      <c r="S33" s="296">
        <v>0.05</v>
      </c>
      <c r="T33" s="275">
        <f t="shared" si="5"/>
        <v>0</v>
      </c>
      <c r="U33" s="281"/>
      <c r="V33" s="296">
        <v>0.15</v>
      </c>
      <c r="W33" s="275">
        <f t="shared" si="6"/>
        <v>0</v>
      </c>
      <c r="X33" s="281"/>
      <c r="Y33" s="296">
        <v>0.1</v>
      </c>
      <c r="Z33" s="275">
        <f t="shared" si="7"/>
        <v>0</v>
      </c>
      <c r="AA33" s="281"/>
      <c r="AB33" s="296">
        <v>0.05</v>
      </c>
      <c r="AC33" s="275">
        <f t="shared" si="8"/>
        <v>0</v>
      </c>
      <c r="AD33" s="299"/>
      <c r="AE33" s="299"/>
      <c r="AF33" s="275">
        <f t="shared" si="9"/>
        <v>1371</v>
      </c>
      <c r="AG33" s="303" t="s">
        <v>115</v>
      </c>
      <c r="AH33" s="304" t="s">
        <v>59</v>
      </c>
      <c r="AI33" s="275">
        <v>2</v>
      </c>
      <c r="AJ33" s="275">
        <v>-200</v>
      </c>
      <c r="AK33" s="310"/>
      <c r="AL33" s="306"/>
    </row>
    <row r="34" s="254" customFormat="1" ht="18" customHeight="1" spans="1:38">
      <c r="A34" s="270">
        <v>32</v>
      </c>
      <c r="B34" s="271" t="s">
        <v>116</v>
      </c>
      <c r="C34" s="271" t="s">
        <v>117</v>
      </c>
      <c r="D34" s="272">
        <f t="shared" si="0"/>
        <v>12543</v>
      </c>
      <c r="E34" s="273">
        <v>12543</v>
      </c>
      <c r="F34" s="274">
        <v>0.25</v>
      </c>
      <c r="G34" s="275">
        <f t="shared" si="1"/>
        <v>3136</v>
      </c>
      <c r="H34" s="276"/>
      <c r="I34" s="287">
        <v>0</v>
      </c>
      <c r="J34" s="288">
        <f t="shared" si="2"/>
        <v>0</v>
      </c>
      <c r="K34" s="276"/>
      <c r="L34" s="287"/>
      <c r="M34" s="288">
        <f t="shared" si="3"/>
        <v>0</v>
      </c>
      <c r="N34" s="276"/>
      <c r="O34" s="289">
        <f>N34*0.77</f>
        <v>0</v>
      </c>
      <c r="P34" s="287"/>
      <c r="Q34" s="275">
        <f t="shared" si="4"/>
        <v>0</v>
      </c>
      <c r="R34" s="276"/>
      <c r="S34" s="296">
        <v>0.05</v>
      </c>
      <c r="T34" s="275">
        <f t="shared" si="5"/>
        <v>0</v>
      </c>
      <c r="U34" s="276"/>
      <c r="V34" s="296">
        <v>0.15</v>
      </c>
      <c r="W34" s="275">
        <f t="shared" si="6"/>
        <v>0</v>
      </c>
      <c r="X34" s="276"/>
      <c r="Y34" s="296">
        <v>0.1</v>
      </c>
      <c r="Z34" s="275">
        <f t="shared" si="7"/>
        <v>0</v>
      </c>
      <c r="AA34" s="276"/>
      <c r="AB34" s="296">
        <v>0.05</v>
      </c>
      <c r="AC34" s="275">
        <f t="shared" si="8"/>
        <v>0</v>
      </c>
      <c r="AD34" s="275"/>
      <c r="AE34" s="275"/>
      <c r="AF34" s="275">
        <f t="shared" si="9"/>
        <v>3136</v>
      </c>
      <c r="AG34" s="303" t="s">
        <v>118</v>
      </c>
      <c r="AH34" s="304">
        <v>6</v>
      </c>
      <c r="AI34" s="275">
        <v>4</v>
      </c>
      <c r="AJ34" s="275">
        <v>-400</v>
      </c>
      <c r="AK34" s="305"/>
      <c r="AL34" s="306"/>
    </row>
    <row r="35" s="254" customFormat="1" ht="18" customHeight="1" spans="1:38">
      <c r="A35" s="270">
        <v>33</v>
      </c>
      <c r="B35" s="271" t="s">
        <v>119</v>
      </c>
      <c r="C35" s="271" t="s">
        <v>120</v>
      </c>
      <c r="D35" s="272">
        <f t="shared" si="0"/>
        <v>10423</v>
      </c>
      <c r="E35" s="273">
        <v>10423</v>
      </c>
      <c r="F35" s="274">
        <v>0.25</v>
      </c>
      <c r="G35" s="275">
        <f t="shared" si="1"/>
        <v>2606</v>
      </c>
      <c r="H35" s="276"/>
      <c r="I35" s="287">
        <v>0</v>
      </c>
      <c r="J35" s="288">
        <f t="shared" si="2"/>
        <v>0</v>
      </c>
      <c r="K35" s="276"/>
      <c r="L35" s="287"/>
      <c r="M35" s="288">
        <f t="shared" si="3"/>
        <v>0</v>
      </c>
      <c r="N35" s="276"/>
      <c r="O35" s="289">
        <f t="shared" ref="O35:O43" si="15">N35*0.83</f>
        <v>0</v>
      </c>
      <c r="P35" s="287"/>
      <c r="Q35" s="275">
        <f t="shared" si="4"/>
        <v>0</v>
      </c>
      <c r="R35" s="276"/>
      <c r="S35" s="296">
        <v>0.05</v>
      </c>
      <c r="T35" s="275">
        <f t="shared" si="5"/>
        <v>0</v>
      </c>
      <c r="U35" s="276"/>
      <c r="V35" s="296">
        <v>0.15</v>
      </c>
      <c r="W35" s="275">
        <f t="shared" si="6"/>
        <v>0</v>
      </c>
      <c r="X35" s="276"/>
      <c r="Y35" s="296">
        <v>0.1</v>
      </c>
      <c r="Z35" s="275">
        <f t="shared" si="7"/>
        <v>0</v>
      </c>
      <c r="AA35" s="276"/>
      <c r="AB35" s="296">
        <v>0.1</v>
      </c>
      <c r="AC35" s="275">
        <f t="shared" si="8"/>
        <v>0</v>
      </c>
      <c r="AD35" s="275"/>
      <c r="AE35" s="275"/>
      <c r="AF35" s="275">
        <f t="shared" si="9"/>
        <v>2606</v>
      </c>
      <c r="AG35" s="303" t="s">
        <v>121</v>
      </c>
      <c r="AH35" s="304" t="s">
        <v>48</v>
      </c>
      <c r="AI35" s="275">
        <v>1</v>
      </c>
      <c r="AJ35" s="275">
        <v>-200</v>
      </c>
      <c r="AK35" s="305"/>
      <c r="AL35" s="306"/>
    </row>
    <row r="36" s="254" customFormat="1" ht="18" customHeight="1" spans="1:38">
      <c r="A36" s="270">
        <v>34</v>
      </c>
      <c r="B36" s="271" t="s">
        <v>122</v>
      </c>
      <c r="C36" s="271" t="s">
        <v>123</v>
      </c>
      <c r="D36" s="272">
        <f t="shared" si="0"/>
        <v>8873</v>
      </c>
      <c r="E36" s="273">
        <v>8873</v>
      </c>
      <c r="F36" s="274">
        <v>0.25</v>
      </c>
      <c r="G36" s="275">
        <f t="shared" si="1"/>
        <v>2218</v>
      </c>
      <c r="H36" s="276"/>
      <c r="I36" s="287">
        <v>0</v>
      </c>
      <c r="J36" s="288">
        <f t="shared" si="2"/>
        <v>0</v>
      </c>
      <c r="K36" s="276"/>
      <c r="L36" s="287"/>
      <c r="M36" s="288">
        <f t="shared" si="3"/>
        <v>0</v>
      </c>
      <c r="N36" s="276"/>
      <c r="O36" s="289">
        <f>N36*0.77</f>
        <v>0</v>
      </c>
      <c r="P36" s="287"/>
      <c r="Q36" s="275">
        <f t="shared" si="4"/>
        <v>0</v>
      </c>
      <c r="R36" s="276"/>
      <c r="S36" s="296">
        <v>0.05</v>
      </c>
      <c r="T36" s="275">
        <f t="shared" si="5"/>
        <v>0</v>
      </c>
      <c r="U36" s="276"/>
      <c r="V36" s="296">
        <v>0.15</v>
      </c>
      <c r="W36" s="275">
        <f t="shared" si="6"/>
        <v>0</v>
      </c>
      <c r="X36" s="276"/>
      <c r="Y36" s="296">
        <v>0.1</v>
      </c>
      <c r="Z36" s="275">
        <f t="shared" si="7"/>
        <v>0</v>
      </c>
      <c r="AA36" s="276"/>
      <c r="AB36" s="296">
        <v>0.05</v>
      </c>
      <c r="AC36" s="275">
        <f t="shared" si="8"/>
        <v>0</v>
      </c>
      <c r="AD36" s="275"/>
      <c r="AE36" s="275"/>
      <c r="AF36" s="275">
        <f t="shared" si="9"/>
        <v>2218</v>
      </c>
      <c r="AG36" s="303" t="s">
        <v>124</v>
      </c>
      <c r="AH36" s="304" t="s">
        <v>59</v>
      </c>
      <c r="AI36" s="275"/>
      <c r="AJ36" s="275">
        <v>-600</v>
      </c>
      <c r="AK36" s="305"/>
      <c r="AL36" s="306"/>
    </row>
    <row r="37" s="254" customFormat="1" ht="18" customHeight="1" spans="1:38">
      <c r="A37" s="270">
        <v>35</v>
      </c>
      <c r="B37" s="271" t="s">
        <v>125</v>
      </c>
      <c r="C37" s="271" t="s">
        <v>126</v>
      </c>
      <c r="D37" s="272">
        <f t="shared" si="0"/>
        <v>6450</v>
      </c>
      <c r="E37" s="273">
        <v>6450</v>
      </c>
      <c r="F37" s="274">
        <v>0.25</v>
      </c>
      <c r="G37" s="275">
        <f t="shared" si="1"/>
        <v>1613</v>
      </c>
      <c r="H37" s="276"/>
      <c r="I37" s="287">
        <v>0</v>
      </c>
      <c r="J37" s="288">
        <f t="shared" si="2"/>
        <v>0</v>
      </c>
      <c r="K37" s="276"/>
      <c r="L37" s="287"/>
      <c r="M37" s="288">
        <f t="shared" si="3"/>
        <v>0</v>
      </c>
      <c r="N37" s="276"/>
      <c r="O37" s="289">
        <f t="shared" si="15"/>
        <v>0</v>
      </c>
      <c r="P37" s="287"/>
      <c r="Q37" s="275">
        <f t="shared" si="4"/>
        <v>0</v>
      </c>
      <c r="R37" s="276"/>
      <c r="S37" s="296">
        <v>0.05</v>
      </c>
      <c r="T37" s="275">
        <f t="shared" si="5"/>
        <v>0</v>
      </c>
      <c r="U37" s="276"/>
      <c r="V37" s="296">
        <v>0.15</v>
      </c>
      <c r="W37" s="275">
        <f t="shared" si="6"/>
        <v>0</v>
      </c>
      <c r="X37" s="276"/>
      <c r="Y37" s="296">
        <v>0.1</v>
      </c>
      <c r="Z37" s="275">
        <f t="shared" si="7"/>
        <v>0</v>
      </c>
      <c r="AA37" s="276"/>
      <c r="AB37" s="296">
        <v>0.1</v>
      </c>
      <c r="AC37" s="275">
        <f t="shared" si="8"/>
        <v>0</v>
      </c>
      <c r="AD37" s="275"/>
      <c r="AE37" s="275"/>
      <c r="AF37" s="275">
        <f t="shared" si="9"/>
        <v>1613</v>
      </c>
      <c r="AG37" s="303" t="s">
        <v>127</v>
      </c>
      <c r="AH37" s="304" t="s">
        <v>48</v>
      </c>
      <c r="AI37" s="309">
        <v>2</v>
      </c>
      <c r="AJ37" s="309">
        <v>0</v>
      </c>
      <c r="AK37" s="305"/>
      <c r="AL37" s="306" t="s">
        <v>128</v>
      </c>
    </row>
    <row r="38" s="254" customFormat="1" ht="18" customHeight="1" spans="1:38">
      <c r="A38" s="270">
        <v>36</v>
      </c>
      <c r="B38" s="280" t="s">
        <v>129</v>
      </c>
      <c r="C38" s="278" t="s">
        <v>129</v>
      </c>
      <c r="D38" s="272">
        <f t="shared" si="0"/>
        <v>14578</v>
      </c>
      <c r="E38" s="281">
        <v>6700</v>
      </c>
      <c r="F38" s="274">
        <v>0.25</v>
      </c>
      <c r="G38" s="275">
        <f t="shared" si="1"/>
        <v>1675</v>
      </c>
      <c r="H38" s="276"/>
      <c r="I38" s="287"/>
      <c r="J38" s="288">
        <f t="shared" si="2"/>
        <v>0</v>
      </c>
      <c r="K38" s="276"/>
      <c r="L38" s="287"/>
      <c r="M38" s="288">
        <f t="shared" si="3"/>
        <v>0</v>
      </c>
      <c r="N38" s="291">
        <v>9200</v>
      </c>
      <c r="O38" s="289">
        <f>6050*0.87+3150*0.83</f>
        <v>7878</v>
      </c>
      <c r="P38" s="287">
        <v>0.13</v>
      </c>
      <c r="Q38" s="275">
        <f t="shared" si="4"/>
        <v>1024.14</v>
      </c>
      <c r="R38" s="281"/>
      <c r="S38" s="296">
        <v>0</v>
      </c>
      <c r="T38" s="275">
        <f t="shared" si="5"/>
        <v>0</v>
      </c>
      <c r="U38" s="281"/>
      <c r="V38" s="296">
        <v>0</v>
      </c>
      <c r="W38" s="275">
        <f t="shared" si="6"/>
        <v>0</v>
      </c>
      <c r="X38" s="281"/>
      <c r="Y38" s="296">
        <v>0</v>
      </c>
      <c r="Z38" s="275">
        <f t="shared" si="7"/>
        <v>0</v>
      </c>
      <c r="AA38" s="281"/>
      <c r="AB38" s="296">
        <v>0</v>
      </c>
      <c r="AC38" s="275">
        <f t="shared" si="8"/>
        <v>0</v>
      </c>
      <c r="AD38" s="299"/>
      <c r="AE38" s="299"/>
      <c r="AF38" s="275">
        <f t="shared" si="9"/>
        <v>2699</v>
      </c>
      <c r="AG38" s="307" t="s">
        <v>130</v>
      </c>
      <c r="AH38" s="303"/>
      <c r="AI38" s="275">
        <v>1</v>
      </c>
      <c r="AJ38" s="275"/>
      <c r="AK38" s="311"/>
      <c r="AL38" s="306"/>
    </row>
    <row r="39" s="254" customFormat="1" ht="18" customHeight="1" spans="1:38">
      <c r="A39" s="270">
        <v>3</v>
      </c>
      <c r="B39" s="271" t="s">
        <v>131</v>
      </c>
      <c r="C39" s="278" t="s">
        <v>132</v>
      </c>
      <c r="D39" s="272">
        <f t="shared" si="0"/>
        <v>0</v>
      </c>
      <c r="E39" s="273"/>
      <c r="F39" s="274">
        <v>0.25</v>
      </c>
      <c r="G39" s="275">
        <f t="shared" si="1"/>
        <v>0</v>
      </c>
      <c r="H39" s="276"/>
      <c r="I39" s="287">
        <v>0</v>
      </c>
      <c r="J39" s="288">
        <f t="shared" si="2"/>
        <v>0</v>
      </c>
      <c r="K39" s="276"/>
      <c r="L39" s="287">
        <v>0.05</v>
      </c>
      <c r="M39" s="288">
        <f t="shared" si="3"/>
        <v>0</v>
      </c>
      <c r="N39" s="276"/>
      <c r="O39" s="289">
        <f>N39*0.9</f>
        <v>0</v>
      </c>
      <c r="P39" s="287">
        <v>0</v>
      </c>
      <c r="Q39" s="275">
        <f t="shared" si="4"/>
        <v>0</v>
      </c>
      <c r="R39" s="276"/>
      <c r="S39" s="297">
        <v>0.15</v>
      </c>
      <c r="T39" s="275">
        <f t="shared" si="5"/>
        <v>0</v>
      </c>
      <c r="U39" s="276"/>
      <c r="V39" s="297">
        <v>0.15</v>
      </c>
      <c r="W39" s="275">
        <f t="shared" si="6"/>
        <v>0</v>
      </c>
      <c r="X39" s="276"/>
      <c r="Y39" s="297">
        <v>0.15</v>
      </c>
      <c r="Z39" s="275">
        <f t="shared" si="7"/>
        <v>0</v>
      </c>
      <c r="AA39" s="276"/>
      <c r="AB39" s="297">
        <v>0.15</v>
      </c>
      <c r="AC39" s="275">
        <f t="shared" si="8"/>
        <v>0</v>
      </c>
      <c r="AD39" s="275"/>
      <c r="AE39" s="275"/>
      <c r="AF39" s="275">
        <f t="shared" si="9"/>
        <v>0</v>
      </c>
      <c r="AG39" s="377" t="s">
        <v>133</v>
      </c>
      <c r="AH39" s="313"/>
      <c r="AI39" s="275"/>
      <c r="AJ39" s="275"/>
      <c r="AK39" s="314"/>
      <c r="AL39" s="306"/>
    </row>
    <row r="40" s="254" customFormat="1" ht="18" customHeight="1" spans="1:38">
      <c r="A40" s="270">
        <v>11</v>
      </c>
      <c r="B40" s="271" t="s">
        <v>134</v>
      </c>
      <c r="C40" s="271" t="s">
        <v>135</v>
      </c>
      <c r="D40" s="272">
        <f t="shared" si="0"/>
        <v>0</v>
      </c>
      <c r="E40" s="273"/>
      <c r="F40" s="274">
        <v>0.25</v>
      </c>
      <c r="G40" s="275">
        <f t="shared" si="1"/>
        <v>0</v>
      </c>
      <c r="H40" s="276"/>
      <c r="I40" s="287">
        <v>0</v>
      </c>
      <c r="J40" s="288">
        <f t="shared" si="2"/>
        <v>0</v>
      </c>
      <c r="K40" s="276"/>
      <c r="L40" s="287">
        <v>0.05</v>
      </c>
      <c r="M40" s="288">
        <f t="shared" si="3"/>
        <v>0</v>
      </c>
      <c r="N40" s="276"/>
      <c r="O40" s="289">
        <f t="shared" si="15"/>
        <v>0</v>
      </c>
      <c r="P40" s="287"/>
      <c r="Q40" s="275">
        <f t="shared" si="4"/>
        <v>0</v>
      </c>
      <c r="R40" s="276"/>
      <c r="S40" s="296">
        <v>0.05</v>
      </c>
      <c r="T40" s="275">
        <f t="shared" si="5"/>
        <v>0</v>
      </c>
      <c r="U40" s="276"/>
      <c r="V40" s="296">
        <v>0.15</v>
      </c>
      <c r="W40" s="275">
        <f t="shared" si="6"/>
        <v>0</v>
      </c>
      <c r="X40" s="276"/>
      <c r="Y40" s="296">
        <v>0.1</v>
      </c>
      <c r="Z40" s="275">
        <f t="shared" si="7"/>
        <v>0</v>
      </c>
      <c r="AA40" s="276"/>
      <c r="AB40" s="296">
        <v>0.05</v>
      </c>
      <c r="AC40" s="275">
        <f t="shared" si="8"/>
        <v>0</v>
      </c>
      <c r="AD40" s="275"/>
      <c r="AE40" s="275"/>
      <c r="AF40" s="275">
        <f t="shared" si="9"/>
        <v>0</v>
      </c>
      <c r="AG40" s="303" t="s">
        <v>136</v>
      </c>
      <c r="AH40" s="304" t="s">
        <v>48</v>
      </c>
      <c r="AI40" s="309">
        <v>2</v>
      </c>
      <c r="AJ40" s="309">
        <v>0</v>
      </c>
      <c r="AK40" s="305"/>
      <c r="AL40" s="306" t="s">
        <v>78</v>
      </c>
    </row>
    <row r="41" s="254" customFormat="1" ht="18" customHeight="1" spans="1:38">
      <c r="A41" s="270">
        <v>15</v>
      </c>
      <c r="B41" s="271" t="s">
        <v>137</v>
      </c>
      <c r="C41" s="271" t="s">
        <v>138</v>
      </c>
      <c r="D41" s="272">
        <f t="shared" si="0"/>
        <v>0</v>
      </c>
      <c r="E41" s="273"/>
      <c r="F41" s="274">
        <v>0.25</v>
      </c>
      <c r="G41" s="275">
        <f t="shared" si="1"/>
        <v>0</v>
      </c>
      <c r="H41" s="276"/>
      <c r="I41" s="287">
        <v>0</v>
      </c>
      <c r="J41" s="288">
        <f t="shared" si="2"/>
        <v>0</v>
      </c>
      <c r="K41" s="276"/>
      <c r="L41" s="287">
        <v>0.05</v>
      </c>
      <c r="M41" s="288">
        <f t="shared" si="3"/>
        <v>0</v>
      </c>
      <c r="N41" s="276"/>
      <c r="O41" s="289">
        <f t="shared" si="15"/>
        <v>0</v>
      </c>
      <c r="P41" s="287"/>
      <c r="Q41" s="275">
        <f t="shared" si="4"/>
        <v>0</v>
      </c>
      <c r="R41" s="276"/>
      <c r="S41" s="296">
        <v>0.05</v>
      </c>
      <c r="T41" s="275">
        <f t="shared" si="5"/>
        <v>0</v>
      </c>
      <c r="U41" s="276"/>
      <c r="V41" s="296">
        <v>0.15</v>
      </c>
      <c r="W41" s="275">
        <f t="shared" si="6"/>
        <v>0</v>
      </c>
      <c r="X41" s="276"/>
      <c r="Y41" s="296">
        <v>0.1</v>
      </c>
      <c r="Z41" s="275">
        <f t="shared" si="7"/>
        <v>0</v>
      </c>
      <c r="AA41" s="276"/>
      <c r="AB41" s="296">
        <v>0.1</v>
      </c>
      <c r="AC41" s="275">
        <f t="shared" si="8"/>
        <v>0</v>
      </c>
      <c r="AD41" s="275"/>
      <c r="AE41" s="275"/>
      <c r="AF41" s="275">
        <f t="shared" si="9"/>
        <v>0</v>
      </c>
      <c r="AG41" s="303" t="s">
        <v>139</v>
      </c>
      <c r="AH41" s="304" t="s">
        <v>48</v>
      </c>
      <c r="AI41" s="275">
        <v>2</v>
      </c>
      <c r="AJ41" s="275">
        <v>0</v>
      </c>
      <c r="AK41" s="305"/>
      <c r="AL41" s="306"/>
    </row>
    <row r="42" s="254" customFormat="1" ht="18" customHeight="1" spans="1:38">
      <c r="A42" s="270">
        <v>27</v>
      </c>
      <c r="B42" s="271" t="s">
        <v>140</v>
      </c>
      <c r="C42" s="271" t="s">
        <v>141</v>
      </c>
      <c r="D42" s="272">
        <f t="shared" si="0"/>
        <v>0</v>
      </c>
      <c r="E42" s="273"/>
      <c r="F42" s="274">
        <v>0.25</v>
      </c>
      <c r="G42" s="275">
        <f t="shared" si="1"/>
        <v>0</v>
      </c>
      <c r="H42" s="276"/>
      <c r="I42" s="287">
        <v>0</v>
      </c>
      <c r="J42" s="288">
        <f t="shared" si="2"/>
        <v>0</v>
      </c>
      <c r="K42" s="276"/>
      <c r="L42" s="287"/>
      <c r="M42" s="288">
        <f t="shared" si="3"/>
        <v>0</v>
      </c>
      <c r="N42" s="276"/>
      <c r="O42" s="289">
        <f t="shared" si="15"/>
        <v>0</v>
      </c>
      <c r="P42" s="287">
        <v>0</v>
      </c>
      <c r="Q42" s="275">
        <f t="shared" si="4"/>
        <v>0</v>
      </c>
      <c r="R42" s="276"/>
      <c r="S42" s="296">
        <v>0.05</v>
      </c>
      <c r="T42" s="275">
        <f t="shared" si="5"/>
        <v>0</v>
      </c>
      <c r="U42" s="276"/>
      <c r="V42" s="296">
        <v>0.15</v>
      </c>
      <c r="W42" s="275">
        <f t="shared" si="6"/>
        <v>0</v>
      </c>
      <c r="X42" s="276"/>
      <c r="Y42" s="296">
        <v>0.1</v>
      </c>
      <c r="Z42" s="275">
        <f t="shared" si="7"/>
        <v>0</v>
      </c>
      <c r="AA42" s="276"/>
      <c r="AB42" s="296">
        <v>0.05</v>
      </c>
      <c r="AC42" s="275">
        <f t="shared" si="8"/>
        <v>0</v>
      </c>
      <c r="AD42" s="275"/>
      <c r="AE42" s="275"/>
      <c r="AF42" s="275">
        <f t="shared" si="9"/>
        <v>0</v>
      </c>
      <c r="AG42" s="376" t="s">
        <v>142</v>
      </c>
      <c r="AH42" s="304" t="s">
        <v>59</v>
      </c>
      <c r="AI42" s="275">
        <v>2</v>
      </c>
      <c r="AJ42" s="275">
        <v>-200</v>
      </c>
      <c r="AK42" s="305"/>
      <c r="AL42" s="306"/>
    </row>
    <row r="43" s="254" customFormat="1" ht="18" customHeight="1" spans="1:38">
      <c r="A43" s="270">
        <v>32</v>
      </c>
      <c r="B43" s="271" t="s">
        <v>91</v>
      </c>
      <c r="C43" s="271" t="s">
        <v>92</v>
      </c>
      <c r="D43" s="272">
        <f t="shared" si="0"/>
        <v>0</v>
      </c>
      <c r="E43" s="273"/>
      <c r="F43" s="274">
        <v>0.25</v>
      </c>
      <c r="G43" s="275">
        <f t="shared" si="1"/>
        <v>0</v>
      </c>
      <c r="H43" s="276"/>
      <c r="I43" s="287">
        <v>0</v>
      </c>
      <c r="J43" s="288">
        <f t="shared" si="2"/>
        <v>0</v>
      </c>
      <c r="K43" s="276"/>
      <c r="L43" s="287"/>
      <c r="M43" s="288">
        <f t="shared" si="3"/>
        <v>0</v>
      </c>
      <c r="N43" s="276"/>
      <c r="O43" s="289">
        <f t="shared" si="15"/>
        <v>0</v>
      </c>
      <c r="P43" s="287"/>
      <c r="Q43" s="275">
        <f t="shared" si="4"/>
        <v>0</v>
      </c>
      <c r="R43" s="276"/>
      <c r="S43" s="296">
        <v>0.05</v>
      </c>
      <c r="T43" s="275">
        <f t="shared" si="5"/>
        <v>0</v>
      </c>
      <c r="U43" s="276"/>
      <c r="V43" s="296">
        <v>0.15</v>
      </c>
      <c r="W43" s="275">
        <f t="shared" si="6"/>
        <v>0</v>
      </c>
      <c r="X43" s="276"/>
      <c r="Y43" s="296">
        <v>0.1</v>
      </c>
      <c r="Z43" s="275">
        <f t="shared" si="7"/>
        <v>0</v>
      </c>
      <c r="AA43" s="276"/>
      <c r="AB43" s="296">
        <v>0.05</v>
      </c>
      <c r="AC43" s="275">
        <f t="shared" si="8"/>
        <v>0</v>
      </c>
      <c r="AD43" s="275"/>
      <c r="AE43" s="275"/>
      <c r="AF43" s="275">
        <f t="shared" si="9"/>
        <v>0</v>
      </c>
      <c r="AG43" s="303" t="s">
        <v>93</v>
      </c>
      <c r="AH43" s="304" t="s">
        <v>48</v>
      </c>
      <c r="AI43" s="275">
        <v>2</v>
      </c>
      <c r="AJ43" s="275">
        <v>0</v>
      </c>
      <c r="AK43" s="305"/>
      <c r="AL43" s="306"/>
    </row>
    <row r="44" s="254" customFormat="1" ht="18" customHeight="1" spans="1:38">
      <c r="A44" s="270">
        <v>34</v>
      </c>
      <c r="B44" s="271"/>
      <c r="C44" s="271" t="s">
        <v>143</v>
      </c>
      <c r="D44" s="272">
        <f t="shared" si="0"/>
        <v>0</v>
      </c>
      <c r="E44" s="273"/>
      <c r="F44" s="274">
        <v>0.25</v>
      </c>
      <c r="G44" s="275">
        <f t="shared" si="1"/>
        <v>0</v>
      </c>
      <c r="H44" s="276"/>
      <c r="I44" s="287">
        <v>0</v>
      </c>
      <c r="J44" s="288">
        <f t="shared" si="2"/>
        <v>0</v>
      </c>
      <c r="K44" s="276"/>
      <c r="L44" s="287"/>
      <c r="M44" s="288">
        <f t="shared" si="3"/>
        <v>0</v>
      </c>
      <c r="N44" s="276"/>
      <c r="O44" s="289">
        <f>N44*0.77</f>
        <v>0</v>
      </c>
      <c r="P44" s="287"/>
      <c r="Q44" s="275">
        <f t="shared" si="4"/>
        <v>0</v>
      </c>
      <c r="R44" s="276"/>
      <c r="S44" s="296">
        <v>0.05</v>
      </c>
      <c r="T44" s="275">
        <f t="shared" si="5"/>
        <v>0</v>
      </c>
      <c r="U44" s="276"/>
      <c r="V44" s="296">
        <v>0.15</v>
      </c>
      <c r="W44" s="275">
        <f t="shared" si="6"/>
        <v>0</v>
      </c>
      <c r="X44" s="276"/>
      <c r="Y44" s="296">
        <v>0.1</v>
      </c>
      <c r="Z44" s="275">
        <f t="shared" si="7"/>
        <v>0</v>
      </c>
      <c r="AA44" s="276"/>
      <c r="AB44" s="296">
        <v>0.05</v>
      </c>
      <c r="AC44" s="275">
        <f t="shared" si="8"/>
        <v>0</v>
      </c>
      <c r="AD44" s="275"/>
      <c r="AE44" s="275"/>
      <c r="AF44" s="275">
        <f t="shared" si="9"/>
        <v>0</v>
      </c>
      <c r="AG44" s="303"/>
      <c r="AH44" s="303"/>
      <c r="AI44" s="275"/>
      <c r="AJ44" s="275"/>
      <c r="AK44" s="305"/>
      <c r="AL44" s="306"/>
    </row>
    <row r="45" s="254" customFormat="1" ht="18" customHeight="1" spans="1:38">
      <c r="A45" s="270">
        <v>35</v>
      </c>
      <c r="B45" s="271" t="s">
        <v>144</v>
      </c>
      <c r="C45" s="271" t="s">
        <v>144</v>
      </c>
      <c r="D45" s="272">
        <f t="shared" si="0"/>
        <v>0</v>
      </c>
      <c r="E45" s="273"/>
      <c r="F45" s="274">
        <v>0.25</v>
      </c>
      <c r="G45" s="275">
        <f t="shared" si="1"/>
        <v>0</v>
      </c>
      <c r="H45" s="276"/>
      <c r="I45" s="287">
        <v>0</v>
      </c>
      <c r="J45" s="288">
        <f t="shared" si="2"/>
        <v>0</v>
      </c>
      <c r="K45" s="276"/>
      <c r="L45" s="287"/>
      <c r="M45" s="288">
        <f t="shared" si="3"/>
        <v>0</v>
      </c>
      <c r="N45" s="276"/>
      <c r="O45" s="289">
        <f t="shared" ref="O45:O50" si="16">N45*0.83</f>
        <v>0</v>
      </c>
      <c r="P45" s="287"/>
      <c r="Q45" s="275">
        <f t="shared" si="4"/>
        <v>0</v>
      </c>
      <c r="R45" s="276"/>
      <c r="S45" s="296">
        <v>0.05</v>
      </c>
      <c r="T45" s="275">
        <f t="shared" si="5"/>
        <v>0</v>
      </c>
      <c r="U45" s="276"/>
      <c r="V45" s="296">
        <v>0.15</v>
      </c>
      <c r="W45" s="275">
        <f t="shared" si="6"/>
        <v>0</v>
      </c>
      <c r="X45" s="276"/>
      <c r="Y45" s="296">
        <v>0.1</v>
      </c>
      <c r="Z45" s="275">
        <f t="shared" si="7"/>
        <v>0</v>
      </c>
      <c r="AA45" s="276"/>
      <c r="AB45" s="296">
        <v>0.05</v>
      </c>
      <c r="AC45" s="275">
        <f t="shared" si="8"/>
        <v>0</v>
      </c>
      <c r="AD45" s="275"/>
      <c r="AE45" s="275"/>
      <c r="AF45" s="275">
        <f t="shared" si="9"/>
        <v>0</v>
      </c>
      <c r="AG45" s="376" t="s">
        <v>145</v>
      </c>
      <c r="AH45" s="304"/>
      <c r="AI45" s="275"/>
      <c r="AJ45" s="275"/>
      <c r="AK45" s="305"/>
      <c r="AL45" s="306"/>
    </row>
    <row r="46" s="254" customFormat="1" ht="18" customHeight="1" spans="1:38">
      <c r="A46" s="270">
        <v>36</v>
      </c>
      <c r="B46" s="271" t="s">
        <v>146</v>
      </c>
      <c r="C46" s="278" t="s">
        <v>147</v>
      </c>
      <c r="D46" s="272">
        <f t="shared" si="0"/>
        <v>0</v>
      </c>
      <c r="E46" s="273"/>
      <c r="F46" s="274">
        <v>0.25</v>
      </c>
      <c r="G46" s="275">
        <f t="shared" si="1"/>
        <v>0</v>
      </c>
      <c r="H46" s="276"/>
      <c r="I46" s="287">
        <v>0</v>
      </c>
      <c r="J46" s="288">
        <f t="shared" si="2"/>
        <v>0</v>
      </c>
      <c r="K46" s="276"/>
      <c r="L46" s="287"/>
      <c r="M46" s="288">
        <f t="shared" si="3"/>
        <v>0</v>
      </c>
      <c r="N46" s="276"/>
      <c r="O46" s="289">
        <f t="shared" si="16"/>
        <v>0</v>
      </c>
      <c r="P46" s="287"/>
      <c r="Q46" s="275">
        <f t="shared" si="4"/>
        <v>0</v>
      </c>
      <c r="R46" s="276"/>
      <c r="S46" s="297">
        <v>0.05</v>
      </c>
      <c r="T46" s="275">
        <f t="shared" si="5"/>
        <v>0</v>
      </c>
      <c r="U46" s="276"/>
      <c r="V46" s="297">
        <v>0.15</v>
      </c>
      <c r="W46" s="275">
        <f t="shared" si="6"/>
        <v>0</v>
      </c>
      <c r="X46" s="276"/>
      <c r="Y46" s="297">
        <v>0.05</v>
      </c>
      <c r="Z46" s="275">
        <f t="shared" si="7"/>
        <v>0</v>
      </c>
      <c r="AA46" s="276"/>
      <c r="AB46" s="297">
        <v>0.05</v>
      </c>
      <c r="AC46" s="275">
        <f t="shared" si="8"/>
        <v>0</v>
      </c>
      <c r="AD46" s="275"/>
      <c r="AE46" s="275"/>
      <c r="AF46" s="275">
        <f t="shared" si="9"/>
        <v>0</v>
      </c>
      <c r="AG46" s="303" t="s">
        <v>148</v>
      </c>
      <c r="AH46" s="304" t="s">
        <v>59</v>
      </c>
      <c r="AI46" s="275">
        <v>2</v>
      </c>
      <c r="AJ46" s="275">
        <v>-200</v>
      </c>
      <c r="AK46" s="315"/>
      <c r="AL46" s="306"/>
    </row>
    <row r="47" s="254" customFormat="1" ht="18" customHeight="1" spans="1:38">
      <c r="A47" s="270">
        <v>39</v>
      </c>
      <c r="B47" s="282" t="s">
        <v>149</v>
      </c>
      <c r="C47" s="279" t="s">
        <v>150</v>
      </c>
      <c r="D47" s="272">
        <f t="shared" si="0"/>
        <v>0</v>
      </c>
      <c r="E47" s="273"/>
      <c r="F47" s="274">
        <v>0.25</v>
      </c>
      <c r="G47" s="275">
        <f t="shared" si="1"/>
        <v>0</v>
      </c>
      <c r="H47" s="276"/>
      <c r="I47" s="287">
        <v>0</v>
      </c>
      <c r="J47" s="288">
        <f t="shared" si="2"/>
        <v>0</v>
      </c>
      <c r="K47" s="276"/>
      <c r="L47" s="287"/>
      <c r="M47" s="288">
        <f t="shared" si="3"/>
        <v>0</v>
      </c>
      <c r="N47" s="276"/>
      <c r="O47" s="289">
        <f t="shared" si="16"/>
        <v>0</v>
      </c>
      <c r="P47" s="287"/>
      <c r="Q47" s="275">
        <f t="shared" si="4"/>
        <v>0</v>
      </c>
      <c r="R47" s="276"/>
      <c r="S47" s="297">
        <v>0.05</v>
      </c>
      <c r="T47" s="275">
        <f t="shared" si="5"/>
        <v>0</v>
      </c>
      <c r="U47" s="276"/>
      <c r="V47" s="297"/>
      <c r="W47" s="275">
        <f t="shared" si="6"/>
        <v>0</v>
      </c>
      <c r="X47" s="276"/>
      <c r="Y47" s="297"/>
      <c r="Z47" s="275">
        <f t="shared" si="7"/>
        <v>0</v>
      </c>
      <c r="AA47" s="276"/>
      <c r="AB47" s="297"/>
      <c r="AC47" s="275">
        <f t="shared" si="8"/>
        <v>0</v>
      </c>
      <c r="AD47" s="275"/>
      <c r="AE47" s="275"/>
      <c r="AF47" s="275">
        <f t="shared" si="9"/>
        <v>0</v>
      </c>
      <c r="AG47" s="303" t="s">
        <v>151</v>
      </c>
      <c r="AH47" s="303"/>
      <c r="AI47" s="275"/>
      <c r="AJ47" s="275"/>
      <c r="AK47" s="315"/>
      <c r="AL47" s="306"/>
    </row>
    <row r="48" s="254" customFormat="1" ht="18" customHeight="1" spans="1:38">
      <c r="A48" s="270">
        <v>40</v>
      </c>
      <c r="B48" s="271" t="s">
        <v>152</v>
      </c>
      <c r="C48" s="271" t="s">
        <v>153</v>
      </c>
      <c r="D48" s="272">
        <f t="shared" si="0"/>
        <v>0</v>
      </c>
      <c r="E48" s="273"/>
      <c r="F48" s="274">
        <v>0.25</v>
      </c>
      <c r="G48" s="275">
        <f t="shared" si="1"/>
        <v>0</v>
      </c>
      <c r="H48" s="276"/>
      <c r="I48" s="287">
        <v>0</v>
      </c>
      <c r="J48" s="288">
        <f t="shared" si="2"/>
        <v>0</v>
      </c>
      <c r="K48" s="276"/>
      <c r="L48" s="287"/>
      <c r="M48" s="288">
        <f t="shared" si="3"/>
        <v>0</v>
      </c>
      <c r="N48" s="276"/>
      <c r="O48" s="289">
        <f t="shared" si="16"/>
        <v>0</v>
      </c>
      <c r="P48" s="287"/>
      <c r="Q48" s="275">
        <f t="shared" si="4"/>
        <v>0</v>
      </c>
      <c r="R48" s="276"/>
      <c r="S48" s="296">
        <v>0.05</v>
      </c>
      <c r="T48" s="275">
        <f t="shared" si="5"/>
        <v>0</v>
      </c>
      <c r="U48" s="276"/>
      <c r="V48" s="296">
        <v>0.15</v>
      </c>
      <c r="W48" s="275">
        <f t="shared" si="6"/>
        <v>0</v>
      </c>
      <c r="X48" s="276"/>
      <c r="Y48" s="296">
        <v>0.1</v>
      </c>
      <c r="Z48" s="275">
        <f t="shared" si="7"/>
        <v>0</v>
      </c>
      <c r="AA48" s="276"/>
      <c r="AB48" s="296">
        <v>0.05</v>
      </c>
      <c r="AC48" s="275">
        <f t="shared" si="8"/>
        <v>0</v>
      </c>
      <c r="AD48" s="275"/>
      <c r="AE48" s="275"/>
      <c r="AF48" s="275">
        <f t="shared" si="9"/>
        <v>0</v>
      </c>
      <c r="AG48" s="303" t="s">
        <v>154</v>
      </c>
      <c r="AH48" s="304" t="s">
        <v>48</v>
      </c>
      <c r="AI48" s="275">
        <v>1</v>
      </c>
      <c r="AJ48" s="275">
        <v>-200</v>
      </c>
      <c r="AK48" s="305"/>
      <c r="AL48" s="306" t="s">
        <v>155</v>
      </c>
    </row>
    <row r="49" s="254" customFormat="1" ht="18" customHeight="1" spans="1:38">
      <c r="A49" s="270">
        <v>42</v>
      </c>
      <c r="B49" s="271"/>
      <c r="C49" s="271" t="s">
        <v>156</v>
      </c>
      <c r="D49" s="272">
        <f t="shared" si="0"/>
        <v>0</v>
      </c>
      <c r="E49" s="273"/>
      <c r="F49" s="274">
        <v>0.25</v>
      </c>
      <c r="G49" s="275">
        <f t="shared" si="1"/>
        <v>0</v>
      </c>
      <c r="H49" s="276"/>
      <c r="I49" s="287">
        <v>0</v>
      </c>
      <c r="J49" s="288">
        <f t="shared" si="2"/>
        <v>0</v>
      </c>
      <c r="K49" s="276"/>
      <c r="L49" s="287"/>
      <c r="M49" s="288">
        <f t="shared" si="3"/>
        <v>0</v>
      </c>
      <c r="N49" s="276"/>
      <c r="O49" s="289">
        <f t="shared" si="16"/>
        <v>0</v>
      </c>
      <c r="P49" s="287"/>
      <c r="Q49" s="275">
        <f t="shared" si="4"/>
        <v>0</v>
      </c>
      <c r="R49" s="276"/>
      <c r="S49" s="296">
        <v>0.05</v>
      </c>
      <c r="T49" s="275">
        <f t="shared" si="5"/>
        <v>0</v>
      </c>
      <c r="U49" s="276"/>
      <c r="V49" s="296">
        <v>0.15</v>
      </c>
      <c r="W49" s="275">
        <f t="shared" si="6"/>
        <v>0</v>
      </c>
      <c r="X49" s="276"/>
      <c r="Y49" s="296">
        <v>0.1</v>
      </c>
      <c r="Z49" s="275">
        <f t="shared" si="7"/>
        <v>0</v>
      </c>
      <c r="AA49" s="276"/>
      <c r="AB49" s="296">
        <v>0.05</v>
      </c>
      <c r="AC49" s="275">
        <f t="shared" si="8"/>
        <v>0</v>
      </c>
      <c r="AD49" s="275"/>
      <c r="AE49" s="275"/>
      <c r="AF49" s="275">
        <f t="shared" si="9"/>
        <v>0</v>
      </c>
      <c r="AG49" s="303"/>
      <c r="AH49" s="303"/>
      <c r="AI49" s="275"/>
      <c r="AJ49" s="275"/>
      <c r="AK49" s="305"/>
      <c r="AL49" s="306"/>
    </row>
    <row r="50" s="254" customFormat="1" ht="18" customHeight="1" spans="1:38">
      <c r="A50" s="270">
        <v>43</v>
      </c>
      <c r="B50" s="271"/>
      <c r="C50" s="271" t="s">
        <v>157</v>
      </c>
      <c r="D50" s="272">
        <f t="shared" si="0"/>
        <v>0</v>
      </c>
      <c r="E50" s="273"/>
      <c r="F50" s="274">
        <v>0.25</v>
      </c>
      <c r="G50" s="275">
        <f t="shared" si="1"/>
        <v>0</v>
      </c>
      <c r="H50" s="276"/>
      <c r="I50" s="287">
        <v>0</v>
      </c>
      <c r="J50" s="288">
        <f t="shared" si="2"/>
        <v>0</v>
      </c>
      <c r="K50" s="276"/>
      <c r="L50" s="287"/>
      <c r="M50" s="288">
        <f t="shared" si="3"/>
        <v>0</v>
      </c>
      <c r="N50" s="276"/>
      <c r="O50" s="289">
        <f t="shared" si="16"/>
        <v>0</v>
      </c>
      <c r="P50" s="287"/>
      <c r="Q50" s="275">
        <f t="shared" si="4"/>
        <v>0</v>
      </c>
      <c r="R50" s="276"/>
      <c r="S50" s="296">
        <v>0.05</v>
      </c>
      <c r="T50" s="275">
        <f t="shared" si="5"/>
        <v>0</v>
      </c>
      <c r="U50" s="276"/>
      <c r="V50" s="296">
        <v>0.15</v>
      </c>
      <c r="W50" s="275">
        <f t="shared" si="6"/>
        <v>0</v>
      </c>
      <c r="X50" s="276"/>
      <c r="Y50" s="296">
        <v>0.1</v>
      </c>
      <c r="Z50" s="275">
        <f t="shared" si="7"/>
        <v>0</v>
      </c>
      <c r="AA50" s="276"/>
      <c r="AB50" s="296">
        <v>0.05</v>
      </c>
      <c r="AC50" s="275">
        <f t="shared" si="8"/>
        <v>0</v>
      </c>
      <c r="AD50" s="275"/>
      <c r="AE50" s="275"/>
      <c r="AF50" s="275">
        <f t="shared" si="9"/>
        <v>0</v>
      </c>
      <c r="AG50" s="303"/>
      <c r="AH50" s="303"/>
      <c r="AI50" s="275"/>
      <c r="AJ50" s="275"/>
      <c r="AK50" s="305"/>
      <c r="AL50" s="306"/>
    </row>
    <row r="51" s="254" customFormat="1" ht="18" customHeight="1" spans="1:38">
      <c r="A51" s="270">
        <v>6</v>
      </c>
      <c r="B51" s="271" t="s">
        <v>158</v>
      </c>
      <c r="C51" s="271" t="s">
        <v>159</v>
      </c>
      <c r="D51" s="272">
        <f t="shared" si="0"/>
        <v>0</v>
      </c>
      <c r="E51" s="273"/>
      <c r="F51" s="274">
        <v>0.2</v>
      </c>
      <c r="G51" s="275">
        <f t="shared" si="1"/>
        <v>0</v>
      </c>
      <c r="H51" s="276"/>
      <c r="I51" s="287"/>
      <c r="J51" s="288">
        <f t="shared" si="2"/>
        <v>0</v>
      </c>
      <c r="K51" s="276"/>
      <c r="L51" s="287"/>
      <c r="M51" s="288">
        <f t="shared" si="3"/>
        <v>0</v>
      </c>
      <c r="N51" s="276"/>
      <c r="O51" s="289">
        <f>N51*0.77</f>
        <v>0</v>
      </c>
      <c r="P51" s="287"/>
      <c r="Q51" s="275">
        <f t="shared" si="4"/>
        <v>0</v>
      </c>
      <c r="R51" s="276"/>
      <c r="S51" s="296">
        <v>0.05</v>
      </c>
      <c r="T51" s="275">
        <f t="shared" si="5"/>
        <v>0</v>
      </c>
      <c r="U51" s="276"/>
      <c r="V51" s="296">
        <v>0.15</v>
      </c>
      <c r="W51" s="275">
        <f t="shared" si="6"/>
        <v>0</v>
      </c>
      <c r="X51" s="276"/>
      <c r="Y51" s="296">
        <v>0.1</v>
      </c>
      <c r="Z51" s="275">
        <f t="shared" si="7"/>
        <v>0</v>
      </c>
      <c r="AA51" s="276"/>
      <c r="AB51" s="296">
        <v>0.05</v>
      </c>
      <c r="AC51" s="275">
        <f t="shared" si="8"/>
        <v>0</v>
      </c>
      <c r="AD51" s="275"/>
      <c r="AE51" s="275"/>
      <c r="AF51" s="275">
        <f t="shared" si="9"/>
        <v>0</v>
      </c>
      <c r="AG51" s="303" t="s">
        <v>160</v>
      </c>
      <c r="AH51" s="304">
        <v>7</v>
      </c>
      <c r="AI51" s="275">
        <v>4</v>
      </c>
      <c r="AJ51" s="275">
        <v>-600</v>
      </c>
      <c r="AK51" s="305"/>
      <c r="AL51" s="306"/>
    </row>
    <row r="52" s="254" customFormat="1" ht="18" customHeight="1" spans="1:38">
      <c r="A52" s="270">
        <v>27</v>
      </c>
      <c r="B52" s="271" t="s">
        <v>161</v>
      </c>
      <c r="C52" s="271" t="s">
        <v>162</v>
      </c>
      <c r="D52" s="272">
        <f t="shared" si="0"/>
        <v>0</v>
      </c>
      <c r="E52" s="273"/>
      <c r="F52" s="274">
        <v>0.2</v>
      </c>
      <c r="G52" s="275">
        <f t="shared" si="1"/>
        <v>0</v>
      </c>
      <c r="H52" s="276"/>
      <c r="I52" s="287"/>
      <c r="J52" s="288">
        <f t="shared" si="2"/>
        <v>0</v>
      </c>
      <c r="K52" s="276"/>
      <c r="L52" s="287"/>
      <c r="M52" s="288">
        <f t="shared" si="3"/>
        <v>0</v>
      </c>
      <c r="N52" s="276"/>
      <c r="O52" s="289">
        <f t="shared" ref="O52:O57" si="17">N52*0.83</f>
        <v>0</v>
      </c>
      <c r="P52" s="287"/>
      <c r="Q52" s="275">
        <f t="shared" si="4"/>
        <v>0</v>
      </c>
      <c r="R52" s="276"/>
      <c r="S52" s="296">
        <v>0.05</v>
      </c>
      <c r="T52" s="275">
        <f t="shared" si="5"/>
        <v>0</v>
      </c>
      <c r="U52" s="276"/>
      <c r="V52" s="296">
        <v>0.15</v>
      </c>
      <c r="W52" s="275">
        <f t="shared" si="6"/>
        <v>0</v>
      </c>
      <c r="X52" s="276"/>
      <c r="Y52" s="296">
        <v>0.1</v>
      </c>
      <c r="Z52" s="275">
        <f t="shared" si="7"/>
        <v>0</v>
      </c>
      <c r="AA52" s="276"/>
      <c r="AB52" s="296">
        <v>0.1</v>
      </c>
      <c r="AC52" s="275">
        <f t="shared" si="8"/>
        <v>0</v>
      </c>
      <c r="AD52" s="275"/>
      <c r="AE52" s="275"/>
      <c r="AF52" s="275">
        <f t="shared" si="9"/>
        <v>0</v>
      </c>
      <c r="AG52" s="303" t="s">
        <v>163</v>
      </c>
      <c r="AH52" s="304" t="s">
        <v>48</v>
      </c>
      <c r="AI52" s="275">
        <v>1</v>
      </c>
      <c r="AJ52" s="275">
        <v>-200</v>
      </c>
      <c r="AK52" s="305"/>
      <c r="AL52" s="306" t="s">
        <v>78</v>
      </c>
    </row>
    <row r="53" s="254" customFormat="1" ht="18" customHeight="1" spans="1:38">
      <c r="A53" s="270">
        <v>11</v>
      </c>
      <c r="B53" s="271" t="s">
        <v>164</v>
      </c>
      <c r="C53" s="271" t="s">
        <v>165</v>
      </c>
      <c r="D53" s="272">
        <f t="shared" si="0"/>
        <v>0</v>
      </c>
      <c r="E53" s="273"/>
      <c r="F53" s="274">
        <v>0.25</v>
      </c>
      <c r="G53" s="275">
        <f t="shared" si="1"/>
        <v>0</v>
      </c>
      <c r="H53" s="276"/>
      <c r="I53" s="287"/>
      <c r="J53" s="288">
        <f t="shared" si="2"/>
        <v>0</v>
      </c>
      <c r="K53" s="276"/>
      <c r="L53" s="287"/>
      <c r="M53" s="288">
        <f t="shared" si="3"/>
        <v>0</v>
      </c>
      <c r="N53" s="276"/>
      <c r="O53" s="289">
        <f>N53*0.8</f>
        <v>0</v>
      </c>
      <c r="P53" s="287"/>
      <c r="Q53" s="275">
        <f t="shared" si="4"/>
        <v>0</v>
      </c>
      <c r="R53" s="276"/>
      <c r="S53" s="296">
        <v>0.05</v>
      </c>
      <c r="T53" s="275">
        <f t="shared" si="5"/>
        <v>0</v>
      </c>
      <c r="U53" s="276"/>
      <c r="V53" s="296">
        <v>0.15</v>
      </c>
      <c r="W53" s="275">
        <f t="shared" si="6"/>
        <v>0</v>
      </c>
      <c r="X53" s="276"/>
      <c r="Y53" s="296">
        <v>0.1</v>
      </c>
      <c r="Z53" s="275">
        <f t="shared" si="7"/>
        <v>0</v>
      </c>
      <c r="AA53" s="276"/>
      <c r="AB53" s="296">
        <v>0.1</v>
      </c>
      <c r="AC53" s="275">
        <f t="shared" si="8"/>
        <v>0</v>
      </c>
      <c r="AD53" s="275"/>
      <c r="AE53" s="275"/>
      <c r="AF53" s="275">
        <f t="shared" si="9"/>
        <v>0</v>
      </c>
      <c r="AG53" s="303" t="s">
        <v>166</v>
      </c>
      <c r="AH53" s="304" t="s">
        <v>24</v>
      </c>
      <c r="AI53" s="275">
        <v>4</v>
      </c>
      <c r="AJ53" s="275">
        <v>-400</v>
      </c>
      <c r="AK53" s="305"/>
      <c r="AL53" s="306"/>
    </row>
    <row r="54" s="254" customFormat="1" ht="18" customHeight="1" spans="1:38">
      <c r="A54" s="270">
        <v>19</v>
      </c>
      <c r="B54" s="271" t="s">
        <v>167</v>
      </c>
      <c r="C54" s="271" t="s">
        <v>168</v>
      </c>
      <c r="D54" s="272">
        <f t="shared" si="0"/>
        <v>0</v>
      </c>
      <c r="E54" s="273"/>
      <c r="F54" s="274">
        <v>0.2</v>
      </c>
      <c r="G54" s="275">
        <f t="shared" si="1"/>
        <v>0</v>
      </c>
      <c r="H54" s="276"/>
      <c r="I54" s="287">
        <v>0</v>
      </c>
      <c r="J54" s="288">
        <f t="shared" si="2"/>
        <v>0</v>
      </c>
      <c r="K54" s="276"/>
      <c r="L54" s="287">
        <v>0</v>
      </c>
      <c r="M54" s="288">
        <f t="shared" si="3"/>
        <v>0</v>
      </c>
      <c r="N54" s="276"/>
      <c r="O54" s="289">
        <f t="shared" si="17"/>
        <v>0</v>
      </c>
      <c r="P54" s="287"/>
      <c r="Q54" s="275">
        <f t="shared" si="4"/>
        <v>0</v>
      </c>
      <c r="R54" s="276"/>
      <c r="S54" s="296">
        <v>0.05</v>
      </c>
      <c r="T54" s="275">
        <f t="shared" si="5"/>
        <v>0</v>
      </c>
      <c r="U54" s="276"/>
      <c r="V54" s="296">
        <v>0.15</v>
      </c>
      <c r="W54" s="275">
        <f t="shared" si="6"/>
        <v>0</v>
      </c>
      <c r="X54" s="276"/>
      <c r="Y54" s="296">
        <v>0.1</v>
      </c>
      <c r="Z54" s="275">
        <f t="shared" si="7"/>
        <v>0</v>
      </c>
      <c r="AA54" s="276"/>
      <c r="AB54" s="296">
        <v>0.1</v>
      </c>
      <c r="AC54" s="275">
        <f t="shared" si="8"/>
        <v>0</v>
      </c>
      <c r="AD54" s="275"/>
      <c r="AE54" s="275"/>
      <c r="AF54" s="275">
        <f t="shared" si="9"/>
        <v>0</v>
      </c>
      <c r="AG54" s="303" t="s">
        <v>169</v>
      </c>
      <c r="AH54" s="304" t="s">
        <v>48</v>
      </c>
      <c r="AI54" s="275">
        <v>1</v>
      </c>
      <c r="AJ54" s="275">
        <v>-200</v>
      </c>
      <c r="AK54" s="305"/>
      <c r="AL54" s="306"/>
    </row>
    <row r="55" s="254" customFormat="1" ht="18" customHeight="1" spans="1:38">
      <c r="A55" s="270">
        <v>29</v>
      </c>
      <c r="B55" s="271" t="s">
        <v>170</v>
      </c>
      <c r="C55" s="271" t="s">
        <v>171</v>
      </c>
      <c r="D55" s="272">
        <f t="shared" si="0"/>
        <v>0</v>
      </c>
      <c r="E55" s="273"/>
      <c r="F55" s="274">
        <v>0.2</v>
      </c>
      <c r="G55" s="275">
        <f t="shared" si="1"/>
        <v>0</v>
      </c>
      <c r="H55" s="276"/>
      <c r="I55" s="287"/>
      <c r="J55" s="288">
        <f t="shared" si="2"/>
        <v>0</v>
      </c>
      <c r="K55" s="276"/>
      <c r="L55" s="287"/>
      <c r="M55" s="288">
        <f t="shared" si="3"/>
        <v>0</v>
      </c>
      <c r="N55" s="276"/>
      <c r="O55" s="289">
        <f>N55*0.8</f>
        <v>0</v>
      </c>
      <c r="P55" s="287"/>
      <c r="Q55" s="275">
        <f t="shared" si="4"/>
        <v>0</v>
      </c>
      <c r="R55" s="276"/>
      <c r="S55" s="296">
        <v>0.05</v>
      </c>
      <c r="T55" s="275">
        <f t="shared" si="5"/>
        <v>0</v>
      </c>
      <c r="U55" s="276"/>
      <c r="V55" s="296">
        <v>0.15</v>
      </c>
      <c r="W55" s="275">
        <f t="shared" si="6"/>
        <v>0</v>
      </c>
      <c r="X55" s="276"/>
      <c r="Y55" s="296">
        <v>0.1</v>
      </c>
      <c r="Z55" s="275">
        <f t="shared" si="7"/>
        <v>0</v>
      </c>
      <c r="AA55" s="276"/>
      <c r="AB55" s="296">
        <v>0.1</v>
      </c>
      <c r="AC55" s="275">
        <f t="shared" si="8"/>
        <v>0</v>
      </c>
      <c r="AD55" s="275"/>
      <c r="AE55" s="275"/>
      <c r="AF55" s="275">
        <f t="shared" si="9"/>
        <v>0</v>
      </c>
      <c r="AG55" s="303" t="s">
        <v>172</v>
      </c>
      <c r="AH55" s="304" t="s">
        <v>59</v>
      </c>
      <c r="AI55" s="275">
        <v>1</v>
      </c>
      <c r="AJ55" s="275">
        <v>-400</v>
      </c>
      <c r="AK55" s="305"/>
      <c r="AL55" s="306"/>
    </row>
    <row r="56" s="254" customFormat="1" ht="18" customHeight="1" spans="1:38">
      <c r="A56" s="270">
        <v>35</v>
      </c>
      <c r="B56" s="271" t="s">
        <v>173</v>
      </c>
      <c r="C56" s="271" t="s">
        <v>174</v>
      </c>
      <c r="D56" s="272">
        <f t="shared" si="0"/>
        <v>0</v>
      </c>
      <c r="E56" s="273"/>
      <c r="F56" s="274">
        <v>0.2</v>
      </c>
      <c r="G56" s="275">
        <f t="shared" si="1"/>
        <v>0</v>
      </c>
      <c r="H56" s="276"/>
      <c r="I56" s="287">
        <v>0</v>
      </c>
      <c r="J56" s="288">
        <f t="shared" si="2"/>
        <v>0</v>
      </c>
      <c r="K56" s="276"/>
      <c r="L56" s="287">
        <v>0</v>
      </c>
      <c r="M56" s="288">
        <f t="shared" si="3"/>
        <v>0</v>
      </c>
      <c r="N56" s="276"/>
      <c r="O56" s="289">
        <f t="shared" si="17"/>
        <v>0</v>
      </c>
      <c r="P56" s="287"/>
      <c r="Q56" s="275">
        <f t="shared" si="4"/>
        <v>0</v>
      </c>
      <c r="R56" s="276"/>
      <c r="S56" s="296">
        <v>0.05</v>
      </c>
      <c r="T56" s="275">
        <f t="shared" si="5"/>
        <v>0</v>
      </c>
      <c r="U56" s="276"/>
      <c r="V56" s="296">
        <v>0.15</v>
      </c>
      <c r="W56" s="275">
        <f t="shared" si="6"/>
        <v>0</v>
      </c>
      <c r="X56" s="276"/>
      <c r="Y56" s="296">
        <v>0.1</v>
      </c>
      <c r="Z56" s="275">
        <f t="shared" si="7"/>
        <v>0</v>
      </c>
      <c r="AA56" s="276"/>
      <c r="AB56" s="296">
        <v>0.1</v>
      </c>
      <c r="AC56" s="275">
        <f t="shared" si="8"/>
        <v>0</v>
      </c>
      <c r="AD56" s="275"/>
      <c r="AE56" s="275"/>
      <c r="AF56" s="275">
        <f t="shared" si="9"/>
        <v>0</v>
      </c>
      <c r="AG56" s="303" t="s">
        <v>175</v>
      </c>
      <c r="AH56" s="304" t="s">
        <v>48</v>
      </c>
      <c r="AI56" s="275">
        <v>1</v>
      </c>
      <c r="AJ56" s="275">
        <v>-200</v>
      </c>
      <c r="AK56" s="305"/>
      <c r="AL56" s="306" t="s">
        <v>128</v>
      </c>
    </row>
    <row r="57" s="254" customFormat="1" ht="18" customHeight="1" spans="1:38">
      <c r="A57" s="270">
        <v>37</v>
      </c>
      <c r="B57" s="271" t="s">
        <v>176</v>
      </c>
      <c r="C57" s="271" t="s">
        <v>177</v>
      </c>
      <c r="D57" s="272">
        <f t="shared" si="0"/>
        <v>0</v>
      </c>
      <c r="E57" s="273"/>
      <c r="F57" s="274">
        <v>0.2</v>
      </c>
      <c r="G57" s="275">
        <f t="shared" si="1"/>
        <v>0</v>
      </c>
      <c r="H57" s="276"/>
      <c r="I57" s="287"/>
      <c r="J57" s="288">
        <f t="shared" si="2"/>
        <v>0</v>
      </c>
      <c r="K57" s="276"/>
      <c r="L57" s="287"/>
      <c r="M57" s="288">
        <f t="shared" si="3"/>
        <v>0</v>
      </c>
      <c r="N57" s="276"/>
      <c r="O57" s="289">
        <f t="shared" si="17"/>
        <v>0</v>
      </c>
      <c r="P57" s="287"/>
      <c r="Q57" s="275">
        <f t="shared" si="4"/>
        <v>0</v>
      </c>
      <c r="R57" s="276"/>
      <c r="S57" s="296">
        <v>0.05</v>
      </c>
      <c r="T57" s="275">
        <f t="shared" si="5"/>
        <v>0</v>
      </c>
      <c r="U57" s="276"/>
      <c r="V57" s="296">
        <v>0.15</v>
      </c>
      <c r="W57" s="275">
        <f t="shared" si="6"/>
        <v>0</v>
      </c>
      <c r="X57" s="276"/>
      <c r="Y57" s="296">
        <v>0.1</v>
      </c>
      <c r="Z57" s="275">
        <f t="shared" si="7"/>
        <v>0</v>
      </c>
      <c r="AA57" s="276"/>
      <c r="AB57" s="296">
        <v>0.1</v>
      </c>
      <c r="AC57" s="275">
        <f t="shared" si="8"/>
        <v>0</v>
      </c>
      <c r="AD57" s="275"/>
      <c r="AE57" s="275"/>
      <c r="AF57" s="275">
        <f t="shared" si="9"/>
        <v>0</v>
      </c>
      <c r="AG57" s="303" t="s">
        <v>178</v>
      </c>
      <c r="AH57" s="304" t="s">
        <v>48</v>
      </c>
      <c r="AI57" s="275">
        <v>1</v>
      </c>
      <c r="AJ57" s="275">
        <v>-200</v>
      </c>
      <c r="AK57" s="305"/>
      <c r="AL57" s="306" t="s">
        <v>128</v>
      </c>
    </row>
    <row r="58" s="254" customFormat="1" ht="18" customHeight="1" spans="1:38">
      <c r="A58" s="270">
        <v>43</v>
      </c>
      <c r="B58" s="271" t="s">
        <v>179</v>
      </c>
      <c r="C58" s="271" t="s">
        <v>179</v>
      </c>
      <c r="D58" s="272">
        <f t="shared" si="0"/>
        <v>0</v>
      </c>
      <c r="E58" s="273"/>
      <c r="F58" s="274">
        <v>0.2</v>
      </c>
      <c r="G58" s="275">
        <f t="shared" si="1"/>
        <v>0</v>
      </c>
      <c r="H58" s="276"/>
      <c r="I58" s="287"/>
      <c r="J58" s="288">
        <f t="shared" si="2"/>
        <v>0</v>
      </c>
      <c r="K58" s="276"/>
      <c r="L58" s="287"/>
      <c r="M58" s="288">
        <f t="shared" si="3"/>
        <v>0</v>
      </c>
      <c r="N58" s="276"/>
      <c r="O58" s="289">
        <f>N58*1</f>
        <v>0</v>
      </c>
      <c r="P58" s="287"/>
      <c r="Q58" s="275">
        <f t="shared" si="4"/>
        <v>0</v>
      </c>
      <c r="R58" s="276"/>
      <c r="S58" s="296">
        <v>0.05</v>
      </c>
      <c r="T58" s="275">
        <f t="shared" si="5"/>
        <v>0</v>
      </c>
      <c r="U58" s="276"/>
      <c r="V58" s="296">
        <v>0.15</v>
      </c>
      <c r="W58" s="275">
        <f t="shared" si="6"/>
        <v>0</v>
      </c>
      <c r="X58" s="276"/>
      <c r="Y58" s="296">
        <v>0.1</v>
      </c>
      <c r="Z58" s="275">
        <f t="shared" si="7"/>
        <v>0</v>
      </c>
      <c r="AA58" s="276"/>
      <c r="AB58" s="296">
        <v>0.1</v>
      </c>
      <c r="AC58" s="275">
        <f t="shared" si="8"/>
        <v>0</v>
      </c>
      <c r="AD58" s="275"/>
      <c r="AE58" s="275"/>
      <c r="AF58" s="275">
        <f t="shared" si="9"/>
        <v>0</v>
      </c>
      <c r="AG58" s="376" t="s">
        <v>180</v>
      </c>
      <c r="AH58" s="304"/>
      <c r="AI58" s="275"/>
      <c r="AJ58" s="275"/>
      <c r="AK58" s="305"/>
      <c r="AL58" s="306"/>
    </row>
    <row r="59" s="254" customFormat="1" ht="18" customHeight="1" spans="1:38">
      <c r="A59" s="270">
        <v>44</v>
      </c>
      <c r="B59" s="271" t="s">
        <v>181</v>
      </c>
      <c r="C59" s="271" t="s">
        <v>181</v>
      </c>
      <c r="D59" s="272">
        <f t="shared" si="0"/>
        <v>0</v>
      </c>
      <c r="E59" s="273"/>
      <c r="F59" s="274">
        <v>0.2</v>
      </c>
      <c r="G59" s="275">
        <f t="shared" si="1"/>
        <v>0</v>
      </c>
      <c r="H59" s="276"/>
      <c r="I59" s="287"/>
      <c r="J59" s="288">
        <f t="shared" si="2"/>
        <v>0</v>
      </c>
      <c r="K59" s="276"/>
      <c r="L59" s="287"/>
      <c r="M59" s="288">
        <f t="shared" si="3"/>
        <v>0</v>
      </c>
      <c r="N59" s="276"/>
      <c r="O59" s="289">
        <f>N59*0.8</f>
        <v>0</v>
      </c>
      <c r="P59" s="287"/>
      <c r="Q59" s="275">
        <f t="shared" si="4"/>
        <v>0</v>
      </c>
      <c r="R59" s="276"/>
      <c r="S59" s="296">
        <v>0.05</v>
      </c>
      <c r="T59" s="275">
        <f t="shared" si="5"/>
        <v>0</v>
      </c>
      <c r="U59" s="276"/>
      <c r="V59" s="296">
        <v>0.15</v>
      </c>
      <c r="W59" s="275">
        <f t="shared" si="6"/>
        <v>0</v>
      </c>
      <c r="X59" s="276"/>
      <c r="Y59" s="296">
        <v>0.1</v>
      </c>
      <c r="Z59" s="275">
        <f t="shared" si="7"/>
        <v>0</v>
      </c>
      <c r="AA59" s="276"/>
      <c r="AB59" s="296">
        <v>0.1</v>
      </c>
      <c r="AC59" s="275">
        <f t="shared" si="8"/>
        <v>0</v>
      </c>
      <c r="AD59" s="275"/>
      <c r="AE59" s="275"/>
      <c r="AF59" s="275">
        <f t="shared" si="9"/>
        <v>0</v>
      </c>
      <c r="AG59" s="303" t="s">
        <v>182</v>
      </c>
      <c r="AH59" s="304"/>
      <c r="AI59" s="275"/>
      <c r="AJ59" s="275"/>
      <c r="AK59" s="305"/>
      <c r="AL59" s="306"/>
    </row>
    <row r="60" s="254" customFormat="1" ht="18" customHeight="1" spans="1:38">
      <c r="A60" s="270">
        <v>45</v>
      </c>
      <c r="B60" s="271" t="s">
        <v>183</v>
      </c>
      <c r="C60" s="271" t="s">
        <v>183</v>
      </c>
      <c r="D60" s="272">
        <f t="shared" si="0"/>
        <v>0</v>
      </c>
      <c r="E60" s="273"/>
      <c r="F60" s="274">
        <v>0.2</v>
      </c>
      <c r="G60" s="275">
        <f t="shared" si="1"/>
        <v>0</v>
      </c>
      <c r="H60" s="276"/>
      <c r="I60" s="287"/>
      <c r="J60" s="288">
        <f t="shared" si="2"/>
        <v>0</v>
      </c>
      <c r="K60" s="276"/>
      <c r="L60" s="287"/>
      <c r="M60" s="288">
        <f t="shared" si="3"/>
        <v>0</v>
      </c>
      <c r="N60" s="276"/>
      <c r="O60" s="289">
        <f>N60*0.83</f>
        <v>0</v>
      </c>
      <c r="P60" s="287"/>
      <c r="Q60" s="275">
        <f t="shared" si="4"/>
        <v>0</v>
      </c>
      <c r="R60" s="276"/>
      <c r="S60" s="296">
        <v>0.05</v>
      </c>
      <c r="T60" s="275">
        <f t="shared" si="5"/>
        <v>0</v>
      </c>
      <c r="U60" s="276"/>
      <c r="V60" s="296">
        <v>0.15</v>
      </c>
      <c r="W60" s="275">
        <f t="shared" si="6"/>
        <v>0</v>
      </c>
      <c r="X60" s="276"/>
      <c r="Y60" s="296">
        <v>0.1</v>
      </c>
      <c r="Z60" s="275">
        <f t="shared" si="7"/>
        <v>0</v>
      </c>
      <c r="AA60" s="276"/>
      <c r="AB60" s="296">
        <v>0.1</v>
      </c>
      <c r="AC60" s="275">
        <f t="shared" si="8"/>
        <v>0</v>
      </c>
      <c r="AD60" s="275"/>
      <c r="AE60" s="275"/>
      <c r="AF60" s="275">
        <f t="shared" si="9"/>
        <v>0</v>
      </c>
      <c r="AG60" s="303" t="s">
        <v>184</v>
      </c>
      <c r="AH60" s="304"/>
      <c r="AI60" s="275"/>
      <c r="AJ60" s="275"/>
      <c r="AK60" s="305"/>
      <c r="AL60" s="306"/>
    </row>
    <row r="61" s="254" customFormat="1" ht="18" customHeight="1" spans="1:38">
      <c r="A61" s="270">
        <v>28</v>
      </c>
      <c r="B61" s="271" t="s">
        <v>185</v>
      </c>
      <c r="C61" s="271" t="s">
        <v>186</v>
      </c>
      <c r="D61" s="272">
        <f t="shared" si="0"/>
        <v>0</v>
      </c>
      <c r="E61" s="273"/>
      <c r="F61" s="274">
        <v>0.2</v>
      </c>
      <c r="G61" s="275">
        <f t="shared" si="1"/>
        <v>0</v>
      </c>
      <c r="H61" s="276"/>
      <c r="I61" s="287"/>
      <c r="J61" s="288">
        <f t="shared" si="2"/>
        <v>0</v>
      </c>
      <c r="K61" s="276"/>
      <c r="L61" s="287"/>
      <c r="M61" s="288">
        <f t="shared" si="3"/>
        <v>0</v>
      </c>
      <c r="N61" s="276"/>
      <c r="O61" s="289">
        <f t="shared" ref="O61:O64" si="18">N61*0.77</f>
        <v>0</v>
      </c>
      <c r="P61" s="287"/>
      <c r="Q61" s="275">
        <f t="shared" si="4"/>
        <v>0</v>
      </c>
      <c r="R61" s="276"/>
      <c r="S61" s="296">
        <v>0.05</v>
      </c>
      <c r="T61" s="275">
        <f t="shared" si="5"/>
        <v>0</v>
      </c>
      <c r="U61" s="276"/>
      <c r="V61" s="296">
        <v>0.15</v>
      </c>
      <c r="W61" s="275">
        <f t="shared" si="6"/>
        <v>0</v>
      </c>
      <c r="X61" s="276"/>
      <c r="Y61" s="296">
        <v>0.1</v>
      </c>
      <c r="Z61" s="275">
        <f t="shared" si="7"/>
        <v>0</v>
      </c>
      <c r="AA61" s="276"/>
      <c r="AB61" s="296">
        <v>0.1</v>
      </c>
      <c r="AC61" s="275">
        <f t="shared" si="8"/>
        <v>0</v>
      </c>
      <c r="AD61" s="275"/>
      <c r="AE61" s="275"/>
      <c r="AF61" s="275">
        <f t="shared" si="9"/>
        <v>0</v>
      </c>
      <c r="AG61" s="303" t="s">
        <v>187</v>
      </c>
      <c r="AH61" s="316" t="s">
        <v>188</v>
      </c>
      <c r="AI61" s="275"/>
      <c r="AJ61" s="275"/>
      <c r="AK61" s="305"/>
      <c r="AL61" s="306"/>
    </row>
    <row r="62" s="254" customFormat="1" ht="18" customHeight="1" spans="1:38">
      <c r="A62" s="270">
        <v>37</v>
      </c>
      <c r="B62" s="271" t="s">
        <v>189</v>
      </c>
      <c r="C62" s="271" t="s">
        <v>189</v>
      </c>
      <c r="D62" s="272">
        <f t="shared" si="0"/>
        <v>0</v>
      </c>
      <c r="E62" s="273"/>
      <c r="F62" s="274">
        <v>0.2</v>
      </c>
      <c r="G62" s="275">
        <f t="shared" si="1"/>
        <v>0</v>
      </c>
      <c r="H62" s="276"/>
      <c r="I62" s="287"/>
      <c r="J62" s="288">
        <f t="shared" si="2"/>
        <v>0</v>
      </c>
      <c r="K62" s="276"/>
      <c r="L62" s="287"/>
      <c r="M62" s="288">
        <f t="shared" si="3"/>
        <v>0</v>
      </c>
      <c r="N62" s="276"/>
      <c r="O62" s="289">
        <f>N62*0.8</f>
        <v>0</v>
      </c>
      <c r="P62" s="287"/>
      <c r="Q62" s="275">
        <f t="shared" si="4"/>
        <v>0</v>
      </c>
      <c r="R62" s="276"/>
      <c r="S62" s="296">
        <v>0.05</v>
      </c>
      <c r="T62" s="275">
        <f t="shared" si="5"/>
        <v>0</v>
      </c>
      <c r="U62" s="276"/>
      <c r="V62" s="296">
        <v>0.15</v>
      </c>
      <c r="W62" s="275">
        <f t="shared" si="6"/>
        <v>0</v>
      </c>
      <c r="X62" s="276"/>
      <c r="Y62" s="296">
        <v>0.1</v>
      </c>
      <c r="Z62" s="275">
        <f t="shared" si="7"/>
        <v>0</v>
      </c>
      <c r="AA62" s="276"/>
      <c r="AB62" s="296">
        <v>0.1</v>
      </c>
      <c r="AC62" s="275">
        <f t="shared" si="8"/>
        <v>0</v>
      </c>
      <c r="AD62" s="275"/>
      <c r="AE62" s="275"/>
      <c r="AF62" s="275">
        <f t="shared" si="9"/>
        <v>0</v>
      </c>
      <c r="AG62" s="303" t="s">
        <v>190</v>
      </c>
      <c r="AH62" s="304">
        <v>3</v>
      </c>
      <c r="AI62" s="275">
        <v>5</v>
      </c>
      <c r="AJ62" s="275">
        <v>1600</v>
      </c>
      <c r="AK62" s="305"/>
      <c r="AL62" s="306"/>
    </row>
    <row r="63" s="254" customFormat="1" ht="18" customHeight="1" spans="1:38">
      <c r="A63" s="270">
        <v>42</v>
      </c>
      <c r="B63" s="271" t="s">
        <v>191</v>
      </c>
      <c r="C63" s="271" t="s">
        <v>192</v>
      </c>
      <c r="D63" s="272">
        <f t="shared" si="0"/>
        <v>0</v>
      </c>
      <c r="E63" s="273"/>
      <c r="F63" s="274">
        <v>0.2</v>
      </c>
      <c r="G63" s="275">
        <f t="shared" si="1"/>
        <v>0</v>
      </c>
      <c r="H63" s="276"/>
      <c r="I63" s="287"/>
      <c r="J63" s="288">
        <f t="shared" si="2"/>
        <v>0</v>
      </c>
      <c r="K63" s="276"/>
      <c r="L63" s="287"/>
      <c r="M63" s="288">
        <f t="shared" si="3"/>
        <v>0</v>
      </c>
      <c r="N63" s="276"/>
      <c r="O63" s="289">
        <f t="shared" si="18"/>
        <v>0</v>
      </c>
      <c r="P63" s="287"/>
      <c r="Q63" s="275">
        <f t="shared" si="4"/>
        <v>0</v>
      </c>
      <c r="R63" s="276"/>
      <c r="S63" s="296">
        <v>0.05</v>
      </c>
      <c r="T63" s="275">
        <f t="shared" si="5"/>
        <v>0</v>
      </c>
      <c r="U63" s="276"/>
      <c r="V63" s="296">
        <v>0.15</v>
      </c>
      <c r="W63" s="275">
        <f t="shared" si="6"/>
        <v>0</v>
      </c>
      <c r="X63" s="276"/>
      <c r="Y63" s="296">
        <v>0.1</v>
      </c>
      <c r="Z63" s="275">
        <f t="shared" si="7"/>
        <v>0</v>
      </c>
      <c r="AA63" s="276"/>
      <c r="AB63" s="296">
        <v>0.1</v>
      </c>
      <c r="AC63" s="275">
        <f t="shared" si="8"/>
        <v>0</v>
      </c>
      <c r="AD63" s="275"/>
      <c r="AE63" s="275"/>
      <c r="AF63" s="275">
        <f t="shared" si="9"/>
        <v>0</v>
      </c>
      <c r="AG63" s="376" t="s">
        <v>193</v>
      </c>
      <c r="AH63" s="304">
        <v>7</v>
      </c>
      <c r="AI63" s="275">
        <v>2</v>
      </c>
      <c r="AJ63" s="275">
        <v>-1000</v>
      </c>
      <c r="AK63" s="305"/>
      <c r="AL63" s="306"/>
    </row>
    <row r="64" s="254" customFormat="1" ht="18" customHeight="1" spans="1:38">
      <c r="A64" s="270">
        <v>42</v>
      </c>
      <c r="B64" s="271" t="s">
        <v>194</v>
      </c>
      <c r="C64" s="271" t="s">
        <v>195</v>
      </c>
      <c r="D64" s="272">
        <f t="shared" si="0"/>
        <v>0</v>
      </c>
      <c r="E64" s="273"/>
      <c r="F64" s="274">
        <v>0.2</v>
      </c>
      <c r="G64" s="275">
        <f t="shared" si="1"/>
        <v>0</v>
      </c>
      <c r="H64" s="276"/>
      <c r="I64" s="287"/>
      <c r="J64" s="288">
        <f t="shared" si="2"/>
        <v>0</v>
      </c>
      <c r="K64" s="276"/>
      <c r="L64" s="287"/>
      <c r="M64" s="288">
        <f t="shared" si="3"/>
        <v>0</v>
      </c>
      <c r="N64" s="276"/>
      <c r="O64" s="289">
        <f t="shared" si="18"/>
        <v>0</v>
      </c>
      <c r="P64" s="287"/>
      <c r="Q64" s="275">
        <f t="shared" si="4"/>
        <v>0</v>
      </c>
      <c r="R64" s="276"/>
      <c r="S64" s="296">
        <v>0.05</v>
      </c>
      <c r="T64" s="275">
        <f t="shared" si="5"/>
        <v>0</v>
      </c>
      <c r="U64" s="276"/>
      <c r="V64" s="296">
        <v>0.15</v>
      </c>
      <c r="W64" s="275">
        <f t="shared" si="6"/>
        <v>0</v>
      </c>
      <c r="X64" s="276"/>
      <c r="Y64" s="296">
        <v>0.1</v>
      </c>
      <c r="Z64" s="275">
        <f t="shared" si="7"/>
        <v>0</v>
      </c>
      <c r="AA64" s="276"/>
      <c r="AB64" s="296">
        <v>0.1</v>
      </c>
      <c r="AC64" s="275">
        <f t="shared" si="8"/>
        <v>0</v>
      </c>
      <c r="AD64" s="275"/>
      <c r="AE64" s="275"/>
      <c r="AF64" s="275">
        <f t="shared" si="9"/>
        <v>0</v>
      </c>
      <c r="AG64" s="303" t="s">
        <v>196</v>
      </c>
      <c r="AH64" s="316" t="s">
        <v>188</v>
      </c>
      <c r="AI64" s="275">
        <v>1</v>
      </c>
      <c r="AJ64" s="275">
        <v>0</v>
      </c>
      <c r="AK64" s="305"/>
      <c r="AL64" s="306"/>
    </row>
    <row r="65" s="254" customFormat="1" ht="18" customHeight="1" spans="1:38">
      <c r="A65" s="270">
        <v>44</v>
      </c>
      <c r="B65" s="271" t="s">
        <v>197</v>
      </c>
      <c r="C65" s="271" t="s">
        <v>198</v>
      </c>
      <c r="D65" s="272">
        <f t="shared" si="0"/>
        <v>0</v>
      </c>
      <c r="E65" s="273"/>
      <c r="F65" s="274">
        <v>0.2</v>
      </c>
      <c r="G65" s="275">
        <f t="shared" si="1"/>
        <v>0</v>
      </c>
      <c r="H65" s="276"/>
      <c r="I65" s="287"/>
      <c r="J65" s="288">
        <f t="shared" si="2"/>
        <v>0</v>
      </c>
      <c r="K65" s="276"/>
      <c r="L65" s="287"/>
      <c r="M65" s="288">
        <f t="shared" si="3"/>
        <v>0</v>
      </c>
      <c r="N65" s="276"/>
      <c r="O65" s="289">
        <f t="shared" ref="O65:O68" si="19">N65*0.83</f>
        <v>0</v>
      </c>
      <c r="P65" s="287"/>
      <c r="Q65" s="275">
        <f t="shared" si="4"/>
        <v>0</v>
      </c>
      <c r="R65" s="276"/>
      <c r="S65" s="296">
        <v>0.05</v>
      </c>
      <c r="T65" s="275">
        <f t="shared" si="5"/>
        <v>0</v>
      </c>
      <c r="U65" s="276"/>
      <c r="V65" s="296">
        <v>0.15</v>
      </c>
      <c r="W65" s="275">
        <f t="shared" si="6"/>
        <v>0</v>
      </c>
      <c r="X65" s="276"/>
      <c r="Y65" s="296">
        <v>0.1</v>
      </c>
      <c r="Z65" s="275">
        <f t="shared" si="7"/>
        <v>0</v>
      </c>
      <c r="AA65" s="276"/>
      <c r="AB65" s="296">
        <v>0.1</v>
      </c>
      <c r="AC65" s="275">
        <f t="shared" si="8"/>
        <v>0</v>
      </c>
      <c r="AD65" s="275"/>
      <c r="AE65" s="275"/>
      <c r="AF65" s="275">
        <f t="shared" si="9"/>
        <v>0</v>
      </c>
      <c r="AG65" s="303" t="s">
        <v>199</v>
      </c>
      <c r="AH65" s="304" t="s">
        <v>48</v>
      </c>
      <c r="AI65" s="275"/>
      <c r="AJ65" s="275">
        <v>-400</v>
      </c>
      <c r="AK65" s="305"/>
      <c r="AL65" s="306"/>
    </row>
    <row r="66" s="254" customFormat="1" ht="18" customHeight="1" spans="1:38">
      <c r="A66" s="270">
        <v>45</v>
      </c>
      <c r="B66" s="271"/>
      <c r="C66" s="271" t="s">
        <v>200</v>
      </c>
      <c r="D66" s="272">
        <f t="shared" si="0"/>
        <v>0</v>
      </c>
      <c r="E66" s="273"/>
      <c r="F66" s="274">
        <v>0.2</v>
      </c>
      <c r="G66" s="275">
        <f t="shared" si="1"/>
        <v>0</v>
      </c>
      <c r="H66" s="276"/>
      <c r="I66" s="287"/>
      <c r="J66" s="288">
        <f t="shared" si="2"/>
        <v>0</v>
      </c>
      <c r="K66" s="276"/>
      <c r="L66" s="287"/>
      <c r="M66" s="288">
        <f t="shared" si="3"/>
        <v>0</v>
      </c>
      <c r="N66" s="276"/>
      <c r="O66" s="289">
        <f t="shared" si="19"/>
        <v>0</v>
      </c>
      <c r="P66" s="287"/>
      <c r="Q66" s="275">
        <f t="shared" si="4"/>
        <v>0</v>
      </c>
      <c r="R66" s="276"/>
      <c r="S66" s="296">
        <v>0.05</v>
      </c>
      <c r="T66" s="275">
        <f t="shared" si="5"/>
        <v>0</v>
      </c>
      <c r="U66" s="276"/>
      <c r="V66" s="296">
        <v>0.15</v>
      </c>
      <c r="W66" s="275">
        <f t="shared" si="6"/>
        <v>0</v>
      </c>
      <c r="X66" s="276"/>
      <c r="Y66" s="296">
        <v>0.1</v>
      </c>
      <c r="Z66" s="275">
        <f t="shared" si="7"/>
        <v>0</v>
      </c>
      <c r="AA66" s="276"/>
      <c r="AB66" s="296">
        <v>0.1</v>
      </c>
      <c r="AC66" s="275">
        <f t="shared" si="8"/>
        <v>0</v>
      </c>
      <c r="AD66" s="275"/>
      <c r="AE66" s="275"/>
      <c r="AF66" s="275">
        <f t="shared" si="9"/>
        <v>0</v>
      </c>
      <c r="AG66" s="303"/>
      <c r="AH66" s="304" t="s">
        <v>48</v>
      </c>
      <c r="AI66" s="275">
        <v>1</v>
      </c>
      <c r="AJ66" s="275">
        <v>-200</v>
      </c>
      <c r="AK66" s="305"/>
      <c r="AL66" s="306"/>
    </row>
    <row r="67" s="254" customFormat="1" ht="18" customHeight="1" spans="1:38">
      <c r="A67" s="270">
        <v>33</v>
      </c>
      <c r="B67" s="271" t="s">
        <v>201</v>
      </c>
      <c r="C67" s="271" t="s">
        <v>202</v>
      </c>
      <c r="D67" s="272">
        <f t="shared" ref="D67:D130" si="20">E67+H67+O67</f>
        <v>0</v>
      </c>
      <c r="E67" s="273"/>
      <c r="F67" s="274">
        <v>0.2</v>
      </c>
      <c r="G67" s="275">
        <f t="shared" ref="G67:G130" si="21">ROUND(E67*F67,)</f>
        <v>0</v>
      </c>
      <c r="H67" s="276"/>
      <c r="I67" s="287"/>
      <c r="J67" s="288">
        <f t="shared" ref="J67:J99" si="22">ROUND(H67*I67,)</f>
        <v>0</v>
      </c>
      <c r="K67" s="276"/>
      <c r="L67" s="287"/>
      <c r="M67" s="288">
        <f t="shared" ref="M67:M99" si="23">ROUND(K67*L67,)</f>
        <v>0</v>
      </c>
      <c r="N67" s="276"/>
      <c r="O67" s="289">
        <f>N67*0.8</f>
        <v>0</v>
      </c>
      <c r="P67" s="287"/>
      <c r="Q67" s="275">
        <f t="shared" ref="Q67:Q130" si="24">O67*P67</f>
        <v>0</v>
      </c>
      <c r="R67" s="276"/>
      <c r="S67" s="296">
        <v>0.05</v>
      </c>
      <c r="T67" s="275">
        <f t="shared" ref="T67:T130" si="25">R67*S67</f>
        <v>0</v>
      </c>
      <c r="U67" s="276"/>
      <c r="V67" s="296">
        <v>0.05</v>
      </c>
      <c r="W67" s="275">
        <f t="shared" ref="W67:W130" si="26">U67*V67</f>
        <v>0</v>
      </c>
      <c r="X67" s="276"/>
      <c r="Y67" s="296">
        <v>0.05</v>
      </c>
      <c r="Z67" s="275">
        <f t="shared" ref="Z67:Z130" si="27">X67*Y67</f>
        <v>0</v>
      </c>
      <c r="AA67" s="276"/>
      <c r="AB67" s="296">
        <v>0.05</v>
      </c>
      <c r="AC67" s="275">
        <f t="shared" ref="AC67:AC130" si="28">AA67*AB67</f>
        <v>0</v>
      </c>
      <c r="AD67" s="275"/>
      <c r="AE67" s="275"/>
      <c r="AF67" s="275">
        <f t="shared" ref="AF67:AF130" si="29">ROUND(G67+J67+M67+Q67+T67+W67+AC67+AD67+Z67+AE67,)</f>
        <v>0</v>
      </c>
      <c r="AG67" s="376" t="s">
        <v>203</v>
      </c>
      <c r="AH67" s="304"/>
      <c r="AI67" s="275">
        <v>1</v>
      </c>
      <c r="AJ67" s="275"/>
      <c r="AK67" s="305"/>
      <c r="AL67" s="306"/>
    </row>
    <row r="68" s="254" customFormat="1" ht="18" customHeight="1" spans="1:38">
      <c r="A68" s="270">
        <v>36</v>
      </c>
      <c r="B68" s="271" t="s">
        <v>204</v>
      </c>
      <c r="C68" s="271" t="s">
        <v>204</v>
      </c>
      <c r="D68" s="272">
        <f t="shared" si="20"/>
        <v>0</v>
      </c>
      <c r="E68" s="273"/>
      <c r="F68" s="274">
        <v>0.2</v>
      </c>
      <c r="G68" s="275">
        <f t="shared" si="21"/>
        <v>0</v>
      </c>
      <c r="H68" s="276"/>
      <c r="I68" s="287"/>
      <c r="J68" s="288">
        <f t="shared" si="22"/>
        <v>0</v>
      </c>
      <c r="K68" s="276"/>
      <c r="L68" s="287"/>
      <c r="M68" s="288">
        <f t="shared" si="23"/>
        <v>0</v>
      </c>
      <c r="N68" s="276"/>
      <c r="O68" s="289">
        <f t="shared" si="19"/>
        <v>0</v>
      </c>
      <c r="P68" s="287"/>
      <c r="Q68" s="275">
        <f t="shared" si="24"/>
        <v>0</v>
      </c>
      <c r="R68" s="276"/>
      <c r="S68" s="296">
        <v>0.05</v>
      </c>
      <c r="T68" s="275">
        <f t="shared" si="25"/>
        <v>0</v>
      </c>
      <c r="U68" s="276"/>
      <c r="V68" s="296">
        <v>0.05</v>
      </c>
      <c r="W68" s="275">
        <f t="shared" si="26"/>
        <v>0</v>
      </c>
      <c r="X68" s="276"/>
      <c r="Y68" s="296">
        <v>0.05</v>
      </c>
      <c r="Z68" s="275">
        <f t="shared" si="27"/>
        <v>0</v>
      </c>
      <c r="AA68" s="276"/>
      <c r="AB68" s="296">
        <v>0.05</v>
      </c>
      <c r="AC68" s="275">
        <f t="shared" si="28"/>
        <v>0</v>
      </c>
      <c r="AD68" s="275"/>
      <c r="AE68" s="275"/>
      <c r="AF68" s="275">
        <f t="shared" si="29"/>
        <v>0</v>
      </c>
      <c r="AG68" s="303" t="s">
        <v>205</v>
      </c>
      <c r="AH68" s="304">
        <v>5</v>
      </c>
      <c r="AI68" s="275"/>
      <c r="AJ68" s="309" t="s">
        <v>206</v>
      </c>
      <c r="AK68" s="305"/>
      <c r="AL68" s="306"/>
    </row>
    <row r="69" s="254" customFormat="1" ht="18" customHeight="1" spans="1:38">
      <c r="A69" s="270">
        <v>22</v>
      </c>
      <c r="B69" s="271" t="s">
        <v>207</v>
      </c>
      <c r="C69" s="271" t="s">
        <v>208</v>
      </c>
      <c r="D69" s="272">
        <f t="shared" si="20"/>
        <v>0</v>
      </c>
      <c r="E69" s="273"/>
      <c r="F69" s="274">
        <v>0.2</v>
      </c>
      <c r="G69" s="275">
        <f t="shared" si="21"/>
        <v>0</v>
      </c>
      <c r="H69" s="276"/>
      <c r="I69" s="287"/>
      <c r="J69" s="288">
        <f t="shared" si="22"/>
        <v>0</v>
      </c>
      <c r="K69" s="276"/>
      <c r="L69" s="287"/>
      <c r="M69" s="288">
        <f t="shared" si="23"/>
        <v>0</v>
      </c>
      <c r="N69" s="276"/>
      <c r="O69" s="289">
        <f>N69*0.8</f>
        <v>0</v>
      </c>
      <c r="P69" s="287"/>
      <c r="Q69" s="275">
        <f t="shared" si="24"/>
        <v>0</v>
      </c>
      <c r="R69" s="276"/>
      <c r="S69" s="296">
        <v>0.2</v>
      </c>
      <c r="T69" s="275">
        <f t="shared" si="25"/>
        <v>0</v>
      </c>
      <c r="U69" s="276"/>
      <c r="V69" s="296">
        <v>0.2</v>
      </c>
      <c r="W69" s="275">
        <f t="shared" si="26"/>
        <v>0</v>
      </c>
      <c r="X69" s="276"/>
      <c r="Y69" s="296">
        <v>0.2</v>
      </c>
      <c r="Z69" s="275">
        <f t="shared" si="27"/>
        <v>0</v>
      </c>
      <c r="AA69" s="276"/>
      <c r="AB69" s="296">
        <v>0.2</v>
      </c>
      <c r="AC69" s="275">
        <f t="shared" si="28"/>
        <v>0</v>
      </c>
      <c r="AD69" s="275"/>
      <c r="AE69" s="275"/>
      <c r="AF69" s="275">
        <f t="shared" si="29"/>
        <v>0</v>
      </c>
      <c r="AG69" s="376" t="s">
        <v>209</v>
      </c>
      <c r="AH69" s="303"/>
      <c r="AI69" s="275"/>
      <c r="AJ69" s="275"/>
      <c r="AK69" s="305"/>
      <c r="AL69" s="306"/>
    </row>
    <row r="70" s="254" customFormat="1" ht="18" customHeight="1" spans="1:38">
      <c r="A70" s="270">
        <v>36</v>
      </c>
      <c r="B70" s="271" t="s">
        <v>210</v>
      </c>
      <c r="C70" s="271" t="s">
        <v>211</v>
      </c>
      <c r="D70" s="272">
        <f t="shared" si="20"/>
        <v>0</v>
      </c>
      <c r="E70" s="273"/>
      <c r="F70" s="274">
        <v>0</v>
      </c>
      <c r="G70" s="275">
        <f t="shared" si="21"/>
        <v>0</v>
      </c>
      <c r="H70" s="276"/>
      <c r="I70" s="287"/>
      <c r="J70" s="288">
        <f t="shared" si="22"/>
        <v>0</v>
      </c>
      <c r="K70" s="276"/>
      <c r="L70" s="287"/>
      <c r="M70" s="288">
        <f t="shared" si="23"/>
        <v>0</v>
      </c>
      <c r="N70" s="276"/>
      <c r="O70" s="289">
        <f t="shared" ref="O70:O72" si="30">N70*0.83</f>
        <v>0</v>
      </c>
      <c r="P70" s="287"/>
      <c r="Q70" s="275">
        <f t="shared" si="24"/>
        <v>0</v>
      </c>
      <c r="R70" s="276"/>
      <c r="S70" s="296">
        <v>0</v>
      </c>
      <c r="T70" s="275">
        <f t="shared" si="25"/>
        <v>0</v>
      </c>
      <c r="U70" s="276"/>
      <c r="V70" s="296">
        <v>0</v>
      </c>
      <c r="W70" s="275">
        <f t="shared" si="26"/>
        <v>0</v>
      </c>
      <c r="X70" s="276"/>
      <c r="Y70" s="296">
        <v>0</v>
      </c>
      <c r="Z70" s="275">
        <f t="shared" si="27"/>
        <v>0</v>
      </c>
      <c r="AA70" s="276"/>
      <c r="AB70" s="296">
        <v>0</v>
      </c>
      <c r="AC70" s="275">
        <f t="shared" si="28"/>
        <v>0</v>
      </c>
      <c r="AD70" s="275"/>
      <c r="AE70" s="275"/>
      <c r="AF70" s="275">
        <f t="shared" si="29"/>
        <v>0</v>
      </c>
      <c r="AG70" s="303" t="s">
        <v>212</v>
      </c>
      <c r="AH70" s="303"/>
      <c r="AI70" s="275"/>
      <c r="AJ70" s="275"/>
      <c r="AK70" s="305"/>
      <c r="AL70" s="306"/>
    </row>
    <row r="71" s="254" customFormat="1" ht="18" customHeight="1" spans="1:38">
      <c r="A71" s="270">
        <v>12</v>
      </c>
      <c r="B71" s="271" t="s">
        <v>213</v>
      </c>
      <c r="C71" s="271" t="s">
        <v>214</v>
      </c>
      <c r="D71" s="272">
        <f t="shared" si="20"/>
        <v>0</v>
      </c>
      <c r="E71" s="273"/>
      <c r="F71" s="274">
        <v>0.2</v>
      </c>
      <c r="G71" s="275">
        <f t="shared" si="21"/>
        <v>0</v>
      </c>
      <c r="H71" s="276"/>
      <c r="I71" s="287"/>
      <c r="J71" s="288">
        <f t="shared" si="22"/>
        <v>0</v>
      </c>
      <c r="K71" s="276"/>
      <c r="L71" s="287"/>
      <c r="M71" s="288">
        <f t="shared" si="23"/>
        <v>0</v>
      </c>
      <c r="N71" s="276"/>
      <c r="O71" s="289">
        <f t="shared" si="30"/>
        <v>0</v>
      </c>
      <c r="P71" s="287"/>
      <c r="Q71" s="275">
        <f t="shared" si="24"/>
        <v>0</v>
      </c>
      <c r="R71" s="276"/>
      <c r="S71" s="296">
        <v>0.2</v>
      </c>
      <c r="T71" s="275">
        <f t="shared" si="25"/>
        <v>0</v>
      </c>
      <c r="U71" s="276"/>
      <c r="V71" s="296">
        <v>0.2</v>
      </c>
      <c r="W71" s="275">
        <f t="shared" si="26"/>
        <v>0</v>
      </c>
      <c r="X71" s="276"/>
      <c r="Y71" s="296">
        <v>0.2</v>
      </c>
      <c r="Z71" s="275">
        <f t="shared" si="27"/>
        <v>0</v>
      </c>
      <c r="AA71" s="276"/>
      <c r="AB71" s="296">
        <v>0.2</v>
      </c>
      <c r="AC71" s="275">
        <f t="shared" si="28"/>
        <v>0</v>
      </c>
      <c r="AD71" s="275"/>
      <c r="AE71" s="275"/>
      <c r="AF71" s="275">
        <f t="shared" si="29"/>
        <v>0</v>
      </c>
      <c r="AG71" s="376" t="s">
        <v>215</v>
      </c>
      <c r="AH71" s="303"/>
      <c r="AI71" s="275"/>
      <c r="AJ71" s="275"/>
      <c r="AK71" s="305"/>
      <c r="AL71" s="306"/>
    </row>
    <row r="72" s="254" customFormat="1" ht="18" customHeight="1" spans="1:38">
      <c r="A72" s="270">
        <v>26</v>
      </c>
      <c r="B72" s="271" t="s">
        <v>216</v>
      </c>
      <c r="C72" s="271" t="s">
        <v>217</v>
      </c>
      <c r="D72" s="272">
        <f t="shared" si="20"/>
        <v>0</v>
      </c>
      <c r="E72" s="273"/>
      <c r="F72" s="274">
        <v>0.25</v>
      </c>
      <c r="G72" s="275">
        <f t="shared" si="21"/>
        <v>0</v>
      </c>
      <c r="H72" s="276"/>
      <c r="I72" s="287"/>
      <c r="J72" s="288">
        <f t="shared" si="22"/>
        <v>0</v>
      </c>
      <c r="K72" s="276"/>
      <c r="L72" s="287"/>
      <c r="M72" s="288">
        <f t="shared" si="23"/>
        <v>0</v>
      </c>
      <c r="N72" s="276"/>
      <c r="O72" s="289">
        <f t="shared" si="30"/>
        <v>0</v>
      </c>
      <c r="P72" s="287"/>
      <c r="Q72" s="275">
        <f t="shared" si="24"/>
        <v>0</v>
      </c>
      <c r="R72" s="276"/>
      <c r="S72" s="296">
        <v>0.2</v>
      </c>
      <c r="T72" s="275">
        <f t="shared" si="25"/>
        <v>0</v>
      </c>
      <c r="U72" s="276"/>
      <c r="V72" s="296">
        <v>0.2</v>
      </c>
      <c r="W72" s="275">
        <f t="shared" si="26"/>
        <v>0</v>
      </c>
      <c r="X72" s="276"/>
      <c r="Y72" s="296">
        <v>0.2</v>
      </c>
      <c r="Z72" s="275">
        <f t="shared" si="27"/>
        <v>0</v>
      </c>
      <c r="AA72" s="276"/>
      <c r="AB72" s="296">
        <v>0.2</v>
      </c>
      <c r="AC72" s="275">
        <f t="shared" si="28"/>
        <v>0</v>
      </c>
      <c r="AD72" s="275"/>
      <c r="AE72" s="275"/>
      <c r="AF72" s="275">
        <f t="shared" si="29"/>
        <v>0</v>
      </c>
      <c r="AG72" s="303" t="s">
        <v>218</v>
      </c>
      <c r="AH72" s="303"/>
      <c r="AI72" s="275"/>
      <c r="AJ72" s="275"/>
      <c r="AK72" s="305"/>
      <c r="AL72" s="306"/>
    </row>
    <row r="73" s="254" customFormat="1" ht="18" customHeight="1" spans="1:38">
      <c r="A73" s="270">
        <v>26</v>
      </c>
      <c r="B73" s="280" t="s">
        <v>219</v>
      </c>
      <c r="C73" s="278" t="s">
        <v>220</v>
      </c>
      <c r="D73" s="272">
        <f t="shared" si="20"/>
        <v>0</v>
      </c>
      <c r="E73" s="273"/>
      <c r="F73" s="274">
        <v>0.25</v>
      </c>
      <c r="G73" s="275">
        <f t="shared" si="21"/>
        <v>0</v>
      </c>
      <c r="H73" s="276"/>
      <c r="I73" s="287"/>
      <c r="J73" s="288">
        <f t="shared" si="22"/>
        <v>0</v>
      </c>
      <c r="K73" s="276"/>
      <c r="L73" s="287"/>
      <c r="M73" s="288">
        <f t="shared" si="23"/>
        <v>0</v>
      </c>
      <c r="N73" s="276"/>
      <c r="O73" s="289">
        <f>N73*0.77</f>
        <v>0</v>
      </c>
      <c r="P73" s="287"/>
      <c r="Q73" s="275">
        <f t="shared" si="24"/>
        <v>0</v>
      </c>
      <c r="R73" s="276"/>
      <c r="S73" s="296">
        <v>0.2</v>
      </c>
      <c r="T73" s="275">
        <f t="shared" si="25"/>
        <v>0</v>
      </c>
      <c r="U73" s="276"/>
      <c r="V73" s="296">
        <v>0.2</v>
      </c>
      <c r="W73" s="275">
        <f t="shared" si="26"/>
        <v>0</v>
      </c>
      <c r="X73" s="276"/>
      <c r="Y73" s="296">
        <v>0.2</v>
      </c>
      <c r="Z73" s="275">
        <f t="shared" si="27"/>
        <v>0</v>
      </c>
      <c r="AA73" s="276"/>
      <c r="AB73" s="296">
        <v>0.2</v>
      </c>
      <c r="AC73" s="275">
        <f t="shared" si="28"/>
        <v>0</v>
      </c>
      <c r="AD73" s="275"/>
      <c r="AE73" s="275"/>
      <c r="AF73" s="275">
        <f t="shared" si="29"/>
        <v>0</v>
      </c>
      <c r="AG73" s="307" t="s">
        <v>221</v>
      </c>
      <c r="AH73" s="303"/>
      <c r="AI73" s="275"/>
      <c r="AJ73" s="275"/>
      <c r="AK73" s="314"/>
      <c r="AL73" s="306"/>
    </row>
    <row r="74" s="254" customFormat="1" ht="18" customHeight="1" spans="1:38">
      <c r="A74" s="270">
        <v>33</v>
      </c>
      <c r="B74" s="271" t="s">
        <v>222</v>
      </c>
      <c r="C74" s="271" t="s">
        <v>223</v>
      </c>
      <c r="D74" s="272">
        <f t="shared" si="20"/>
        <v>0</v>
      </c>
      <c r="E74" s="273"/>
      <c r="F74" s="274">
        <v>0.2</v>
      </c>
      <c r="G74" s="275">
        <f t="shared" si="21"/>
        <v>0</v>
      </c>
      <c r="H74" s="276"/>
      <c r="I74" s="287"/>
      <c r="J74" s="288">
        <f t="shared" si="22"/>
        <v>0</v>
      </c>
      <c r="K74" s="276"/>
      <c r="L74" s="287"/>
      <c r="M74" s="288">
        <f t="shared" si="23"/>
        <v>0</v>
      </c>
      <c r="N74" s="276"/>
      <c r="O74" s="289">
        <f t="shared" ref="O74:O81" si="31">N74*0.83</f>
        <v>0</v>
      </c>
      <c r="P74" s="287"/>
      <c r="Q74" s="275">
        <f t="shared" si="24"/>
        <v>0</v>
      </c>
      <c r="R74" s="276"/>
      <c r="S74" s="296">
        <v>0</v>
      </c>
      <c r="T74" s="275">
        <f t="shared" si="25"/>
        <v>0</v>
      </c>
      <c r="U74" s="276"/>
      <c r="V74" s="296">
        <v>0</v>
      </c>
      <c r="W74" s="275">
        <f t="shared" si="26"/>
        <v>0</v>
      </c>
      <c r="X74" s="276"/>
      <c r="Y74" s="296">
        <v>0</v>
      </c>
      <c r="Z74" s="275">
        <f t="shared" si="27"/>
        <v>0</v>
      </c>
      <c r="AA74" s="276"/>
      <c r="AB74" s="296">
        <v>0</v>
      </c>
      <c r="AC74" s="275">
        <f t="shared" si="28"/>
        <v>0</v>
      </c>
      <c r="AD74" s="275"/>
      <c r="AE74" s="275"/>
      <c r="AF74" s="275">
        <f t="shared" si="29"/>
        <v>0</v>
      </c>
      <c r="AG74" s="303" t="s">
        <v>224</v>
      </c>
      <c r="AH74" s="303"/>
      <c r="AI74" s="275"/>
      <c r="AJ74" s="275"/>
      <c r="AK74" s="305"/>
      <c r="AL74" s="306"/>
    </row>
    <row r="75" s="254" customFormat="1" ht="18" customHeight="1" spans="1:38">
      <c r="A75" s="270">
        <v>27</v>
      </c>
      <c r="B75" s="271" t="s">
        <v>225</v>
      </c>
      <c r="C75" s="271" t="s">
        <v>225</v>
      </c>
      <c r="D75" s="272">
        <f t="shared" si="20"/>
        <v>0</v>
      </c>
      <c r="E75" s="273"/>
      <c r="F75" s="274">
        <v>0.2</v>
      </c>
      <c r="G75" s="275">
        <f t="shared" si="21"/>
        <v>0</v>
      </c>
      <c r="H75" s="276"/>
      <c r="I75" s="287"/>
      <c r="J75" s="288">
        <f t="shared" si="22"/>
        <v>0</v>
      </c>
      <c r="K75" s="276"/>
      <c r="L75" s="287"/>
      <c r="M75" s="288">
        <f t="shared" si="23"/>
        <v>0</v>
      </c>
      <c r="N75" s="276"/>
      <c r="O75" s="289">
        <f>N75*0.8</f>
        <v>0</v>
      </c>
      <c r="P75" s="287"/>
      <c r="Q75" s="275">
        <f t="shared" si="24"/>
        <v>0</v>
      </c>
      <c r="R75" s="276"/>
      <c r="S75" s="296">
        <v>0.2</v>
      </c>
      <c r="T75" s="275">
        <f t="shared" si="25"/>
        <v>0</v>
      </c>
      <c r="U75" s="276"/>
      <c r="V75" s="296">
        <v>0.2</v>
      </c>
      <c r="W75" s="275">
        <f t="shared" si="26"/>
        <v>0</v>
      </c>
      <c r="X75" s="276"/>
      <c r="Y75" s="296">
        <v>0.2</v>
      </c>
      <c r="Z75" s="275">
        <f t="shared" si="27"/>
        <v>0</v>
      </c>
      <c r="AA75" s="276"/>
      <c r="AB75" s="296">
        <v>0.2</v>
      </c>
      <c r="AC75" s="275">
        <f t="shared" si="28"/>
        <v>0</v>
      </c>
      <c r="AD75" s="275"/>
      <c r="AE75" s="275"/>
      <c r="AF75" s="275">
        <f t="shared" si="29"/>
        <v>0</v>
      </c>
      <c r="AG75" s="376" t="s">
        <v>226</v>
      </c>
      <c r="AH75" s="303"/>
      <c r="AI75" s="275">
        <v>1</v>
      </c>
      <c r="AJ75" s="275"/>
      <c r="AK75" s="305"/>
      <c r="AL75" s="306"/>
    </row>
    <row r="76" s="254" customFormat="1" ht="18" customHeight="1" spans="1:38">
      <c r="A76" s="270">
        <v>40</v>
      </c>
      <c r="B76" s="271" t="s">
        <v>227</v>
      </c>
      <c r="C76" s="271" t="s">
        <v>227</v>
      </c>
      <c r="D76" s="272">
        <f t="shared" si="20"/>
        <v>0</v>
      </c>
      <c r="E76" s="273"/>
      <c r="F76" s="274">
        <v>0.2</v>
      </c>
      <c r="G76" s="275">
        <f t="shared" si="21"/>
        <v>0</v>
      </c>
      <c r="H76" s="276"/>
      <c r="I76" s="287"/>
      <c r="J76" s="288">
        <f t="shared" si="22"/>
        <v>0</v>
      </c>
      <c r="K76" s="276"/>
      <c r="L76" s="287"/>
      <c r="M76" s="288">
        <f t="shared" si="23"/>
        <v>0</v>
      </c>
      <c r="N76" s="276"/>
      <c r="O76" s="289">
        <f t="shared" si="31"/>
        <v>0</v>
      </c>
      <c r="P76" s="287"/>
      <c r="Q76" s="275">
        <f t="shared" si="24"/>
        <v>0</v>
      </c>
      <c r="R76" s="276"/>
      <c r="S76" s="296">
        <v>0.2</v>
      </c>
      <c r="T76" s="275">
        <f t="shared" si="25"/>
        <v>0</v>
      </c>
      <c r="U76" s="276"/>
      <c r="V76" s="296">
        <v>0.2</v>
      </c>
      <c r="W76" s="275">
        <f t="shared" si="26"/>
        <v>0</v>
      </c>
      <c r="X76" s="276"/>
      <c r="Y76" s="296">
        <v>0.2</v>
      </c>
      <c r="Z76" s="275">
        <f t="shared" si="27"/>
        <v>0</v>
      </c>
      <c r="AA76" s="276"/>
      <c r="AB76" s="296">
        <v>0.2</v>
      </c>
      <c r="AC76" s="275">
        <f t="shared" si="28"/>
        <v>0</v>
      </c>
      <c r="AD76" s="275"/>
      <c r="AE76" s="275"/>
      <c r="AF76" s="275">
        <f t="shared" si="29"/>
        <v>0</v>
      </c>
      <c r="AG76" s="303" t="s">
        <v>228</v>
      </c>
      <c r="AH76" s="303"/>
      <c r="AI76" s="275">
        <v>1</v>
      </c>
      <c r="AJ76" s="275"/>
      <c r="AK76" s="305"/>
      <c r="AL76" s="306"/>
    </row>
    <row r="77" s="254" customFormat="1" ht="18" customHeight="1" spans="1:38">
      <c r="A77" s="270">
        <v>48</v>
      </c>
      <c r="B77" s="280" t="s">
        <v>229</v>
      </c>
      <c r="C77" s="278" t="s">
        <v>230</v>
      </c>
      <c r="D77" s="272">
        <f t="shared" si="20"/>
        <v>0</v>
      </c>
      <c r="E77" s="281"/>
      <c r="F77" s="274"/>
      <c r="G77" s="275">
        <f t="shared" si="21"/>
        <v>0</v>
      </c>
      <c r="H77" s="276"/>
      <c r="I77" s="287"/>
      <c r="J77" s="288">
        <f t="shared" si="22"/>
        <v>0</v>
      </c>
      <c r="K77" s="276"/>
      <c r="L77" s="287"/>
      <c r="M77" s="288">
        <f t="shared" si="23"/>
        <v>0</v>
      </c>
      <c r="N77" s="291"/>
      <c r="O77" s="289">
        <f>N77*0.77</f>
        <v>0</v>
      </c>
      <c r="P77" s="287"/>
      <c r="Q77" s="275">
        <f t="shared" si="24"/>
        <v>0</v>
      </c>
      <c r="R77" s="281"/>
      <c r="S77" s="296">
        <v>0</v>
      </c>
      <c r="T77" s="275">
        <f t="shared" si="25"/>
        <v>0</v>
      </c>
      <c r="U77" s="281"/>
      <c r="V77" s="296">
        <v>0</v>
      </c>
      <c r="W77" s="275">
        <f t="shared" si="26"/>
        <v>0</v>
      </c>
      <c r="X77" s="281"/>
      <c r="Y77" s="296">
        <v>0</v>
      </c>
      <c r="Z77" s="275">
        <f t="shared" si="27"/>
        <v>0</v>
      </c>
      <c r="AA77" s="281"/>
      <c r="AB77" s="296">
        <v>0</v>
      </c>
      <c r="AC77" s="275">
        <f t="shared" si="28"/>
        <v>0</v>
      </c>
      <c r="AD77" s="277"/>
      <c r="AE77" s="277"/>
      <c r="AF77" s="275">
        <f t="shared" si="29"/>
        <v>0</v>
      </c>
      <c r="AG77" s="303" t="s">
        <v>231</v>
      </c>
      <c r="AH77" s="303"/>
      <c r="AI77" s="275"/>
      <c r="AJ77" s="275"/>
      <c r="AK77" s="308" t="s">
        <v>232</v>
      </c>
      <c r="AL77" s="306"/>
    </row>
    <row r="78" s="254" customFormat="1" ht="18" customHeight="1" spans="1:38">
      <c r="A78" s="270">
        <v>12</v>
      </c>
      <c r="B78" s="271" t="s">
        <v>233</v>
      </c>
      <c r="C78" s="271" t="s">
        <v>234</v>
      </c>
      <c r="D78" s="272">
        <f t="shared" si="20"/>
        <v>0</v>
      </c>
      <c r="E78" s="273"/>
      <c r="F78" s="274">
        <v>0.25</v>
      </c>
      <c r="G78" s="275">
        <f t="shared" si="21"/>
        <v>0</v>
      </c>
      <c r="H78" s="276"/>
      <c r="I78" s="287"/>
      <c r="J78" s="288">
        <f t="shared" si="22"/>
        <v>0</v>
      </c>
      <c r="K78" s="276"/>
      <c r="L78" s="287"/>
      <c r="M78" s="288">
        <f t="shared" si="23"/>
        <v>0</v>
      </c>
      <c r="N78" s="276"/>
      <c r="O78" s="289">
        <f t="shared" si="31"/>
        <v>0</v>
      </c>
      <c r="P78" s="287"/>
      <c r="Q78" s="275">
        <f t="shared" si="24"/>
        <v>0</v>
      </c>
      <c r="R78" s="276"/>
      <c r="S78" s="296">
        <v>0</v>
      </c>
      <c r="T78" s="275">
        <f t="shared" si="25"/>
        <v>0</v>
      </c>
      <c r="U78" s="276"/>
      <c r="V78" s="296">
        <v>0</v>
      </c>
      <c r="W78" s="275">
        <f t="shared" si="26"/>
        <v>0</v>
      </c>
      <c r="X78" s="276"/>
      <c r="Y78" s="296">
        <v>0</v>
      </c>
      <c r="Z78" s="275">
        <f t="shared" si="27"/>
        <v>0</v>
      </c>
      <c r="AA78" s="276"/>
      <c r="AB78" s="296">
        <v>0</v>
      </c>
      <c r="AC78" s="275">
        <f t="shared" si="28"/>
        <v>0</v>
      </c>
      <c r="AD78" s="275"/>
      <c r="AE78" s="275"/>
      <c r="AF78" s="275">
        <f t="shared" si="29"/>
        <v>0</v>
      </c>
      <c r="AG78" s="303" t="s">
        <v>235</v>
      </c>
      <c r="AH78" s="303"/>
      <c r="AI78" s="275"/>
      <c r="AJ78" s="275"/>
      <c r="AK78" s="305" t="s">
        <v>78</v>
      </c>
      <c r="AL78" s="306"/>
    </row>
    <row r="79" s="254" customFormat="1" ht="18" customHeight="1" spans="1:38">
      <c r="A79" s="270">
        <v>24</v>
      </c>
      <c r="B79" s="271" t="s">
        <v>236</v>
      </c>
      <c r="C79" s="271" t="s">
        <v>236</v>
      </c>
      <c r="D79" s="272">
        <f t="shared" si="20"/>
        <v>0</v>
      </c>
      <c r="E79" s="273"/>
      <c r="F79" s="274">
        <v>0.2</v>
      </c>
      <c r="G79" s="275">
        <f t="shared" si="21"/>
        <v>0</v>
      </c>
      <c r="H79" s="276"/>
      <c r="I79" s="287"/>
      <c r="J79" s="288">
        <f t="shared" si="22"/>
        <v>0</v>
      </c>
      <c r="K79" s="276"/>
      <c r="L79" s="287"/>
      <c r="M79" s="288">
        <f t="shared" si="23"/>
        <v>0</v>
      </c>
      <c r="N79" s="276"/>
      <c r="O79" s="289">
        <f t="shared" si="31"/>
        <v>0</v>
      </c>
      <c r="P79" s="287"/>
      <c r="Q79" s="275">
        <f t="shared" si="24"/>
        <v>0</v>
      </c>
      <c r="R79" s="276"/>
      <c r="S79" s="296">
        <v>0</v>
      </c>
      <c r="T79" s="275">
        <f t="shared" si="25"/>
        <v>0</v>
      </c>
      <c r="U79" s="276"/>
      <c r="V79" s="296">
        <v>0</v>
      </c>
      <c r="W79" s="275">
        <f t="shared" si="26"/>
        <v>0</v>
      </c>
      <c r="X79" s="276"/>
      <c r="Y79" s="296">
        <v>0</v>
      </c>
      <c r="Z79" s="275">
        <f t="shared" si="27"/>
        <v>0</v>
      </c>
      <c r="AA79" s="276"/>
      <c r="AB79" s="296">
        <v>0</v>
      </c>
      <c r="AC79" s="275">
        <f t="shared" si="28"/>
        <v>0</v>
      </c>
      <c r="AD79" s="275"/>
      <c r="AE79" s="275"/>
      <c r="AF79" s="275">
        <f t="shared" si="29"/>
        <v>0</v>
      </c>
      <c r="AG79" s="303" t="s">
        <v>237</v>
      </c>
      <c r="AH79" s="303"/>
      <c r="AI79" s="275"/>
      <c r="AJ79" s="275"/>
      <c r="AK79" s="305"/>
      <c r="AL79" s="306"/>
    </row>
    <row r="80" s="254" customFormat="1" ht="18" customHeight="1" spans="1:38">
      <c r="A80" s="270">
        <v>34</v>
      </c>
      <c r="B80" s="271" t="s">
        <v>238</v>
      </c>
      <c r="C80" s="271" t="s">
        <v>238</v>
      </c>
      <c r="D80" s="272">
        <f t="shared" si="20"/>
        <v>0</v>
      </c>
      <c r="E80" s="273"/>
      <c r="F80" s="274">
        <v>0</v>
      </c>
      <c r="G80" s="275">
        <f t="shared" si="21"/>
        <v>0</v>
      </c>
      <c r="H80" s="276"/>
      <c r="I80" s="287"/>
      <c r="J80" s="288">
        <f t="shared" si="22"/>
        <v>0</v>
      </c>
      <c r="K80" s="276"/>
      <c r="L80" s="287"/>
      <c r="M80" s="288">
        <f t="shared" si="23"/>
        <v>0</v>
      </c>
      <c r="N80" s="276"/>
      <c r="O80" s="289">
        <f t="shared" si="31"/>
        <v>0</v>
      </c>
      <c r="P80" s="287"/>
      <c r="Q80" s="275">
        <f t="shared" si="24"/>
        <v>0</v>
      </c>
      <c r="R80" s="276"/>
      <c r="S80" s="296">
        <v>0</v>
      </c>
      <c r="T80" s="275">
        <f t="shared" si="25"/>
        <v>0</v>
      </c>
      <c r="U80" s="276"/>
      <c r="V80" s="296">
        <v>0</v>
      </c>
      <c r="W80" s="275">
        <f t="shared" si="26"/>
        <v>0</v>
      </c>
      <c r="X80" s="276"/>
      <c r="Y80" s="296">
        <v>0</v>
      </c>
      <c r="Z80" s="275">
        <f t="shared" si="27"/>
        <v>0</v>
      </c>
      <c r="AA80" s="276"/>
      <c r="AB80" s="296">
        <v>0</v>
      </c>
      <c r="AC80" s="275">
        <f t="shared" si="28"/>
        <v>0</v>
      </c>
      <c r="AD80" s="275"/>
      <c r="AE80" s="275"/>
      <c r="AF80" s="275">
        <f t="shared" si="29"/>
        <v>0</v>
      </c>
      <c r="AG80" s="303" t="s">
        <v>239</v>
      </c>
      <c r="AH80" s="303"/>
      <c r="AI80" s="275"/>
      <c r="AJ80" s="275"/>
      <c r="AK80" s="305"/>
      <c r="AL80" s="306"/>
    </row>
    <row r="81" s="254" customFormat="1" ht="18" customHeight="1" spans="1:38">
      <c r="A81" s="270">
        <v>36</v>
      </c>
      <c r="B81" s="271"/>
      <c r="C81" s="271" t="s">
        <v>240</v>
      </c>
      <c r="D81" s="272">
        <f t="shared" si="20"/>
        <v>0</v>
      </c>
      <c r="E81" s="273"/>
      <c r="F81" s="274">
        <v>0.2</v>
      </c>
      <c r="G81" s="275">
        <f t="shared" si="21"/>
        <v>0</v>
      </c>
      <c r="H81" s="276"/>
      <c r="I81" s="287"/>
      <c r="J81" s="288">
        <f t="shared" si="22"/>
        <v>0</v>
      </c>
      <c r="K81" s="276"/>
      <c r="L81" s="287"/>
      <c r="M81" s="288">
        <f t="shared" si="23"/>
        <v>0</v>
      </c>
      <c r="N81" s="276"/>
      <c r="O81" s="289">
        <f t="shared" si="31"/>
        <v>0</v>
      </c>
      <c r="P81" s="287"/>
      <c r="Q81" s="275">
        <f t="shared" si="24"/>
        <v>0</v>
      </c>
      <c r="R81" s="276"/>
      <c r="S81" s="296">
        <v>0</v>
      </c>
      <c r="T81" s="275">
        <f t="shared" si="25"/>
        <v>0</v>
      </c>
      <c r="U81" s="276"/>
      <c r="V81" s="296">
        <v>0</v>
      </c>
      <c r="W81" s="275">
        <f t="shared" si="26"/>
        <v>0</v>
      </c>
      <c r="X81" s="276"/>
      <c r="Y81" s="296">
        <v>0</v>
      </c>
      <c r="Z81" s="275">
        <f t="shared" si="27"/>
        <v>0</v>
      </c>
      <c r="AA81" s="276"/>
      <c r="AB81" s="296">
        <v>0</v>
      </c>
      <c r="AC81" s="275">
        <f t="shared" si="28"/>
        <v>0</v>
      </c>
      <c r="AD81" s="275"/>
      <c r="AE81" s="275"/>
      <c r="AF81" s="275">
        <f t="shared" si="29"/>
        <v>0</v>
      </c>
      <c r="AG81" s="303"/>
      <c r="AH81" s="303"/>
      <c r="AI81" s="275"/>
      <c r="AJ81" s="275"/>
      <c r="AK81" s="305"/>
      <c r="AL81" s="306"/>
    </row>
    <row r="82" s="254" customFormat="1" ht="18" customHeight="1" spans="1:38">
      <c r="A82" s="270">
        <v>17</v>
      </c>
      <c r="B82" s="271" t="s">
        <v>241</v>
      </c>
      <c r="C82" s="271" t="s">
        <v>241</v>
      </c>
      <c r="D82" s="272">
        <f t="shared" si="20"/>
        <v>0</v>
      </c>
      <c r="E82" s="273"/>
      <c r="F82" s="274">
        <v>0.2</v>
      </c>
      <c r="G82" s="275">
        <f t="shared" si="21"/>
        <v>0</v>
      </c>
      <c r="H82" s="276"/>
      <c r="I82" s="287"/>
      <c r="J82" s="288">
        <f t="shared" si="22"/>
        <v>0</v>
      </c>
      <c r="K82" s="276"/>
      <c r="L82" s="287"/>
      <c r="M82" s="288">
        <f t="shared" si="23"/>
        <v>0</v>
      </c>
      <c r="N82" s="276"/>
      <c r="O82" s="289">
        <f>N82*0.8</f>
        <v>0</v>
      </c>
      <c r="P82" s="287"/>
      <c r="Q82" s="275">
        <f t="shared" si="24"/>
        <v>0</v>
      </c>
      <c r="R82" s="276"/>
      <c r="S82" s="296">
        <v>0.15</v>
      </c>
      <c r="T82" s="275">
        <f t="shared" si="25"/>
        <v>0</v>
      </c>
      <c r="U82" s="276"/>
      <c r="V82" s="296">
        <v>0.15</v>
      </c>
      <c r="W82" s="275">
        <f t="shared" si="26"/>
        <v>0</v>
      </c>
      <c r="X82" s="276"/>
      <c r="Y82" s="296">
        <v>0.15</v>
      </c>
      <c r="Z82" s="275">
        <f t="shared" si="27"/>
        <v>0</v>
      </c>
      <c r="AA82" s="276"/>
      <c r="AB82" s="296">
        <v>0.15</v>
      </c>
      <c r="AC82" s="275">
        <f t="shared" si="28"/>
        <v>0</v>
      </c>
      <c r="AD82" s="275"/>
      <c r="AE82" s="275"/>
      <c r="AF82" s="275">
        <f t="shared" si="29"/>
        <v>0</v>
      </c>
      <c r="AG82" s="303" t="s">
        <v>242</v>
      </c>
      <c r="AH82" s="303"/>
      <c r="AI82" s="275"/>
      <c r="AJ82" s="275"/>
      <c r="AK82" s="305"/>
      <c r="AL82" s="306"/>
    </row>
    <row r="83" s="254" customFormat="1" ht="18" customHeight="1" spans="1:38">
      <c r="A83" s="270">
        <v>29</v>
      </c>
      <c r="B83" s="271"/>
      <c r="C83" s="271" t="s">
        <v>243</v>
      </c>
      <c r="D83" s="272">
        <f t="shared" si="20"/>
        <v>0</v>
      </c>
      <c r="E83" s="273"/>
      <c r="F83" s="274">
        <v>0</v>
      </c>
      <c r="G83" s="275">
        <f t="shared" si="21"/>
        <v>0</v>
      </c>
      <c r="H83" s="276"/>
      <c r="I83" s="287"/>
      <c r="J83" s="288">
        <f t="shared" si="22"/>
        <v>0</v>
      </c>
      <c r="K83" s="276"/>
      <c r="L83" s="287"/>
      <c r="M83" s="288">
        <f t="shared" si="23"/>
        <v>0</v>
      </c>
      <c r="N83" s="276"/>
      <c r="O83" s="289">
        <f t="shared" ref="O83:O85" si="32">N83*0.83</f>
        <v>0</v>
      </c>
      <c r="P83" s="287"/>
      <c r="Q83" s="275">
        <f t="shared" si="24"/>
        <v>0</v>
      </c>
      <c r="R83" s="276"/>
      <c r="S83" s="296">
        <v>0</v>
      </c>
      <c r="T83" s="275">
        <f t="shared" si="25"/>
        <v>0</v>
      </c>
      <c r="U83" s="276"/>
      <c r="V83" s="296">
        <v>0</v>
      </c>
      <c r="W83" s="275">
        <f t="shared" si="26"/>
        <v>0</v>
      </c>
      <c r="X83" s="276"/>
      <c r="Y83" s="296">
        <v>0</v>
      </c>
      <c r="Z83" s="275">
        <f t="shared" si="27"/>
        <v>0</v>
      </c>
      <c r="AA83" s="276"/>
      <c r="AB83" s="296">
        <v>0</v>
      </c>
      <c r="AC83" s="275">
        <f t="shared" si="28"/>
        <v>0</v>
      </c>
      <c r="AD83" s="275"/>
      <c r="AE83" s="275"/>
      <c r="AF83" s="275">
        <f t="shared" si="29"/>
        <v>0</v>
      </c>
      <c r="AG83" s="303"/>
      <c r="AH83" s="303"/>
      <c r="AI83" s="275"/>
      <c r="AJ83" s="275"/>
      <c r="AK83" s="305"/>
      <c r="AL83" s="306"/>
    </row>
    <row r="84" s="254" customFormat="1" ht="18" customHeight="1" spans="1:38">
      <c r="A84" s="270">
        <v>36</v>
      </c>
      <c r="B84" s="271" t="s">
        <v>244</v>
      </c>
      <c r="C84" s="271" t="s">
        <v>245</v>
      </c>
      <c r="D84" s="272">
        <f t="shared" si="20"/>
        <v>0</v>
      </c>
      <c r="E84" s="273"/>
      <c r="F84" s="274">
        <v>0.2</v>
      </c>
      <c r="G84" s="275">
        <f t="shared" si="21"/>
        <v>0</v>
      </c>
      <c r="H84" s="276"/>
      <c r="I84" s="287"/>
      <c r="J84" s="288">
        <f t="shared" si="22"/>
        <v>0</v>
      </c>
      <c r="K84" s="276"/>
      <c r="L84" s="287"/>
      <c r="M84" s="288">
        <f t="shared" si="23"/>
        <v>0</v>
      </c>
      <c r="N84" s="276"/>
      <c r="O84" s="289">
        <f t="shared" si="32"/>
        <v>0</v>
      </c>
      <c r="P84" s="287"/>
      <c r="Q84" s="275">
        <f t="shared" si="24"/>
        <v>0</v>
      </c>
      <c r="R84" s="276"/>
      <c r="S84" s="296">
        <v>0</v>
      </c>
      <c r="T84" s="275">
        <f t="shared" si="25"/>
        <v>0</v>
      </c>
      <c r="U84" s="276"/>
      <c r="V84" s="296">
        <v>0</v>
      </c>
      <c r="W84" s="275">
        <f t="shared" si="26"/>
        <v>0</v>
      </c>
      <c r="X84" s="276"/>
      <c r="Y84" s="296">
        <v>0</v>
      </c>
      <c r="Z84" s="275">
        <f t="shared" si="27"/>
        <v>0</v>
      </c>
      <c r="AA84" s="276"/>
      <c r="AB84" s="296">
        <v>0</v>
      </c>
      <c r="AC84" s="275">
        <f t="shared" si="28"/>
        <v>0</v>
      </c>
      <c r="AD84" s="275"/>
      <c r="AE84" s="275"/>
      <c r="AF84" s="275">
        <f t="shared" si="29"/>
        <v>0</v>
      </c>
      <c r="AG84" s="303" t="s">
        <v>246</v>
      </c>
      <c r="AH84" s="303"/>
      <c r="AI84" s="275"/>
      <c r="AJ84" s="275"/>
      <c r="AK84" s="305"/>
      <c r="AL84" s="306"/>
    </row>
    <row r="85" s="254" customFormat="1" ht="18" customHeight="1" spans="1:38">
      <c r="A85" s="270">
        <v>38</v>
      </c>
      <c r="B85" s="271"/>
      <c r="C85" s="271" t="s">
        <v>247</v>
      </c>
      <c r="D85" s="272">
        <f t="shared" si="20"/>
        <v>0</v>
      </c>
      <c r="E85" s="273"/>
      <c r="F85" s="274">
        <v>0.2</v>
      </c>
      <c r="G85" s="275">
        <f t="shared" si="21"/>
        <v>0</v>
      </c>
      <c r="H85" s="276"/>
      <c r="I85" s="287"/>
      <c r="J85" s="288">
        <f t="shared" si="22"/>
        <v>0</v>
      </c>
      <c r="K85" s="276"/>
      <c r="L85" s="287"/>
      <c r="M85" s="288">
        <f t="shared" si="23"/>
        <v>0</v>
      </c>
      <c r="N85" s="276"/>
      <c r="O85" s="289">
        <f t="shared" si="32"/>
        <v>0</v>
      </c>
      <c r="P85" s="287"/>
      <c r="Q85" s="275">
        <f t="shared" si="24"/>
        <v>0</v>
      </c>
      <c r="R85" s="276"/>
      <c r="S85" s="296">
        <v>0</v>
      </c>
      <c r="T85" s="275">
        <f t="shared" si="25"/>
        <v>0</v>
      </c>
      <c r="U85" s="276"/>
      <c r="V85" s="296">
        <v>0</v>
      </c>
      <c r="W85" s="275">
        <f t="shared" si="26"/>
        <v>0</v>
      </c>
      <c r="X85" s="276"/>
      <c r="Y85" s="296">
        <v>0</v>
      </c>
      <c r="Z85" s="275">
        <f t="shared" si="27"/>
        <v>0</v>
      </c>
      <c r="AA85" s="276"/>
      <c r="AB85" s="296">
        <v>0</v>
      </c>
      <c r="AC85" s="275">
        <f t="shared" si="28"/>
        <v>0</v>
      </c>
      <c r="AD85" s="275"/>
      <c r="AE85" s="275"/>
      <c r="AF85" s="275">
        <f t="shared" si="29"/>
        <v>0</v>
      </c>
      <c r="AG85" s="303"/>
      <c r="AH85" s="303"/>
      <c r="AI85" s="275"/>
      <c r="AJ85" s="275"/>
      <c r="AK85" s="305"/>
      <c r="AL85" s="306"/>
    </row>
    <row r="86" s="254" customFormat="1" ht="18" customHeight="1" spans="1:38">
      <c r="A86" s="270">
        <v>35</v>
      </c>
      <c r="B86" s="280" t="s">
        <v>129</v>
      </c>
      <c r="C86" s="278" t="s">
        <v>129</v>
      </c>
      <c r="D86" s="272">
        <f t="shared" si="20"/>
        <v>0</v>
      </c>
      <c r="E86" s="281"/>
      <c r="F86" s="274">
        <v>0.25</v>
      </c>
      <c r="G86" s="275">
        <f t="shared" si="21"/>
        <v>0</v>
      </c>
      <c r="H86" s="276"/>
      <c r="I86" s="287"/>
      <c r="J86" s="288">
        <f t="shared" si="22"/>
        <v>0</v>
      </c>
      <c r="K86" s="276"/>
      <c r="L86" s="287"/>
      <c r="M86" s="288">
        <f t="shared" si="23"/>
        <v>0</v>
      </c>
      <c r="N86" s="291"/>
      <c r="O86" s="289">
        <f>N86*0.77</f>
        <v>0</v>
      </c>
      <c r="P86" s="287"/>
      <c r="Q86" s="275">
        <f t="shared" si="24"/>
        <v>0</v>
      </c>
      <c r="R86" s="281"/>
      <c r="S86" s="296">
        <v>0</v>
      </c>
      <c r="T86" s="275">
        <f t="shared" si="25"/>
        <v>0</v>
      </c>
      <c r="U86" s="281"/>
      <c r="V86" s="296">
        <v>0</v>
      </c>
      <c r="W86" s="275">
        <f t="shared" si="26"/>
        <v>0</v>
      </c>
      <c r="X86" s="281"/>
      <c r="Y86" s="296">
        <v>0</v>
      </c>
      <c r="Z86" s="275">
        <f t="shared" si="27"/>
        <v>0</v>
      </c>
      <c r="AA86" s="281"/>
      <c r="AB86" s="296">
        <v>0</v>
      </c>
      <c r="AC86" s="275">
        <f t="shared" si="28"/>
        <v>0</v>
      </c>
      <c r="AD86" s="299"/>
      <c r="AE86" s="299"/>
      <c r="AF86" s="275">
        <f t="shared" si="29"/>
        <v>0</v>
      </c>
      <c r="AG86" s="307" t="s">
        <v>130</v>
      </c>
      <c r="AH86" s="303"/>
      <c r="AI86" s="275"/>
      <c r="AJ86" s="275"/>
      <c r="AK86" s="311"/>
      <c r="AL86" s="306"/>
    </row>
    <row r="87" s="254" customFormat="1" ht="18" customHeight="1" spans="1:38">
      <c r="A87" s="270">
        <v>36</v>
      </c>
      <c r="B87" s="271"/>
      <c r="C87" s="271"/>
      <c r="D87" s="272">
        <f t="shared" si="20"/>
        <v>0</v>
      </c>
      <c r="E87" s="273"/>
      <c r="F87" s="274">
        <v>0.2</v>
      </c>
      <c r="G87" s="275">
        <f t="shared" si="21"/>
        <v>0</v>
      </c>
      <c r="H87" s="276"/>
      <c r="I87" s="287"/>
      <c r="J87" s="288">
        <f t="shared" si="22"/>
        <v>0</v>
      </c>
      <c r="K87" s="276"/>
      <c r="L87" s="287"/>
      <c r="M87" s="288">
        <f t="shared" si="23"/>
        <v>0</v>
      </c>
      <c r="N87" s="276"/>
      <c r="O87" s="289">
        <f t="shared" ref="O87:O90" si="33">N87*0.83</f>
        <v>0</v>
      </c>
      <c r="P87" s="287"/>
      <c r="Q87" s="275">
        <f t="shared" si="24"/>
        <v>0</v>
      </c>
      <c r="R87" s="276"/>
      <c r="S87" s="296">
        <v>0</v>
      </c>
      <c r="T87" s="275">
        <f t="shared" si="25"/>
        <v>0</v>
      </c>
      <c r="U87" s="276"/>
      <c r="V87" s="296">
        <v>0</v>
      </c>
      <c r="W87" s="275">
        <f t="shared" si="26"/>
        <v>0</v>
      </c>
      <c r="X87" s="276"/>
      <c r="Y87" s="296">
        <v>0</v>
      </c>
      <c r="Z87" s="275">
        <f t="shared" si="27"/>
        <v>0</v>
      </c>
      <c r="AA87" s="276"/>
      <c r="AB87" s="296">
        <v>0</v>
      </c>
      <c r="AC87" s="275">
        <f t="shared" si="28"/>
        <v>0</v>
      </c>
      <c r="AD87" s="275"/>
      <c r="AE87" s="275"/>
      <c r="AF87" s="275">
        <f t="shared" si="29"/>
        <v>0</v>
      </c>
      <c r="AG87" s="303"/>
      <c r="AH87" s="303"/>
      <c r="AI87" s="275"/>
      <c r="AJ87" s="275"/>
      <c r="AK87" s="305"/>
      <c r="AL87" s="306"/>
    </row>
    <row r="88" s="254" customFormat="1" ht="18" customHeight="1" spans="1:38">
      <c r="A88" s="270">
        <v>37</v>
      </c>
      <c r="B88" s="271"/>
      <c r="C88" s="271"/>
      <c r="D88" s="272">
        <f t="shared" si="20"/>
        <v>0</v>
      </c>
      <c r="E88" s="273"/>
      <c r="F88" s="274">
        <v>0.2</v>
      </c>
      <c r="G88" s="275">
        <f t="shared" si="21"/>
        <v>0</v>
      </c>
      <c r="H88" s="276"/>
      <c r="I88" s="287"/>
      <c r="J88" s="288">
        <f t="shared" si="22"/>
        <v>0</v>
      </c>
      <c r="K88" s="276"/>
      <c r="L88" s="287"/>
      <c r="M88" s="288">
        <f t="shared" si="23"/>
        <v>0</v>
      </c>
      <c r="N88" s="276"/>
      <c r="O88" s="289">
        <f t="shared" si="33"/>
        <v>0</v>
      </c>
      <c r="P88" s="287"/>
      <c r="Q88" s="275">
        <f t="shared" si="24"/>
        <v>0</v>
      </c>
      <c r="R88" s="276"/>
      <c r="S88" s="296">
        <v>0</v>
      </c>
      <c r="T88" s="275">
        <f t="shared" si="25"/>
        <v>0</v>
      </c>
      <c r="U88" s="276"/>
      <c r="V88" s="296">
        <v>0</v>
      </c>
      <c r="W88" s="275">
        <f t="shared" si="26"/>
        <v>0</v>
      </c>
      <c r="X88" s="276"/>
      <c r="Y88" s="296">
        <v>0</v>
      </c>
      <c r="Z88" s="275">
        <f t="shared" si="27"/>
        <v>0</v>
      </c>
      <c r="AA88" s="276"/>
      <c r="AB88" s="296">
        <v>0</v>
      </c>
      <c r="AC88" s="275">
        <f t="shared" si="28"/>
        <v>0</v>
      </c>
      <c r="AD88" s="275"/>
      <c r="AE88" s="275"/>
      <c r="AF88" s="275">
        <f t="shared" si="29"/>
        <v>0</v>
      </c>
      <c r="AG88" s="303"/>
      <c r="AH88" s="303"/>
      <c r="AI88" s="275"/>
      <c r="AJ88" s="275"/>
      <c r="AK88" s="305"/>
      <c r="AL88" s="306"/>
    </row>
    <row r="89" s="254" customFormat="1" ht="18" customHeight="1" spans="1:38">
      <c r="A89" s="270">
        <v>42</v>
      </c>
      <c r="B89" s="271" t="s">
        <v>248</v>
      </c>
      <c r="C89" s="271" t="s">
        <v>249</v>
      </c>
      <c r="D89" s="272">
        <f t="shared" si="20"/>
        <v>0</v>
      </c>
      <c r="E89" s="273"/>
      <c r="F89" s="274">
        <v>0.2</v>
      </c>
      <c r="G89" s="275">
        <f t="shared" si="21"/>
        <v>0</v>
      </c>
      <c r="H89" s="276"/>
      <c r="I89" s="287"/>
      <c r="J89" s="288">
        <f t="shared" si="22"/>
        <v>0</v>
      </c>
      <c r="K89" s="276"/>
      <c r="L89" s="287"/>
      <c r="M89" s="288">
        <f t="shared" si="23"/>
        <v>0</v>
      </c>
      <c r="N89" s="276"/>
      <c r="O89" s="289">
        <f>N89*0.8</f>
        <v>0</v>
      </c>
      <c r="P89" s="287"/>
      <c r="Q89" s="275">
        <f t="shared" si="24"/>
        <v>0</v>
      </c>
      <c r="R89" s="276"/>
      <c r="S89" s="296">
        <v>0.2</v>
      </c>
      <c r="T89" s="275">
        <f t="shared" si="25"/>
        <v>0</v>
      </c>
      <c r="U89" s="276"/>
      <c r="V89" s="296">
        <v>0.2</v>
      </c>
      <c r="W89" s="275">
        <f t="shared" si="26"/>
        <v>0</v>
      </c>
      <c r="X89" s="276"/>
      <c r="Y89" s="296">
        <v>0.2</v>
      </c>
      <c r="Z89" s="275">
        <f t="shared" si="27"/>
        <v>0</v>
      </c>
      <c r="AA89" s="276"/>
      <c r="AB89" s="296">
        <v>0.2</v>
      </c>
      <c r="AC89" s="275">
        <f t="shared" si="28"/>
        <v>0</v>
      </c>
      <c r="AD89" s="275"/>
      <c r="AE89" s="275"/>
      <c r="AF89" s="275">
        <f t="shared" si="29"/>
        <v>0</v>
      </c>
      <c r="AG89" s="303" t="s">
        <v>250</v>
      </c>
      <c r="AH89" s="303"/>
      <c r="AI89" s="275"/>
      <c r="AJ89" s="275"/>
      <c r="AK89" s="305"/>
      <c r="AL89" s="306"/>
    </row>
    <row r="90" s="254" customFormat="1" ht="18" customHeight="1" spans="1:38">
      <c r="A90" s="270">
        <v>43</v>
      </c>
      <c r="B90" s="271" t="s">
        <v>251</v>
      </c>
      <c r="C90" s="271" t="s">
        <v>252</v>
      </c>
      <c r="D90" s="272">
        <f t="shared" si="20"/>
        <v>0</v>
      </c>
      <c r="E90" s="273"/>
      <c r="F90" s="274">
        <v>0.2</v>
      </c>
      <c r="G90" s="275">
        <f t="shared" si="21"/>
        <v>0</v>
      </c>
      <c r="H90" s="276"/>
      <c r="I90" s="287"/>
      <c r="J90" s="288">
        <f t="shared" si="22"/>
        <v>0</v>
      </c>
      <c r="K90" s="276"/>
      <c r="L90" s="287"/>
      <c r="M90" s="288">
        <f t="shared" si="23"/>
        <v>0</v>
      </c>
      <c r="N90" s="276"/>
      <c r="O90" s="289">
        <f t="shared" si="33"/>
        <v>0</v>
      </c>
      <c r="P90" s="287"/>
      <c r="Q90" s="275">
        <f t="shared" si="24"/>
        <v>0</v>
      </c>
      <c r="R90" s="276"/>
      <c r="S90" s="296">
        <v>0.2</v>
      </c>
      <c r="T90" s="275">
        <f t="shared" si="25"/>
        <v>0</v>
      </c>
      <c r="U90" s="276"/>
      <c r="V90" s="296">
        <v>0.2</v>
      </c>
      <c r="W90" s="275">
        <f t="shared" si="26"/>
        <v>0</v>
      </c>
      <c r="X90" s="276"/>
      <c r="Y90" s="296">
        <v>0.2</v>
      </c>
      <c r="Z90" s="275">
        <f t="shared" si="27"/>
        <v>0</v>
      </c>
      <c r="AA90" s="276"/>
      <c r="AB90" s="296">
        <v>0.2</v>
      </c>
      <c r="AC90" s="275">
        <f t="shared" si="28"/>
        <v>0</v>
      </c>
      <c r="AD90" s="275"/>
      <c r="AE90" s="275"/>
      <c r="AF90" s="275">
        <f t="shared" si="29"/>
        <v>0</v>
      </c>
      <c r="AG90" s="303" t="s">
        <v>253</v>
      </c>
      <c r="AH90" s="303"/>
      <c r="AI90" s="275"/>
      <c r="AJ90" s="275"/>
      <c r="AK90" s="305"/>
      <c r="AL90" s="306"/>
    </row>
    <row r="91" s="254" customFormat="1" ht="18" customHeight="1" spans="1:38">
      <c r="A91" s="270">
        <v>44</v>
      </c>
      <c r="B91" s="271" t="s">
        <v>254</v>
      </c>
      <c r="C91" s="271" t="s">
        <v>255</v>
      </c>
      <c r="D91" s="272">
        <f t="shared" si="20"/>
        <v>0</v>
      </c>
      <c r="E91" s="273"/>
      <c r="F91" s="274">
        <v>0.2</v>
      </c>
      <c r="G91" s="275">
        <f t="shared" si="21"/>
        <v>0</v>
      </c>
      <c r="H91" s="276"/>
      <c r="I91" s="287"/>
      <c r="J91" s="288">
        <f t="shared" si="22"/>
        <v>0</v>
      </c>
      <c r="K91" s="276"/>
      <c r="L91" s="287"/>
      <c r="M91" s="288">
        <f t="shared" si="23"/>
        <v>0</v>
      </c>
      <c r="N91" s="276"/>
      <c r="O91" s="289">
        <f>N91*0.8</f>
        <v>0</v>
      </c>
      <c r="P91" s="287"/>
      <c r="Q91" s="275">
        <f t="shared" si="24"/>
        <v>0</v>
      </c>
      <c r="R91" s="276"/>
      <c r="S91" s="296">
        <v>0.2</v>
      </c>
      <c r="T91" s="275">
        <f t="shared" si="25"/>
        <v>0</v>
      </c>
      <c r="U91" s="276"/>
      <c r="V91" s="296">
        <v>0.2</v>
      </c>
      <c r="W91" s="275">
        <f t="shared" si="26"/>
        <v>0</v>
      </c>
      <c r="X91" s="276"/>
      <c r="Y91" s="296">
        <v>0.2</v>
      </c>
      <c r="Z91" s="275">
        <f t="shared" si="27"/>
        <v>0</v>
      </c>
      <c r="AA91" s="276"/>
      <c r="AB91" s="296">
        <v>0.2</v>
      </c>
      <c r="AC91" s="275">
        <f t="shared" si="28"/>
        <v>0</v>
      </c>
      <c r="AD91" s="275"/>
      <c r="AE91" s="275"/>
      <c r="AF91" s="275">
        <f t="shared" si="29"/>
        <v>0</v>
      </c>
      <c r="AG91" s="303" t="s">
        <v>256</v>
      </c>
      <c r="AH91" s="303"/>
      <c r="AI91" s="275"/>
      <c r="AJ91" s="275"/>
      <c r="AK91" s="305"/>
      <c r="AL91" s="306"/>
    </row>
    <row r="92" s="254" customFormat="1" ht="18" customHeight="1" spans="1:38">
      <c r="A92" s="270">
        <v>50</v>
      </c>
      <c r="B92" s="271"/>
      <c r="C92" s="271" t="s">
        <v>257</v>
      </c>
      <c r="D92" s="272">
        <f t="shared" si="20"/>
        <v>0</v>
      </c>
      <c r="E92" s="273"/>
      <c r="F92" s="274">
        <v>0.2</v>
      </c>
      <c r="G92" s="275">
        <f t="shared" si="21"/>
        <v>0</v>
      </c>
      <c r="H92" s="276"/>
      <c r="I92" s="287"/>
      <c r="J92" s="288">
        <f t="shared" si="22"/>
        <v>0</v>
      </c>
      <c r="K92" s="276"/>
      <c r="L92" s="287"/>
      <c r="M92" s="288">
        <f t="shared" si="23"/>
        <v>0</v>
      </c>
      <c r="N92" s="276"/>
      <c r="O92" s="289">
        <f t="shared" ref="O92:O151" si="34">N92*0.83</f>
        <v>0</v>
      </c>
      <c r="P92" s="287"/>
      <c r="Q92" s="275">
        <f t="shared" si="24"/>
        <v>0</v>
      </c>
      <c r="R92" s="276"/>
      <c r="S92" s="296">
        <v>0</v>
      </c>
      <c r="T92" s="275">
        <f t="shared" si="25"/>
        <v>0</v>
      </c>
      <c r="U92" s="276"/>
      <c r="V92" s="296">
        <v>0</v>
      </c>
      <c r="W92" s="275">
        <f t="shared" si="26"/>
        <v>0</v>
      </c>
      <c r="X92" s="276"/>
      <c r="Y92" s="296">
        <v>0</v>
      </c>
      <c r="Z92" s="275">
        <f t="shared" si="27"/>
        <v>0</v>
      </c>
      <c r="AA92" s="276"/>
      <c r="AB92" s="296">
        <v>0</v>
      </c>
      <c r="AC92" s="275">
        <f t="shared" si="28"/>
        <v>0</v>
      </c>
      <c r="AD92" s="275"/>
      <c r="AE92" s="275"/>
      <c r="AF92" s="275">
        <f t="shared" si="29"/>
        <v>0</v>
      </c>
      <c r="AG92" s="303"/>
      <c r="AH92" s="303"/>
      <c r="AI92" s="275"/>
      <c r="AJ92" s="275"/>
      <c r="AK92" s="305" t="s">
        <v>258</v>
      </c>
      <c r="AL92" s="306"/>
    </row>
    <row r="93" s="254" customFormat="1" ht="18" customHeight="1" spans="1:38">
      <c r="A93" s="270">
        <v>51</v>
      </c>
      <c r="B93" s="271" t="s">
        <v>259</v>
      </c>
      <c r="C93" s="271" t="s">
        <v>260</v>
      </c>
      <c r="D93" s="272">
        <f t="shared" si="20"/>
        <v>0</v>
      </c>
      <c r="E93" s="273"/>
      <c r="F93" s="274">
        <v>0</v>
      </c>
      <c r="G93" s="275">
        <f t="shared" si="21"/>
        <v>0</v>
      </c>
      <c r="H93" s="276"/>
      <c r="I93" s="287"/>
      <c r="J93" s="288">
        <f t="shared" si="22"/>
        <v>0</v>
      </c>
      <c r="K93" s="276"/>
      <c r="L93" s="287"/>
      <c r="M93" s="288">
        <f t="shared" si="23"/>
        <v>0</v>
      </c>
      <c r="N93" s="276"/>
      <c r="O93" s="289">
        <f t="shared" si="34"/>
        <v>0</v>
      </c>
      <c r="P93" s="287"/>
      <c r="Q93" s="275">
        <f t="shared" si="24"/>
        <v>0</v>
      </c>
      <c r="R93" s="276"/>
      <c r="S93" s="296">
        <v>0</v>
      </c>
      <c r="T93" s="275">
        <f t="shared" si="25"/>
        <v>0</v>
      </c>
      <c r="U93" s="276"/>
      <c r="V93" s="296">
        <v>0</v>
      </c>
      <c r="W93" s="275">
        <f t="shared" si="26"/>
        <v>0</v>
      </c>
      <c r="X93" s="276"/>
      <c r="Y93" s="296">
        <v>0</v>
      </c>
      <c r="Z93" s="275">
        <f t="shared" si="27"/>
        <v>0</v>
      </c>
      <c r="AA93" s="276"/>
      <c r="AB93" s="296">
        <v>0</v>
      </c>
      <c r="AC93" s="275">
        <f t="shared" si="28"/>
        <v>0</v>
      </c>
      <c r="AD93" s="275"/>
      <c r="AE93" s="275"/>
      <c r="AF93" s="275">
        <f t="shared" si="29"/>
        <v>0</v>
      </c>
      <c r="AG93" s="303" t="s">
        <v>261</v>
      </c>
      <c r="AH93" s="303"/>
      <c r="AI93" s="275"/>
      <c r="AJ93" s="275"/>
      <c r="AK93" s="305"/>
      <c r="AL93" s="306"/>
    </row>
    <row r="94" s="254" customFormat="1" ht="18" customHeight="1" spans="1:38">
      <c r="A94" s="270">
        <v>28</v>
      </c>
      <c r="B94" s="271" t="s">
        <v>262</v>
      </c>
      <c r="C94" s="271" t="s">
        <v>263</v>
      </c>
      <c r="D94" s="272">
        <f t="shared" si="20"/>
        <v>0</v>
      </c>
      <c r="E94" s="273"/>
      <c r="F94" s="274">
        <v>0</v>
      </c>
      <c r="G94" s="275">
        <f t="shared" si="21"/>
        <v>0</v>
      </c>
      <c r="H94" s="276"/>
      <c r="I94" s="287"/>
      <c r="J94" s="288">
        <f t="shared" si="22"/>
        <v>0</v>
      </c>
      <c r="K94" s="276"/>
      <c r="L94" s="287"/>
      <c r="M94" s="288">
        <f t="shared" si="23"/>
        <v>0</v>
      </c>
      <c r="N94" s="276"/>
      <c r="O94" s="289">
        <f t="shared" si="34"/>
        <v>0</v>
      </c>
      <c r="P94" s="287"/>
      <c r="Q94" s="275">
        <f t="shared" si="24"/>
        <v>0</v>
      </c>
      <c r="R94" s="276"/>
      <c r="S94" s="296">
        <v>0.2</v>
      </c>
      <c r="T94" s="275">
        <f t="shared" si="25"/>
        <v>0</v>
      </c>
      <c r="U94" s="276"/>
      <c r="V94" s="296">
        <v>0.2</v>
      </c>
      <c r="W94" s="275">
        <f t="shared" si="26"/>
        <v>0</v>
      </c>
      <c r="X94" s="276"/>
      <c r="Y94" s="296">
        <v>0.2</v>
      </c>
      <c r="Z94" s="275">
        <f t="shared" si="27"/>
        <v>0</v>
      </c>
      <c r="AA94" s="276"/>
      <c r="AB94" s="296">
        <v>0.2</v>
      </c>
      <c r="AC94" s="275">
        <f t="shared" si="28"/>
        <v>0</v>
      </c>
      <c r="AD94" s="275"/>
      <c r="AE94" s="275"/>
      <c r="AF94" s="275">
        <f t="shared" si="29"/>
        <v>0</v>
      </c>
      <c r="AG94" s="303" t="s">
        <v>264</v>
      </c>
      <c r="AH94" s="303"/>
      <c r="AI94" s="275"/>
      <c r="AJ94" s="275"/>
      <c r="AK94" s="305"/>
      <c r="AL94" s="306"/>
    </row>
    <row r="95" s="254" customFormat="1" ht="18" customHeight="1" spans="1:38">
      <c r="A95" s="270">
        <v>9</v>
      </c>
      <c r="B95" s="271" t="s">
        <v>265</v>
      </c>
      <c r="C95" s="271" t="s">
        <v>266</v>
      </c>
      <c r="D95" s="272">
        <f t="shared" si="20"/>
        <v>0</v>
      </c>
      <c r="E95" s="273"/>
      <c r="F95" s="274">
        <v>0.25</v>
      </c>
      <c r="G95" s="275">
        <f t="shared" si="21"/>
        <v>0</v>
      </c>
      <c r="H95" s="276"/>
      <c r="I95" s="287"/>
      <c r="J95" s="288">
        <f t="shared" si="22"/>
        <v>0</v>
      </c>
      <c r="K95" s="276"/>
      <c r="L95" s="287"/>
      <c r="M95" s="288">
        <f t="shared" si="23"/>
        <v>0</v>
      </c>
      <c r="N95" s="276"/>
      <c r="O95" s="289">
        <f t="shared" si="34"/>
        <v>0</v>
      </c>
      <c r="P95" s="287"/>
      <c r="Q95" s="275">
        <f t="shared" si="24"/>
        <v>0</v>
      </c>
      <c r="R95" s="276"/>
      <c r="S95" s="296">
        <v>0</v>
      </c>
      <c r="T95" s="275">
        <f t="shared" si="25"/>
        <v>0</v>
      </c>
      <c r="U95" s="276"/>
      <c r="V95" s="296">
        <v>0</v>
      </c>
      <c r="W95" s="275">
        <f t="shared" si="26"/>
        <v>0</v>
      </c>
      <c r="X95" s="276"/>
      <c r="Y95" s="296">
        <v>0</v>
      </c>
      <c r="Z95" s="275">
        <f t="shared" si="27"/>
        <v>0</v>
      </c>
      <c r="AA95" s="276"/>
      <c r="AB95" s="296">
        <v>0</v>
      </c>
      <c r="AC95" s="275">
        <f t="shared" si="28"/>
        <v>0</v>
      </c>
      <c r="AD95" s="275"/>
      <c r="AE95" s="275"/>
      <c r="AF95" s="275">
        <f t="shared" si="29"/>
        <v>0</v>
      </c>
      <c r="AG95" s="303" t="s">
        <v>267</v>
      </c>
      <c r="AH95" s="303"/>
      <c r="AI95" s="275"/>
      <c r="AJ95" s="275"/>
      <c r="AK95" s="305"/>
      <c r="AL95" s="306"/>
    </row>
    <row r="96" s="254" customFormat="1" ht="18" customHeight="1" spans="1:38">
      <c r="A96" s="270">
        <v>12</v>
      </c>
      <c r="B96" s="271" t="s">
        <v>268</v>
      </c>
      <c r="C96" s="271" t="s">
        <v>268</v>
      </c>
      <c r="D96" s="272">
        <f t="shared" si="20"/>
        <v>0</v>
      </c>
      <c r="E96" s="273"/>
      <c r="F96" s="274">
        <v>0.2</v>
      </c>
      <c r="G96" s="275">
        <f t="shared" si="21"/>
        <v>0</v>
      </c>
      <c r="H96" s="276"/>
      <c r="I96" s="287"/>
      <c r="J96" s="288">
        <f t="shared" si="22"/>
        <v>0</v>
      </c>
      <c r="K96" s="276"/>
      <c r="L96" s="287"/>
      <c r="M96" s="288">
        <f t="shared" si="23"/>
        <v>0</v>
      </c>
      <c r="N96" s="276"/>
      <c r="O96" s="289">
        <f t="shared" si="34"/>
        <v>0</v>
      </c>
      <c r="P96" s="287"/>
      <c r="Q96" s="275">
        <f t="shared" si="24"/>
        <v>0</v>
      </c>
      <c r="R96" s="276"/>
      <c r="S96" s="296">
        <v>0.2</v>
      </c>
      <c r="T96" s="275">
        <f t="shared" si="25"/>
        <v>0</v>
      </c>
      <c r="U96" s="276"/>
      <c r="V96" s="296">
        <v>0.2</v>
      </c>
      <c r="W96" s="275">
        <f t="shared" si="26"/>
        <v>0</v>
      </c>
      <c r="X96" s="276"/>
      <c r="Y96" s="296">
        <v>0.2</v>
      </c>
      <c r="Z96" s="275">
        <f t="shared" si="27"/>
        <v>0</v>
      </c>
      <c r="AA96" s="276"/>
      <c r="AB96" s="296">
        <v>0.2</v>
      </c>
      <c r="AC96" s="275">
        <f t="shared" si="28"/>
        <v>0</v>
      </c>
      <c r="AD96" s="275"/>
      <c r="AE96" s="275"/>
      <c r="AF96" s="275">
        <f t="shared" si="29"/>
        <v>0</v>
      </c>
      <c r="AG96" s="303" t="s">
        <v>269</v>
      </c>
      <c r="AH96" s="303"/>
      <c r="AI96" s="275"/>
      <c r="AJ96" s="275"/>
      <c r="AK96" s="305"/>
      <c r="AL96" s="306"/>
    </row>
    <row r="97" s="254" customFormat="1" ht="18" customHeight="1" spans="1:38">
      <c r="A97" s="270">
        <v>25</v>
      </c>
      <c r="B97" s="271" t="s">
        <v>270</v>
      </c>
      <c r="C97" s="271" t="s">
        <v>270</v>
      </c>
      <c r="D97" s="272">
        <f t="shared" si="20"/>
        <v>0</v>
      </c>
      <c r="E97" s="273"/>
      <c r="F97" s="274">
        <v>0.2</v>
      </c>
      <c r="G97" s="275">
        <f t="shared" si="21"/>
        <v>0</v>
      </c>
      <c r="H97" s="276"/>
      <c r="I97" s="287"/>
      <c r="J97" s="288">
        <f t="shared" si="22"/>
        <v>0</v>
      </c>
      <c r="K97" s="276"/>
      <c r="L97" s="287"/>
      <c r="M97" s="288">
        <f t="shared" si="23"/>
        <v>0</v>
      </c>
      <c r="N97" s="276"/>
      <c r="O97" s="289">
        <f t="shared" si="34"/>
        <v>0</v>
      </c>
      <c r="P97" s="287"/>
      <c r="Q97" s="275">
        <f t="shared" si="24"/>
        <v>0</v>
      </c>
      <c r="R97" s="276"/>
      <c r="S97" s="296">
        <v>0</v>
      </c>
      <c r="T97" s="275">
        <f t="shared" si="25"/>
        <v>0</v>
      </c>
      <c r="U97" s="276"/>
      <c r="V97" s="296">
        <v>0</v>
      </c>
      <c r="W97" s="275">
        <f t="shared" si="26"/>
        <v>0</v>
      </c>
      <c r="X97" s="276"/>
      <c r="Y97" s="296">
        <v>0</v>
      </c>
      <c r="Z97" s="275">
        <f t="shared" si="27"/>
        <v>0</v>
      </c>
      <c r="AA97" s="276"/>
      <c r="AB97" s="296">
        <v>0</v>
      </c>
      <c r="AC97" s="275">
        <f t="shared" si="28"/>
        <v>0</v>
      </c>
      <c r="AD97" s="275"/>
      <c r="AE97" s="275"/>
      <c r="AF97" s="275">
        <f t="shared" si="29"/>
        <v>0</v>
      </c>
      <c r="AG97" s="303" t="s">
        <v>271</v>
      </c>
      <c r="AH97" s="303"/>
      <c r="AI97" s="275"/>
      <c r="AJ97" s="275"/>
      <c r="AK97" s="305"/>
      <c r="AL97" s="306"/>
    </row>
    <row r="98" s="254" customFormat="1" ht="18" customHeight="1" spans="1:38">
      <c r="A98" s="270">
        <v>29</v>
      </c>
      <c r="B98" s="271"/>
      <c r="C98" s="271" t="s">
        <v>272</v>
      </c>
      <c r="D98" s="272">
        <f t="shared" si="20"/>
        <v>0</v>
      </c>
      <c r="E98" s="273"/>
      <c r="F98" s="274">
        <v>0.2</v>
      </c>
      <c r="G98" s="275">
        <f t="shared" si="21"/>
        <v>0</v>
      </c>
      <c r="H98" s="276"/>
      <c r="I98" s="287"/>
      <c r="J98" s="288">
        <f t="shared" si="22"/>
        <v>0</v>
      </c>
      <c r="K98" s="276"/>
      <c r="L98" s="287"/>
      <c r="M98" s="288">
        <f t="shared" si="23"/>
        <v>0</v>
      </c>
      <c r="N98" s="276"/>
      <c r="O98" s="289">
        <f t="shared" si="34"/>
        <v>0</v>
      </c>
      <c r="P98" s="287"/>
      <c r="Q98" s="275">
        <f t="shared" si="24"/>
        <v>0</v>
      </c>
      <c r="R98" s="276"/>
      <c r="S98" s="296">
        <v>0</v>
      </c>
      <c r="T98" s="275">
        <f t="shared" si="25"/>
        <v>0</v>
      </c>
      <c r="U98" s="276"/>
      <c r="V98" s="296">
        <v>0</v>
      </c>
      <c r="W98" s="275">
        <f t="shared" si="26"/>
        <v>0</v>
      </c>
      <c r="X98" s="276"/>
      <c r="Y98" s="296">
        <v>0</v>
      </c>
      <c r="Z98" s="275">
        <f t="shared" si="27"/>
        <v>0</v>
      </c>
      <c r="AA98" s="276"/>
      <c r="AB98" s="296">
        <v>0</v>
      </c>
      <c r="AC98" s="275">
        <f t="shared" si="28"/>
        <v>0</v>
      </c>
      <c r="AD98" s="275"/>
      <c r="AE98" s="275"/>
      <c r="AF98" s="275">
        <f t="shared" si="29"/>
        <v>0</v>
      </c>
      <c r="AG98" s="303"/>
      <c r="AH98" s="303"/>
      <c r="AI98" s="275"/>
      <c r="AJ98" s="275"/>
      <c r="AK98" s="305"/>
      <c r="AL98" s="306"/>
    </row>
    <row r="99" s="254" customFormat="1" ht="18" customHeight="1" spans="1:38">
      <c r="A99" s="270">
        <v>32</v>
      </c>
      <c r="B99" s="271" t="s">
        <v>273</v>
      </c>
      <c r="C99" s="271" t="s">
        <v>274</v>
      </c>
      <c r="D99" s="272">
        <f t="shared" si="20"/>
        <v>0</v>
      </c>
      <c r="E99" s="273"/>
      <c r="F99" s="274">
        <v>0</v>
      </c>
      <c r="G99" s="275">
        <f t="shared" si="21"/>
        <v>0</v>
      </c>
      <c r="H99" s="276"/>
      <c r="I99" s="287"/>
      <c r="J99" s="288">
        <f t="shared" si="22"/>
        <v>0</v>
      </c>
      <c r="K99" s="276"/>
      <c r="L99" s="287"/>
      <c r="M99" s="288">
        <f t="shared" si="23"/>
        <v>0</v>
      </c>
      <c r="N99" s="276"/>
      <c r="O99" s="289">
        <f t="shared" si="34"/>
        <v>0</v>
      </c>
      <c r="P99" s="287"/>
      <c r="Q99" s="275">
        <f t="shared" si="24"/>
        <v>0</v>
      </c>
      <c r="R99" s="276"/>
      <c r="S99" s="296">
        <v>0</v>
      </c>
      <c r="T99" s="275">
        <f t="shared" si="25"/>
        <v>0</v>
      </c>
      <c r="U99" s="276"/>
      <c r="V99" s="296">
        <v>0</v>
      </c>
      <c r="W99" s="275">
        <f t="shared" si="26"/>
        <v>0</v>
      </c>
      <c r="X99" s="276"/>
      <c r="Y99" s="296">
        <v>0</v>
      </c>
      <c r="Z99" s="275">
        <f t="shared" si="27"/>
        <v>0</v>
      </c>
      <c r="AA99" s="276"/>
      <c r="AB99" s="296">
        <v>0</v>
      </c>
      <c r="AC99" s="275">
        <f t="shared" si="28"/>
        <v>0</v>
      </c>
      <c r="AD99" s="275"/>
      <c r="AE99" s="275"/>
      <c r="AF99" s="275">
        <f t="shared" si="29"/>
        <v>0</v>
      </c>
      <c r="AG99" s="303" t="s">
        <v>275</v>
      </c>
      <c r="AH99" s="303"/>
      <c r="AI99" s="275"/>
      <c r="AJ99" s="275"/>
      <c r="AK99" s="305"/>
      <c r="AL99" s="306"/>
    </row>
    <row r="100" s="254" customFormat="1" ht="18" customHeight="1" spans="1:38">
      <c r="A100" s="270">
        <v>37</v>
      </c>
      <c r="B100" s="271" t="s">
        <v>82</v>
      </c>
      <c r="C100" s="271" t="s">
        <v>83</v>
      </c>
      <c r="D100" s="272">
        <f t="shared" si="20"/>
        <v>0</v>
      </c>
      <c r="E100" s="273"/>
      <c r="F100" s="297">
        <v>0</v>
      </c>
      <c r="G100" s="275">
        <f t="shared" si="21"/>
        <v>0</v>
      </c>
      <c r="H100" s="276"/>
      <c r="I100" s="287"/>
      <c r="J100" s="288"/>
      <c r="K100" s="276"/>
      <c r="L100" s="287"/>
      <c r="M100" s="288"/>
      <c r="N100" s="276"/>
      <c r="O100" s="289">
        <f t="shared" si="34"/>
        <v>0</v>
      </c>
      <c r="P100" s="287"/>
      <c r="Q100" s="275">
        <f t="shared" si="24"/>
        <v>0</v>
      </c>
      <c r="R100" s="276"/>
      <c r="S100" s="296">
        <v>0.2</v>
      </c>
      <c r="T100" s="275">
        <f t="shared" si="25"/>
        <v>0</v>
      </c>
      <c r="U100" s="276"/>
      <c r="V100" s="296">
        <v>0.2</v>
      </c>
      <c r="W100" s="275">
        <f t="shared" si="26"/>
        <v>0</v>
      </c>
      <c r="X100" s="276"/>
      <c r="Y100" s="296">
        <v>0.2</v>
      </c>
      <c r="Z100" s="275">
        <f t="shared" si="27"/>
        <v>0</v>
      </c>
      <c r="AA100" s="276"/>
      <c r="AB100" s="296">
        <v>0.2</v>
      </c>
      <c r="AC100" s="275">
        <f t="shared" si="28"/>
        <v>0</v>
      </c>
      <c r="AD100" s="275"/>
      <c r="AE100" s="275"/>
      <c r="AF100" s="275">
        <f t="shared" si="29"/>
        <v>0</v>
      </c>
      <c r="AG100" s="303" t="s">
        <v>84</v>
      </c>
      <c r="AH100" s="303"/>
      <c r="AI100" s="275"/>
      <c r="AJ100" s="275"/>
      <c r="AK100" s="305"/>
      <c r="AL100" s="306"/>
    </row>
    <row r="101" s="254" customFormat="1" ht="18" customHeight="1" spans="1:38">
      <c r="A101" s="270">
        <v>24</v>
      </c>
      <c r="B101" s="271" t="s">
        <v>276</v>
      </c>
      <c r="C101" s="271" t="s">
        <v>277</v>
      </c>
      <c r="D101" s="272">
        <f t="shared" si="20"/>
        <v>0</v>
      </c>
      <c r="E101" s="273"/>
      <c r="F101" s="297">
        <v>0.2</v>
      </c>
      <c r="G101" s="275">
        <f t="shared" si="21"/>
        <v>0</v>
      </c>
      <c r="H101" s="276"/>
      <c r="I101" s="287"/>
      <c r="J101" s="288">
        <f t="shared" ref="J101:J124" si="35">ROUND(H101*I101,)</f>
        <v>0</v>
      </c>
      <c r="K101" s="276"/>
      <c r="L101" s="287"/>
      <c r="M101" s="288">
        <f t="shared" ref="M101:M124" si="36">ROUND(K101*L101,)</f>
        <v>0</v>
      </c>
      <c r="N101" s="276"/>
      <c r="O101" s="289">
        <f t="shared" si="34"/>
        <v>0</v>
      </c>
      <c r="P101" s="287"/>
      <c r="Q101" s="275">
        <f t="shared" si="24"/>
        <v>0</v>
      </c>
      <c r="R101" s="276"/>
      <c r="S101" s="296">
        <v>0.2</v>
      </c>
      <c r="T101" s="275">
        <f t="shared" si="25"/>
        <v>0</v>
      </c>
      <c r="U101" s="276"/>
      <c r="V101" s="296">
        <v>0.2</v>
      </c>
      <c r="W101" s="275">
        <f t="shared" si="26"/>
        <v>0</v>
      </c>
      <c r="X101" s="276"/>
      <c r="Y101" s="296">
        <v>0.2</v>
      </c>
      <c r="Z101" s="275">
        <f t="shared" si="27"/>
        <v>0</v>
      </c>
      <c r="AA101" s="276"/>
      <c r="AB101" s="296">
        <v>0.2</v>
      </c>
      <c r="AC101" s="275">
        <f t="shared" si="28"/>
        <v>0</v>
      </c>
      <c r="AD101" s="275"/>
      <c r="AE101" s="275"/>
      <c r="AF101" s="275">
        <f t="shared" si="29"/>
        <v>0</v>
      </c>
      <c r="AG101" s="376" t="s">
        <v>278</v>
      </c>
      <c r="AH101" s="303"/>
      <c r="AI101" s="275"/>
      <c r="AJ101" s="275"/>
      <c r="AK101" s="305"/>
      <c r="AL101" s="306"/>
    </row>
    <row r="102" s="254" customFormat="1" ht="18" customHeight="1" spans="1:38">
      <c r="A102" s="270">
        <v>42</v>
      </c>
      <c r="B102" s="271"/>
      <c r="C102" s="271" t="s">
        <v>279</v>
      </c>
      <c r="D102" s="272">
        <f t="shared" si="20"/>
        <v>0</v>
      </c>
      <c r="E102" s="273"/>
      <c r="F102" s="274">
        <v>0.2</v>
      </c>
      <c r="G102" s="275">
        <f t="shared" si="21"/>
        <v>0</v>
      </c>
      <c r="H102" s="276"/>
      <c r="I102" s="287"/>
      <c r="J102" s="288">
        <f t="shared" si="35"/>
        <v>0</v>
      </c>
      <c r="K102" s="276"/>
      <c r="L102" s="287"/>
      <c r="M102" s="288">
        <f t="shared" si="36"/>
        <v>0</v>
      </c>
      <c r="N102" s="276"/>
      <c r="O102" s="289">
        <f t="shared" si="34"/>
        <v>0</v>
      </c>
      <c r="P102" s="287"/>
      <c r="Q102" s="275">
        <f t="shared" si="24"/>
        <v>0</v>
      </c>
      <c r="R102" s="276"/>
      <c r="S102" s="296">
        <v>0</v>
      </c>
      <c r="T102" s="275">
        <f t="shared" si="25"/>
        <v>0</v>
      </c>
      <c r="U102" s="276"/>
      <c r="V102" s="296">
        <v>0</v>
      </c>
      <c r="W102" s="275">
        <f t="shared" si="26"/>
        <v>0</v>
      </c>
      <c r="X102" s="276"/>
      <c r="Y102" s="296">
        <v>0</v>
      </c>
      <c r="Z102" s="275">
        <f t="shared" si="27"/>
        <v>0</v>
      </c>
      <c r="AA102" s="276"/>
      <c r="AB102" s="296">
        <v>0</v>
      </c>
      <c r="AC102" s="275">
        <f t="shared" si="28"/>
        <v>0</v>
      </c>
      <c r="AD102" s="275"/>
      <c r="AE102" s="275"/>
      <c r="AF102" s="275">
        <f t="shared" si="29"/>
        <v>0</v>
      </c>
      <c r="AG102" s="303"/>
      <c r="AH102" s="303"/>
      <c r="AI102" s="275"/>
      <c r="AJ102" s="275"/>
      <c r="AK102" s="305"/>
      <c r="AL102" s="306"/>
    </row>
    <row r="103" s="254" customFormat="1" ht="18" customHeight="1" spans="1:38">
      <c r="A103" s="270">
        <v>3</v>
      </c>
      <c r="B103" s="271"/>
      <c r="C103" s="271" t="s">
        <v>280</v>
      </c>
      <c r="D103" s="272">
        <f t="shared" si="20"/>
        <v>0</v>
      </c>
      <c r="E103" s="273"/>
      <c r="F103" s="274">
        <v>0.2</v>
      </c>
      <c r="G103" s="275">
        <f t="shared" si="21"/>
        <v>0</v>
      </c>
      <c r="H103" s="276"/>
      <c r="I103" s="287"/>
      <c r="J103" s="288">
        <f t="shared" si="35"/>
        <v>0</v>
      </c>
      <c r="K103" s="276"/>
      <c r="L103" s="287"/>
      <c r="M103" s="288">
        <f t="shared" si="36"/>
        <v>0</v>
      </c>
      <c r="N103" s="276"/>
      <c r="O103" s="289">
        <f t="shared" si="34"/>
        <v>0</v>
      </c>
      <c r="P103" s="287"/>
      <c r="Q103" s="275">
        <f t="shared" si="24"/>
        <v>0</v>
      </c>
      <c r="R103" s="276"/>
      <c r="S103" s="296">
        <v>0</v>
      </c>
      <c r="T103" s="275">
        <f t="shared" si="25"/>
        <v>0</v>
      </c>
      <c r="U103" s="276"/>
      <c r="V103" s="296">
        <v>0</v>
      </c>
      <c r="W103" s="275">
        <f t="shared" si="26"/>
        <v>0</v>
      </c>
      <c r="X103" s="276"/>
      <c r="Y103" s="296">
        <v>0</v>
      </c>
      <c r="Z103" s="275">
        <f t="shared" si="27"/>
        <v>0</v>
      </c>
      <c r="AA103" s="276"/>
      <c r="AB103" s="296">
        <v>0</v>
      </c>
      <c r="AC103" s="275">
        <f t="shared" si="28"/>
        <v>0</v>
      </c>
      <c r="AD103" s="275"/>
      <c r="AE103" s="275"/>
      <c r="AF103" s="275">
        <f t="shared" si="29"/>
        <v>0</v>
      </c>
      <c r="AG103" s="303"/>
      <c r="AH103" s="303"/>
      <c r="AI103" s="275"/>
      <c r="AJ103" s="275"/>
      <c r="AK103" s="305"/>
      <c r="AL103" s="306"/>
    </row>
    <row r="104" s="254" customFormat="1" ht="18" customHeight="1" spans="1:38">
      <c r="A104" s="270">
        <v>26</v>
      </c>
      <c r="B104" s="271" t="s">
        <v>281</v>
      </c>
      <c r="C104" s="271" t="s">
        <v>282</v>
      </c>
      <c r="D104" s="272">
        <f t="shared" si="20"/>
        <v>0</v>
      </c>
      <c r="E104" s="273"/>
      <c r="F104" s="274">
        <v>0.2</v>
      </c>
      <c r="G104" s="275">
        <f t="shared" si="21"/>
        <v>0</v>
      </c>
      <c r="H104" s="276"/>
      <c r="I104" s="287"/>
      <c r="J104" s="288">
        <f t="shared" si="35"/>
        <v>0</v>
      </c>
      <c r="K104" s="276"/>
      <c r="L104" s="287"/>
      <c r="M104" s="288">
        <f t="shared" si="36"/>
        <v>0</v>
      </c>
      <c r="N104" s="276"/>
      <c r="O104" s="289">
        <f t="shared" si="34"/>
        <v>0</v>
      </c>
      <c r="P104" s="287"/>
      <c r="Q104" s="275">
        <f t="shared" si="24"/>
        <v>0</v>
      </c>
      <c r="R104" s="276"/>
      <c r="S104" s="296">
        <v>0.2</v>
      </c>
      <c r="T104" s="275">
        <f t="shared" si="25"/>
        <v>0</v>
      </c>
      <c r="U104" s="276"/>
      <c r="V104" s="296">
        <v>0.2</v>
      </c>
      <c r="W104" s="275">
        <f t="shared" si="26"/>
        <v>0</v>
      </c>
      <c r="X104" s="276"/>
      <c r="Y104" s="296">
        <v>0.2</v>
      </c>
      <c r="Z104" s="275">
        <f t="shared" si="27"/>
        <v>0</v>
      </c>
      <c r="AA104" s="276"/>
      <c r="AB104" s="296">
        <v>0.2</v>
      </c>
      <c r="AC104" s="275">
        <f t="shared" si="28"/>
        <v>0</v>
      </c>
      <c r="AD104" s="275"/>
      <c r="AE104" s="275"/>
      <c r="AF104" s="275">
        <f t="shared" si="29"/>
        <v>0</v>
      </c>
      <c r="AG104" s="303" t="s">
        <v>283</v>
      </c>
      <c r="AH104" s="303"/>
      <c r="AI104" s="275"/>
      <c r="AJ104" s="275"/>
      <c r="AK104" s="305"/>
      <c r="AL104" s="306"/>
    </row>
    <row r="105" s="254" customFormat="1" ht="18" customHeight="1" spans="1:38">
      <c r="A105" s="270">
        <v>27</v>
      </c>
      <c r="B105" s="271" t="s">
        <v>284</v>
      </c>
      <c r="C105" s="271" t="s">
        <v>285</v>
      </c>
      <c r="D105" s="272">
        <f t="shared" si="20"/>
        <v>0</v>
      </c>
      <c r="E105" s="273"/>
      <c r="F105" s="274">
        <v>0.2</v>
      </c>
      <c r="G105" s="275">
        <f t="shared" si="21"/>
        <v>0</v>
      </c>
      <c r="H105" s="276"/>
      <c r="I105" s="287"/>
      <c r="J105" s="288">
        <f t="shared" si="35"/>
        <v>0</v>
      </c>
      <c r="K105" s="276"/>
      <c r="L105" s="287"/>
      <c r="M105" s="288">
        <f t="shared" si="36"/>
        <v>0</v>
      </c>
      <c r="N105" s="276"/>
      <c r="O105" s="289">
        <f t="shared" si="34"/>
        <v>0</v>
      </c>
      <c r="P105" s="287"/>
      <c r="Q105" s="275">
        <f t="shared" si="24"/>
        <v>0</v>
      </c>
      <c r="R105" s="276"/>
      <c r="S105" s="296">
        <v>0.2</v>
      </c>
      <c r="T105" s="275">
        <f t="shared" si="25"/>
        <v>0</v>
      </c>
      <c r="U105" s="276"/>
      <c r="V105" s="296">
        <v>0.2</v>
      </c>
      <c r="W105" s="275">
        <f t="shared" si="26"/>
        <v>0</v>
      </c>
      <c r="X105" s="276"/>
      <c r="Y105" s="296">
        <v>0.2</v>
      </c>
      <c r="Z105" s="275">
        <f t="shared" si="27"/>
        <v>0</v>
      </c>
      <c r="AA105" s="276"/>
      <c r="AB105" s="296">
        <v>0.2</v>
      </c>
      <c r="AC105" s="275">
        <f t="shared" si="28"/>
        <v>0</v>
      </c>
      <c r="AD105" s="275"/>
      <c r="AE105" s="275"/>
      <c r="AF105" s="275">
        <f t="shared" si="29"/>
        <v>0</v>
      </c>
      <c r="AG105" s="303" t="s">
        <v>286</v>
      </c>
      <c r="AH105" s="303"/>
      <c r="AI105" s="275"/>
      <c r="AJ105" s="275"/>
      <c r="AK105" s="305"/>
      <c r="AL105" s="306"/>
    </row>
    <row r="106" s="254" customFormat="1" ht="18" customHeight="1" spans="1:38">
      <c r="A106" s="270">
        <v>34</v>
      </c>
      <c r="B106" s="271" t="s">
        <v>189</v>
      </c>
      <c r="C106" s="271" t="s">
        <v>287</v>
      </c>
      <c r="D106" s="272">
        <f t="shared" si="20"/>
        <v>0</v>
      </c>
      <c r="E106" s="273"/>
      <c r="F106" s="274">
        <v>0.2</v>
      </c>
      <c r="G106" s="275">
        <f t="shared" si="21"/>
        <v>0</v>
      </c>
      <c r="H106" s="276"/>
      <c r="I106" s="287"/>
      <c r="J106" s="288">
        <f t="shared" si="35"/>
        <v>0</v>
      </c>
      <c r="K106" s="276"/>
      <c r="L106" s="287"/>
      <c r="M106" s="288">
        <f t="shared" si="36"/>
        <v>0</v>
      </c>
      <c r="N106" s="276"/>
      <c r="O106" s="289">
        <f t="shared" si="34"/>
        <v>0</v>
      </c>
      <c r="P106" s="287"/>
      <c r="Q106" s="275">
        <f t="shared" si="24"/>
        <v>0</v>
      </c>
      <c r="R106" s="276"/>
      <c r="S106" s="296">
        <v>0.2</v>
      </c>
      <c r="T106" s="275">
        <f t="shared" si="25"/>
        <v>0</v>
      </c>
      <c r="U106" s="276"/>
      <c r="V106" s="296">
        <v>0.2</v>
      </c>
      <c r="W106" s="275">
        <f t="shared" si="26"/>
        <v>0</v>
      </c>
      <c r="X106" s="276"/>
      <c r="Y106" s="296">
        <v>0.2</v>
      </c>
      <c r="Z106" s="275">
        <f t="shared" si="27"/>
        <v>0</v>
      </c>
      <c r="AA106" s="276"/>
      <c r="AB106" s="296">
        <v>0.2</v>
      </c>
      <c r="AC106" s="275">
        <f t="shared" si="28"/>
        <v>0</v>
      </c>
      <c r="AD106" s="275"/>
      <c r="AE106" s="275"/>
      <c r="AF106" s="275">
        <f t="shared" si="29"/>
        <v>0</v>
      </c>
      <c r="AG106" s="303" t="s">
        <v>288</v>
      </c>
      <c r="AH106" s="303"/>
      <c r="AI106" s="275"/>
      <c r="AJ106" s="275"/>
      <c r="AK106" s="305"/>
      <c r="AL106" s="306"/>
    </row>
    <row r="107" s="254" customFormat="1" ht="18" customHeight="1" spans="1:38">
      <c r="A107" s="270">
        <v>35</v>
      </c>
      <c r="B107" s="271" t="s">
        <v>289</v>
      </c>
      <c r="C107" s="271" t="s">
        <v>290</v>
      </c>
      <c r="D107" s="272">
        <f t="shared" si="20"/>
        <v>0</v>
      </c>
      <c r="E107" s="273"/>
      <c r="F107" s="274">
        <v>0.2</v>
      </c>
      <c r="G107" s="275">
        <f t="shared" si="21"/>
        <v>0</v>
      </c>
      <c r="H107" s="276"/>
      <c r="I107" s="287"/>
      <c r="J107" s="288">
        <f t="shared" si="35"/>
        <v>0</v>
      </c>
      <c r="K107" s="276"/>
      <c r="L107" s="287"/>
      <c r="M107" s="288">
        <f t="shared" si="36"/>
        <v>0</v>
      </c>
      <c r="N107" s="276"/>
      <c r="O107" s="289">
        <f t="shared" si="34"/>
        <v>0</v>
      </c>
      <c r="P107" s="287"/>
      <c r="Q107" s="275">
        <f t="shared" si="24"/>
        <v>0</v>
      </c>
      <c r="R107" s="276"/>
      <c r="S107" s="296">
        <v>0.2</v>
      </c>
      <c r="T107" s="275">
        <f t="shared" si="25"/>
        <v>0</v>
      </c>
      <c r="U107" s="276"/>
      <c r="V107" s="296">
        <v>0.2</v>
      </c>
      <c r="W107" s="275">
        <f t="shared" si="26"/>
        <v>0</v>
      </c>
      <c r="X107" s="276"/>
      <c r="Y107" s="296">
        <v>0.2</v>
      </c>
      <c r="Z107" s="275">
        <f t="shared" si="27"/>
        <v>0</v>
      </c>
      <c r="AA107" s="276"/>
      <c r="AB107" s="296">
        <v>0.2</v>
      </c>
      <c r="AC107" s="275">
        <f t="shared" si="28"/>
        <v>0</v>
      </c>
      <c r="AD107" s="275"/>
      <c r="AE107" s="275"/>
      <c r="AF107" s="275">
        <f t="shared" si="29"/>
        <v>0</v>
      </c>
      <c r="AG107" s="303" t="s">
        <v>291</v>
      </c>
      <c r="AH107" s="303"/>
      <c r="AI107" s="275"/>
      <c r="AJ107" s="275"/>
      <c r="AK107" s="305"/>
      <c r="AL107" s="306"/>
    </row>
    <row r="108" s="254" customFormat="1" ht="18" customHeight="1" spans="1:38">
      <c r="A108" s="270">
        <v>36</v>
      </c>
      <c r="B108" s="271" t="s">
        <v>292</v>
      </c>
      <c r="C108" s="271" t="s">
        <v>293</v>
      </c>
      <c r="D108" s="272">
        <f t="shared" si="20"/>
        <v>0</v>
      </c>
      <c r="E108" s="273"/>
      <c r="F108" s="274">
        <v>0.2</v>
      </c>
      <c r="G108" s="275">
        <f t="shared" si="21"/>
        <v>0</v>
      </c>
      <c r="H108" s="276"/>
      <c r="I108" s="287"/>
      <c r="J108" s="288">
        <f t="shared" si="35"/>
        <v>0</v>
      </c>
      <c r="K108" s="276"/>
      <c r="L108" s="287"/>
      <c r="M108" s="288">
        <f t="shared" si="36"/>
        <v>0</v>
      </c>
      <c r="N108" s="276"/>
      <c r="O108" s="289">
        <f t="shared" si="34"/>
        <v>0</v>
      </c>
      <c r="P108" s="287"/>
      <c r="Q108" s="275">
        <f t="shared" si="24"/>
        <v>0</v>
      </c>
      <c r="R108" s="276"/>
      <c r="S108" s="296">
        <v>0.2</v>
      </c>
      <c r="T108" s="275">
        <f t="shared" si="25"/>
        <v>0</v>
      </c>
      <c r="U108" s="276"/>
      <c r="V108" s="296">
        <v>0.2</v>
      </c>
      <c r="W108" s="275">
        <f t="shared" si="26"/>
        <v>0</v>
      </c>
      <c r="X108" s="276"/>
      <c r="Y108" s="296">
        <v>0.2</v>
      </c>
      <c r="Z108" s="275">
        <f t="shared" si="27"/>
        <v>0</v>
      </c>
      <c r="AA108" s="276"/>
      <c r="AB108" s="296">
        <v>0.2</v>
      </c>
      <c r="AC108" s="275">
        <f t="shared" si="28"/>
        <v>0</v>
      </c>
      <c r="AD108" s="275"/>
      <c r="AE108" s="275"/>
      <c r="AF108" s="275">
        <f t="shared" si="29"/>
        <v>0</v>
      </c>
      <c r="AG108" s="303" t="s">
        <v>294</v>
      </c>
      <c r="AH108" s="303"/>
      <c r="AI108" s="275"/>
      <c r="AJ108" s="275"/>
      <c r="AK108" s="305"/>
      <c r="AL108" s="306"/>
    </row>
    <row r="109" s="254" customFormat="1" ht="18" customHeight="1" spans="1:38">
      <c r="A109" s="270">
        <v>21</v>
      </c>
      <c r="B109" s="271" t="s">
        <v>295</v>
      </c>
      <c r="C109" s="271" t="s">
        <v>296</v>
      </c>
      <c r="D109" s="272">
        <f t="shared" si="20"/>
        <v>0</v>
      </c>
      <c r="E109" s="273"/>
      <c r="F109" s="297">
        <v>0.2</v>
      </c>
      <c r="G109" s="275">
        <f t="shared" si="21"/>
        <v>0</v>
      </c>
      <c r="H109" s="276"/>
      <c r="I109" s="287"/>
      <c r="J109" s="288">
        <f t="shared" si="35"/>
        <v>0</v>
      </c>
      <c r="K109" s="276"/>
      <c r="L109" s="287"/>
      <c r="M109" s="288">
        <f t="shared" si="36"/>
        <v>0</v>
      </c>
      <c r="N109" s="276"/>
      <c r="O109" s="289">
        <f t="shared" si="34"/>
        <v>0</v>
      </c>
      <c r="P109" s="287"/>
      <c r="Q109" s="275">
        <f t="shared" si="24"/>
        <v>0</v>
      </c>
      <c r="R109" s="276"/>
      <c r="S109" s="296">
        <v>0.2</v>
      </c>
      <c r="T109" s="275">
        <f t="shared" si="25"/>
        <v>0</v>
      </c>
      <c r="U109" s="276"/>
      <c r="V109" s="296">
        <v>0.2</v>
      </c>
      <c r="W109" s="275">
        <f t="shared" si="26"/>
        <v>0</v>
      </c>
      <c r="X109" s="276"/>
      <c r="Y109" s="296">
        <v>0.2</v>
      </c>
      <c r="Z109" s="275">
        <f t="shared" si="27"/>
        <v>0</v>
      </c>
      <c r="AA109" s="276"/>
      <c r="AB109" s="296">
        <v>0.2</v>
      </c>
      <c r="AC109" s="275">
        <f t="shared" si="28"/>
        <v>0</v>
      </c>
      <c r="AD109" s="275"/>
      <c r="AE109" s="275"/>
      <c r="AF109" s="275">
        <f t="shared" si="29"/>
        <v>0</v>
      </c>
      <c r="AG109" s="303" t="s">
        <v>297</v>
      </c>
      <c r="AH109" s="303"/>
      <c r="AI109" s="275"/>
      <c r="AJ109" s="275"/>
      <c r="AK109" s="305"/>
      <c r="AL109" s="306"/>
    </row>
    <row r="110" s="254" customFormat="1" ht="18" customHeight="1" spans="1:38">
      <c r="A110" s="270">
        <v>33</v>
      </c>
      <c r="B110" s="271" t="s">
        <v>298</v>
      </c>
      <c r="C110" s="271" t="s">
        <v>298</v>
      </c>
      <c r="D110" s="272">
        <f t="shared" si="20"/>
        <v>0</v>
      </c>
      <c r="E110" s="273"/>
      <c r="F110" s="297">
        <v>0.2</v>
      </c>
      <c r="G110" s="275">
        <f t="shared" si="21"/>
        <v>0</v>
      </c>
      <c r="H110" s="276"/>
      <c r="I110" s="287"/>
      <c r="J110" s="288">
        <f t="shared" si="35"/>
        <v>0</v>
      </c>
      <c r="K110" s="276"/>
      <c r="L110" s="287"/>
      <c r="M110" s="288">
        <f t="shared" si="36"/>
        <v>0</v>
      </c>
      <c r="N110" s="276"/>
      <c r="O110" s="289">
        <f t="shared" si="34"/>
        <v>0</v>
      </c>
      <c r="P110" s="287"/>
      <c r="Q110" s="275">
        <f t="shared" si="24"/>
        <v>0</v>
      </c>
      <c r="R110" s="276"/>
      <c r="S110" s="296">
        <v>0.15</v>
      </c>
      <c r="T110" s="275">
        <f t="shared" si="25"/>
        <v>0</v>
      </c>
      <c r="U110" s="276"/>
      <c r="V110" s="296">
        <v>0.15</v>
      </c>
      <c r="W110" s="275">
        <f t="shared" si="26"/>
        <v>0</v>
      </c>
      <c r="X110" s="276"/>
      <c r="Y110" s="296">
        <v>0.15</v>
      </c>
      <c r="Z110" s="275">
        <f t="shared" si="27"/>
        <v>0</v>
      </c>
      <c r="AA110" s="276"/>
      <c r="AB110" s="296">
        <v>0.15</v>
      </c>
      <c r="AC110" s="275">
        <f t="shared" si="28"/>
        <v>0</v>
      </c>
      <c r="AD110" s="275"/>
      <c r="AE110" s="275"/>
      <c r="AF110" s="275">
        <f t="shared" si="29"/>
        <v>0</v>
      </c>
      <c r="AG110" s="303" t="s">
        <v>299</v>
      </c>
      <c r="AH110" s="303"/>
      <c r="AI110" s="275"/>
      <c r="AJ110" s="275"/>
      <c r="AK110" s="305"/>
      <c r="AL110" s="306"/>
    </row>
    <row r="111" s="254" customFormat="1" ht="18" customHeight="1" spans="1:38">
      <c r="A111" s="270">
        <v>35</v>
      </c>
      <c r="B111" s="271" t="s">
        <v>300</v>
      </c>
      <c r="C111" s="271" t="s">
        <v>301</v>
      </c>
      <c r="D111" s="272">
        <f t="shared" si="20"/>
        <v>0</v>
      </c>
      <c r="E111" s="273"/>
      <c r="F111" s="297">
        <v>0</v>
      </c>
      <c r="G111" s="275">
        <f t="shared" si="21"/>
        <v>0</v>
      </c>
      <c r="H111" s="276"/>
      <c r="I111" s="287"/>
      <c r="J111" s="288">
        <f t="shared" si="35"/>
        <v>0</v>
      </c>
      <c r="K111" s="276"/>
      <c r="L111" s="287"/>
      <c r="M111" s="288">
        <f t="shared" si="36"/>
        <v>0</v>
      </c>
      <c r="N111" s="276"/>
      <c r="O111" s="289">
        <f t="shared" si="34"/>
        <v>0</v>
      </c>
      <c r="P111" s="287"/>
      <c r="Q111" s="275">
        <f t="shared" si="24"/>
        <v>0</v>
      </c>
      <c r="R111" s="276"/>
      <c r="S111" s="296">
        <v>0.2</v>
      </c>
      <c r="T111" s="275">
        <f t="shared" si="25"/>
        <v>0</v>
      </c>
      <c r="U111" s="276"/>
      <c r="V111" s="296">
        <v>0.2</v>
      </c>
      <c r="W111" s="275">
        <f t="shared" si="26"/>
        <v>0</v>
      </c>
      <c r="X111" s="276"/>
      <c r="Y111" s="296">
        <v>0.2</v>
      </c>
      <c r="Z111" s="275">
        <f t="shared" si="27"/>
        <v>0</v>
      </c>
      <c r="AA111" s="276"/>
      <c r="AB111" s="296">
        <v>0.2</v>
      </c>
      <c r="AC111" s="275">
        <f t="shared" si="28"/>
        <v>0</v>
      </c>
      <c r="AD111" s="275"/>
      <c r="AE111" s="275"/>
      <c r="AF111" s="275">
        <f t="shared" si="29"/>
        <v>0</v>
      </c>
      <c r="AG111" s="303" t="s">
        <v>302</v>
      </c>
      <c r="AH111" s="303"/>
      <c r="AI111" s="275"/>
      <c r="AJ111" s="275"/>
      <c r="AK111" s="305"/>
      <c r="AL111" s="306"/>
    </row>
    <row r="112" s="254" customFormat="1" ht="18" customHeight="1" spans="1:38">
      <c r="A112" s="270">
        <v>40</v>
      </c>
      <c r="B112" s="271" t="s">
        <v>227</v>
      </c>
      <c r="C112" s="271" t="s">
        <v>303</v>
      </c>
      <c r="D112" s="272">
        <f t="shared" si="20"/>
        <v>0</v>
      </c>
      <c r="E112" s="273"/>
      <c r="F112" s="297">
        <v>0</v>
      </c>
      <c r="G112" s="275">
        <f t="shared" si="21"/>
        <v>0</v>
      </c>
      <c r="H112" s="276"/>
      <c r="I112" s="287"/>
      <c r="J112" s="288">
        <f t="shared" si="35"/>
        <v>0</v>
      </c>
      <c r="K112" s="276"/>
      <c r="L112" s="287"/>
      <c r="M112" s="288">
        <f t="shared" si="36"/>
        <v>0</v>
      </c>
      <c r="N112" s="276"/>
      <c r="O112" s="289">
        <f t="shared" si="34"/>
        <v>0</v>
      </c>
      <c r="P112" s="287"/>
      <c r="Q112" s="275">
        <f t="shared" si="24"/>
        <v>0</v>
      </c>
      <c r="R112" s="276"/>
      <c r="S112" s="296">
        <v>0.2</v>
      </c>
      <c r="T112" s="275">
        <f t="shared" si="25"/>
        <v>0</v>
      </c>
      <c r="U112" s="276"/>
      <c r="V112" s="296">
        <v>0.2</v>
      </c>
      <c r="W112" s="275">
        <f t="shared" si="26"/>
        <v>0</v>
      </c>
      <c r="X112" s="276"/>
      <c r="Y112" s="296">
        <v>0.2</v>
      </c>
      <c r="Z112" s="275">
        <f t="shared" si="27"/>
        <v>0</v>
      </c>
      <c r="AA112" s="276"/>
      <c r="AB112" s="296">
        <v>0.2</v>
      </c>
      <c r="AC112" s="275">
        <f t="shared" si="28"/>
        <v>0</v>
      </c>
      <c r="AD112" s="275"/>
      <c r="AE112" s="275"/>
      <c r="AF112" s="275">
        <f t="shared" si="29"/>
        <v>0</v>
      </c>
      <c r="AG112" s="303" t="s">
        <v>228</v>
      </c>
      <c r="AH112" s="303"/>
      <c r="AI112" s="275"/>
      <c r="AJ112" s="275"/>
      <c r="AK112" s="305"/>
      <c r="AL112" s="306"/>
    </row>
    <row r="113" s="254" customFormat="1" ht="18" customHeight="1" spans="1:38">
      <c r="A113" s="270">
        <v>42</v>
      </c>
      <c r="B113" s="271" t="s">
        <v>304</v>
      </c>
      <c r="C113" s="271" t="s">
        <v>305</v>
      </c>
      <c r="D113" s="272">
        <f t="shared" si="20"/>
        <v>0</v>
      </c>
      <c r="E113" s="273"/>
      <c r="F113" s="297">
        <v>0.2</v>
      </c>
      <c r="G113" s="275">
        <f t="shared" si="21"/>
        <v>0</v>
      </c>
      <c r="H113" s="276"/>
      <c r="I113" s="287"/>
      <c r="J113" s="288">
        <f t="shared" si="35"/>
        <v>0</v>
      </c>
      <c r="K113" s="276"/>
      <c r="L113" s="287"/>
      <c r="M113" s="288">
        <f t="shared" si="36"/>
        <v>0</v>
      </c>
      <c r="N113" s="276"/>
      <c r="O113" s="289">
        <f t="shared" si="34"/>
        <v>0</v>
      </c>
      <c r="P113" s="287"/>
      <c r="Q113" s="275">
        <f t="shared" si="24"/>
        <v>0</v>
      </c>
      <c r="R113" s="276"/>
      <c r="S113" s="296">
        <v>0.2</v>
      </c>
      <c r="T113" s="275">
        <f t="shared" si="25"/>
        <v>0</v>
      </c>
      <c r="U113" s="276"/>
      <c r="V113" s="296">
        <v>0.2</v>
      </c>
      <c r="W113" s="275">
        <f t="shared" si="26"/>
        <v>0</v>
      </c>
      <c r="X113" s="276"/>
      <c r="Y113" s="296">
        <v>0.2</v>
      </c>
      <c r="Z113" s="275">
        <f t="shared" si="27"/>
        <v>0</v>
      </c>
      <c r="AA113" s="276"/>
      <c r="AB113" s="296">
        <v>0.2</v>
      </c>
      <c r="AC113" s="275">
        <f t="shared" si="28"/>
        <v>0</v>
      </c>
      <c r="AD113" s="275"/>
      <c r="AE113" s="275"/>
      <c r="AF113" s="275">
        <f t="shared" si="29"/>
        <v>0</v>
      </c>
      <c r="AG113" s="303" t="s">
        <v>306</v>
      </c>
      <c r="AH113" s="303"/>
      <c r="AI113" s="275"/>
      <c r="AJ113" s="275"/>
      <c r="AK113" s="305"/>
      <c r="AL113" s="306"/>
    </row>
    <row r="114" s="254" customFormat="1" ht="18" customHeight="1" spans="1:38">
      <c r="A114" s="270">
        <v>20</v>
      </c>
      <c r="B114" s="271" t="s">
        <v>307</v>
      </c>
      <c r="C114" s="271" t="s">
        <v>308</v>
      </c>
      <c r="D114" s="272">
        <f t="shared" si="20"/>
        <v>0</v>
      </c>
      <c r="E114" s="273"/>
      <c r="F114" s="297">
        <v>0.15</v>
      </c>
      <c r="G114" s="275">
        <f t="shared" si="21"/>
        <v>0</v>
      </c>
      <c r="H114" s="276"/>
      <c r="I114" s="287"/>
      <c r="J114" s="288">
        <f t="shared" si="35"/>
        <v>0</v>
      </c>
      <c r="K114" s="276"/>
      <c r="L114" s="287"/>
      <c r="M114" s="288">
        <f t="shared" si="36"/>
        <v>0</v>
      </c>
      <c r="N114" s="276"/>
      <c r="O114" s="289">
        <f t="shared" si="34"/>
        <v>0</v>
      </c>
      <c r="P114" s="287"/>
      <c r="Q114" s="275">
        <f t="shared" si="24"/>
        <v>0</v>
      </c>
      <c r="R114" s="276"/>
      <c r="S114" s="296">
        <v>0.2</v>
      </c>
      <c r="T114" s="275">
        <f t="shared" si="25"/>
        <v>0</v>
      </c>
      <c r="U114" s="276"/>
      <c r="V114" s="296">
        <v>0.2</v>
      </c>
      <c r="W114" s="275">
        <f t="shared" si="26"/>
        <v>0</v>
      </c>
      <c r="X114" s="276"/>
      <c r="Y114" s="296">
        <v>0.2</v>
      </c>
      <c r="Z114" s="275">
        <f t="shared" si="27"/>
        <v>0</v>
      </c>
      <c r="AA114" s="276"/>
      <c r="AB114" s="296">
        <v>0.2</v>
      </c>
      <c r="AC114" s="275">
        <f t="shared" si="28"/>
        <v>0</v>
      </c>
      <c r="AD114" s="275"/>
      <c r="AE114" s="275"/>
      <c r="AF114" s="275">
        <f t="shared" si="29"/>
        <v>0</v>
      </c>
      <c r="AG114" s="376" t="s">
        <v>309</v>
      </c>
      <c r="AH114" s="303"/>
      <c r="AI114" s="275"/>
      <c r="AJ114" s="275"/>
      <c r="AK114" s="305"/>
      <c r="AL114" s="306"/>
    </row>
    <row r="115" s="254" customFormat="1" ht="18" customHeight="1" spans="1:38">
      <c r="A115" s="270">
        <v>20</v>
      </c>
      <c r="B115" s="271" t="s">
        <v>310</v>
      </c>
      <c r="C115" s="271" t="s">
        <v>311</v>
      </c>
      <c r="D115" s="272">
        <f t="shared" si="20"/>
        <v>0</v>
      </c>
      <c r="E115" s="273"/>
      <c r="F115" s="297">
        <v>0.25</v>
      </c>
      <c r="G115" s="275">
        <f t="shared" si="21"/>
        <v>0</v>
      </c>
      <c r="H115" s="276"/>
      <c r="I115" s="287"/>
      <c r="J115" s="288">
        <f t="shared" si="35"/>
        <v>0</v>
      </c>
      <c r="K115" s="276"/>
      <c r="L115" s="287"/>
      <c r="M115" s="288">
        <f t="shared" si="36"/>
        <v>0</v>
      </c>
      <c r="N115" s="276"/>
      <c r="O115" s="289">
        <f t="shared" si="34"/>
        <v>0</v>
      </c>
      <c r="P115" s="287">
        <v>0.13</v>
      </c>
      <c r="Q115" s="275">
        <f t="shared" si="24"/>
        <v>0</v>
      </c>
      <c r="R115" s="276"/>
      <c r="S115" s="296">
        <v>0.15</v>
      </c>
      <c r="T115" s="275">
        <f t="shared" si="25"/>
        <v>0</v>
      </c>
      <c r="U115" s="276"/>
      <c r="V115" s="296">
        <v>0.15</v>
      </c>
      <c r="W115" s="275">
        <f t="shared" si="26"/>
        <v>0</v>
      </c>
      <c r="X115" s="276"/>
      <c r="Y115" s="296">
        <v>0.15</v>
      </c>
      <c r="Z115" s="275">
        <f t="shared" si="27"/>
        <v>0</v>
      </c>
      <c r="AA115" s="276"/>
      <c r="AB115" s="296">
        <v>0.15</v>
      </c>
      <c r="AC115" s="275">
        <f t="shared" si="28"/>
        <v>0</v>
      </c>
      <c r="AD115" s="275"/>
      <c r="AE115" s="275"/>
      <c r="AF115" s="275">
        <f t="shared" si="29"/>
        <v>0</v>
      </c>
      <c r="AG115" s="303" t="s">
        <v>312</v>
      </c>
      <c r="AH115" s="303"/>
      <c r="AI115" s="275"/>
      <c r="AJ115" s="275"/>
      <c r="AK115" s="305"/>
      <c r="AL115" s="306"/>
    </row>
    <row r="116" s="254" customFormat="1" ht="18" customHeight="1" spans="1:38">
      <c r="A116" s="270">
        <v>23</v>
      </c>
      <c r="B116" s="271"/>
      <c r="C116" s="271" t="s">
        <v>313</v>
      </c>
      <c r="D116" s="272">
        <f t="shared" si="20"/>
        <v>0</v>
      </c>
      <c r="E116" s="273"/>
      <c r="F116" s="297">
        <v>0.15</v>
      </c>
      <c r="G116" s="275">
        <f t="shared" si="21"/>
        <v>0</v>
      </c>
      <c r="H116" s="276"/>
      <c r="I116" s="287"/>
      <c r="J116" s="288">
        <f t="shared" si="35"/>
        <v>0</v>
      </c>
      <c r="K116" s="276"/>
      <c r="L116" s="287"/>
      <c r="M116" s="288">
        <f t="shared" si="36"/>
        <v>0</v>
      </c>
      <c r="N116" s="276"/>
      <c r="O116" s="289">
        <f t="shared" si="34"/>
        <v>0</v>
      </c>
      <c r="P116" s="287">
        <v>0.1</v>
      </c>
      <c r="Q116" s="275">
        <f t="shared" si="24"/>
        <v>0</v>
      </c>
      <c r="R116" s="276"/>
      <c r="S116" s="296">
        <v>0.2</v>
      </c>
      <c r="T116" s="275">
        <f t="shared" si="25"/>
        <v>0</v>
      </c>
      <c r="U116" s="276"/>
      <c r="V116" s="296">
        <v>0.2</v>
      </c>
      <c r="W116" s="275">
        <f t="shared" si="26"/>
        <v>0</v>
      </c>
      <c r="X116" s="276"/>
      <c r="Y116" s="296">
        <v>0.2</v>
      </c>
      <c r="Z116" s="275">
        <f t="shared" si="27"/>
        <v>0</v>
      </c>
      <c r="AA116" s="276"/>
      <c r="AB116" s="296">
        <v>0.2</v>
      </c>
      <c r="AC116" s="275">
        <f t="shared" si="28"/>
        <v>0</v>
      </c>
      <c r="AD116" s="275"/>
      <c r="AE116" s="275"/>
      <c r="AF116" s="275">
        <f t="shared" si="29"/>
        <v>0</v>
      </c>
      <c r="AG116" s="303"/>
      <c r="AH116" s="303"/>
      <c r="AI116" s="275"/>
      <c r="AJ116" s="275"/>
      <c r="AK116" s="305"/>
      <c r="AL116" s="306"/>
    </row>
    <row r="117" s="254" customFormat="1" ht="18" customHeight="1" spans="1:38">
      <c r="A117" s="270">
        <v>29</v>
      </c>
      <c r="B117" s="271" t="s">
        <v>314</v>
      </c>
      <c r="C117" s="271" t="s">
        <v>315</v>
      </c>
      <c r="D117" s="272">
        <f t="shared" si="20"/>
        <v>0</v>
      </c>
      <c r="E117" s="273"/>
      <c r="F117" s="297">
        <v>0.15</v>
      </c>
      <c r="G117" s="275">
        <f t="shared" si="21"/>
        <v>0</v>
      </c>
      <c r="H117" s="276"/>
      <c r="I117" s="287"/>
      <c r="J117" s="288">
        <f t="shared" si="35"/>
        <v>0</v>
      </c>
      <c r="K117" s="276"/>
      <c r="L117" s="287"/>
      <c r="M117" s="288">
        <f t="shared" si="36"/>
        <v>0</v>
      </c>
      <c r="N117" s="276"/>
      <c r="O117" s="289">
        <f t="shared" si="34"/>
        <v>0</v>
      </c>
      <c r="P117" s="287">
        <v>0.1</v>
      </c>
      <c r="Q117" s="275">
        <f t="shared" si="24"/>
        <v>0</v>
      </c>
      <c r="R117" s="276"/>
      <c r="S117" s="296">
        <v>0.2</v>
      </c>
      <c r="T117" s="275">
        <f t="shared" si="25"/>
        <v>0</v>
      </c>
      <c r="U117" s="276"/>
      <c r="V117" s="296">
        <v>0.2</v>
      </c>
      <c r="W117" s="275">
        <f t="shared" si="26"/>
        <v>0</v>
      </c>
      <c r="X117" s="276"/>
      <c r="Y117" s="296">
        <v>0.2</v>
      </c>
      <c r="Z117" s="275">
        <f t="shared" si="27"/>
        <v>0</v>
      </c>
      <c r="AA117" s="276"/>
      <c r="AB117" s="296">
        <v>0.2</v>
      </c>
      <c r="AC117" s="275">
        <f t="shared" si="28"/>
        <v>0</v>
      </c>
      <c r="AD117" s="275"/>
      <c r="AE117" s="275"/>
      <c r="AF117" s="275">
        <f t="shared" si="29"/>
        <v>0</v>
      </c>
      <c r="AG117" s="303" t="s">
        <v>316</v>
      </c>
      <c r="AH117" s="303"/>
      <c r="AI117" s="275"/>
      <c r="AJ117" s="275"/>
      <c r="AK117" s="305"/>
      <c r="AL117" s="306"/>
    </row>
    <row r="118" s="254" customFormat="1" ht="18" customHeight="1" spans="1:38">
      <c r="A118" s="270">
        <v>38</v>
      </c>
      <c r="B118" s="271" t="s">
        <v>317</v>
      </c>
      <c r="C118" s="271" t="s">
        <v>318</v>
      </c>
      <c r="D118" s="272">
        <f t="shared" si="20"/>
        <v>0</v>
      </c>
      <c r="E118" s="273"/>
      <c r="F118" s="297">
        <v>0</v>
      </c>
      <c r="G118" s="275">
        <f t="shared" si="21"/>
        <v>0</v>
      </c>
      <c r="H118" s="276"/>
      <c r="I118" s="287"/>
      <c r="J118" s="288">
        <f t="shared" si="35"/>
        <v>0</v>
      </c>
      <c r="K118" s="276"/>
      <c r="L118" s="287"/>
      <c r="M118" s="288">
        <f t="shared" si="36"/>
        <v>0</v>
      </c>
      <c r="N118" s="276"/>
      <c r="O118" s="289">
        <f t="shared" si="34"/>
        <v>0</v>
      </c>
      <c r="P118" s="287">
        <v>0.13</v>
      </c>
      <c r="Q118" s="275">
        <f t="shared" si="24"/>
        <v>0</v>
      </c>
      <c r="R118" s="276"/>
      <c r="S118" s="296">
        <v>0.2</v>
      </c>
      <c r="T118" s="275">
        <f t="shared" si="25"/>
        <v>0</v>
      </c>
      <c r="U118" s="276"/>
      <c r="V118" s="296">
        <v>0.2</v>
      </c>
      <c r="W118" s="275">
        <f t="shared" si="26"/>
        <v>0</v>
      </c>
      <c r="X118" s="276"/>
      <c r="Y118" s="296">
        <v>0.2</v>
      </c>
      <c r="Z118" s="275">
        <f t="shared" si="27"/>
        <v>0</v>
      </c>
      <c r="AA118" s="276"/>
      <c r="AB118" s="296">
        <v>0.2</v>
      </c>
      <c r="AC118" s="275">
        <f t="shared" si="28"/>
        <v>0</v>
      </c>
      <c r="AD118" s="275"/>
      <c r="AE118" s="275"/>
      <c r="AF118" s="275">
        <f t="shared" si="29"/>
        <v>0</v>
      </c>
      <c r="AG118" s="303"/>
      <c r="AH118" s="303"/>
      <c r="AI118" s="275"/>
      <c r="AJ118" s="275"/>
      <c r="AK118" s="305"/>
      <c r="AL118" s="306"/>
    </row>
    <row r="119" s="254" customFormat="1" ht="18" customHeight="1" spans="1:38">
      <c r="A119" s="270">
        <v>31</v>
      </c>
      <c r="B119" s="271" t="s">
        <v>319</v>
      </c>
      <c r="C119" s="271" t="s">
        <v>320</v>
      </c>
      <c r="D119" s="272">
        <f t="shared" si="20"/>
        <v>0</v>
      </c>
      <c r="E119" s="273"/>
      <c r="F119" s="297">
        <v>0</v>
      </c>
      <c r="G119" s="275">
        <f t="shared" si="21"/>
        <v>0</v>
      </c>
      <c r="H119" s="276"/>
      <c r="I119" s="287"/>
      <c r="J119" s="288">
        <f t="shared" si="35"/>
        <v>0</v>
      </c>
      <c r="K119" s="276"/>
      <c r="L119" s="287"/>
      <c r="M119" s="288">
        <f t="shared" si="36"/>
        <v>0</v>
      </c>
      <c r="N119" s="276"/>
      <c r="O119" s="289">
        <f t="shared" si="34"/>
        <v>0</v>
      </c>
      <c r="P119" s="287">
        <v>0.13</v>
      </c>
      <c r="Q119" s="275">
        <f t="shared" si="24"/>
        <v>0</v>
      </c>
      <c r="R119" s="276"/>
      <c r="S119" s="296">
        <v>0.2</v>
      </c>
      <c r="T119" s="275">
        <f t="shared" si="25"/>
        <v>0</v>
      </c>
      <c r="U119" s="276"/>
      <c r="V119" s="296">
        <v>0.2</v>
      </c>
      <c r="W119" s="275">
        <f t="shared" si="26"/>
        <v>0</v>
      </c>
      <c r="X119" s="276"/>
      <c r="Y119" s="296">
        <v>0.2</v>
      </c>
      <c r="Z119" s="275">
        <f t="shared" si="27"/>
        <v>0</v>
      </c>
      <c r="AA119" s="276"/>
      <c r="AB119" s="296">
        <v>0.2</v>
      </c>
      <c r="AC119" s="275">
        <f t="shared" si="28"/>
        <v>0</v>
      </c>
      <c r="AD119" s="275"/>
      <c r="AE119" s="275"/>
      <c r="AF119" s="275">
        <f t="shared" si="29"/>
        <v>0</v>
      </c>
      <c r="AG119" s="303" t="s">
        <v>321</v>
      </c>
      <c r="AH119" s="303"/>
      <c r="AI119" s="275"/>
      <c r="AJ119" s="275"/>
      <c r="AK119" s="305"/>
      <c r="AL119" s="306"/>
    </row>
    <row r="120" s="254" customFormat="1" ht="18" customHeight="1" spans="1:38">
      <c r="A120" s="270">
        <v>29</v>
      </c>
      <c r="B120" s="271" t="s">
        <v>322</v>
      </c>
      <c r="C120" s="271" t="s">
        <v>323</v>
      </c>
      <c r="D120" s="272">
        <f t="shared" si="20"/>
        <v>0</v>
      </c>
      <c r="E120" s="273"/>
      <c r="F120" s="297">
        <v>0.15</v>
      </c>
      <c r="G120" s="275">
        <f t="shared" si="21"/>
        <v>0</v>
      </c>
      <c r="H120" s="276"/>
      <c r="I120" s="287"/>
      <c r="J120" s="288">
        <f t="shared" si="35"/>
        <v>0</v>
      </c>
      <c r="K120" s="276"/>
      <c r="L120" s="287"/>
      <c r="M120" s="288">
        <f t="shared" si="36"/>
        <v>0</v>
      </c>
      <c r="N120" s="276"/>
      <c r="O120" s="289">
        <f t="shared" si="34"/>
        <v>0</v>
      </c>
      <c r="P120" s="287">
        <v>0.13</v>
      </c>
      <c r="Q120" s="275">
        <f t="shared" si="24"/>
        <v>0</v>
      </c>
      <c r="R120" s="276"/>
      <c r="S120" s="296">
        <v>0.15</v>
      </c>
      <c r="T120" s="275">
        <f t="shared" si="25"/>
        <v>0</v>
      </c>
      <c r="U120" s="276"/>
      <c r="V120" s="296">
        <v>0.15</v>
      </c>
      <c r="W120" s="275">
        <f t="shared" si="26"/>
        <v>0</v>
      </c>
      <c r="X120" s="276"/>
      <c r="Y120" s="296">
        <v>0.15</v>
      </c>
      <c r="Z120" s="275">
        <f t="shared" si="27"/>
        <v>0</v>
      </c>
      <c r="AA120" s="276"/>
      <c r="AB120" s="296">
        <v>0.15</v>
      </c>
      <c r="AC120" s="275">
        <f t="shared" si="28"/>
        <v>0</v>
      </c>
      <c r="AD120" s="275"/>
      <c r="AE120" s="275"/>
      <c r="AF120" s="275">
        <f t="shared" si="29"/>
        <v>0</v>
      </c>
      <c r="AG120" s="303" t="s">
        <v>324</v>
      </c>
      <c r="AH120" s="303"/>
      <c r="AI120" s="275"/>
      <c r="AJ120" s="275"/>
      <c r="AK120" s="305"/>
      <c r="AL120" s="306"/>
    </row>
    <row r="121" s="254" customFormat="1" ht="18" customHeight="1" spans="1:38">
      <c r="A121" s="270">
        <v>38</v>
      </c>
      <c r="B121" s="271" t="s">
        <v>325</v>
      </c>
      <c r="C121" s="271" t="s">
        <v>326</v>
      </c>
      <c r="D121" s="272">
        <f t="shared" si="20"/>
        <v>0</v>
      </c>
      <c r="E121" s="273"/>
      <c r="F121" s="297">
        <v>0</v>
      </c>
      <c r="G121" s="275">
        <f t="shared" si="21"/>
        <v>0</v>
      </c>
      <c r="H121" s="276"/>
      <c r="I121" s="287">
        <v>0.13</v>
      </c>
      <c r="J121" s="288">
        <f t="shared" si="35"/>
        <v>0</v>
      </c>
      <c r="K121" s="276"/>
      <c r="L121" s="287">
        <v>0.13</v>
      </c>
      <c r="M121" s="288">
        <f t="shared" si="36"/>
        <v>0</v>
      </c>
      <c r="N121" s="276"/>
      <c r="O121" s="289">
        <f t="shared" si="34"/>
        <v>0</v>
      </c>
      <c r="P121" s="287">
        <v>0.13</v>
      </c>
      <c r="Q121" s="275">
        <f t="shared" si="24"/>
        <v>0</v>
      </c>
      <c r="R121" s="276"/>
      <c r="S121" s="296">
        <v>0.2</v>
      </c>
      <c r="T121" s="275">
        <f t="shared" si="25"/>
        <v>0</v>
      </c>
      <c r="U121" s="276"/>
      <c r="V121" s="296">
        <v>0.2</v>
      </c>
      <c r="W121" s="275">
        <f t="shared" si="26"/>
        <v>0</v>
      </c>
      <c r="X121" s="276"/>
      <c r="Y121" s="296">
        <v>0.2</v>
      </c>
      <c r="Z121" s="275">
        <f t="shared" si="27"/>
        <v>0</v>
      </c>
      <c r="AA121" s="276"/>
      <c r="AB121" s="296">
        <v>0.2</v>
      </c>
      <c r="AC121" s="275">
        <f t="shared" si="28"/>
        <v>0</v>
      </c>
      <c r="AD121" s="275"/>
      <c r="AE121" s="275"/>
      <c r="AF121" s="275">
        <f t="shared" si="29"/>
        <v>0</v>
      </c>
      <c r="AG121" s="303" t="s">
        <v>327</v>
      </c>
      <c r="AH121" s="303"/>
      <c r="AI121" s="275"/>
      <c r="AJ121" s="275"/>
      <c r="AK121" s="305"/>
      <c r="AL121" s="306"/>
    </row>
    <row r="122" s="254" customFormat="1" ht="18" customHeight="1" spans="1:38">
      <c r="A122" s="270">
        <v>40</v>
      </c>
      <c r="B122" s="271" t="s">
        <v>328</v>
      </c>
      <c r="C122" s="271" t="s">
        <v>329</v>
      </c>
      <c r="D122" s="272">
        <f t="shared" si="20"/>
        <v>0</v>
      </c>
      <c r="E122" s="273"/>
      <c r="F122" s="297">
        <v>0</v>
      </c>
      <c r="G122" s="275">
        <f t="shared" si="21"/>
        <v>0</v>
      </c>
      <c r="H122" s="276"/>
      <c r="I122" s="287"/>
      <c r="J122" s="288">
        <f t="shared" si="35"/>
        <v>0</v>
      </c>
      <c r="K122" s="276"/>
      <c r="L122" s="287"/>
      <c r="M122" s="288">
        <f t="shared" si="36"/>
        <v>0</v>
      </c>
      <c r="N122" s="276"/>
      <c r="O122" s="289">
        <f t="shared" si="34"/>
        <v>0</v>
      </c>
      <c r="P122" s="287">
        <v>0.13</v>
      </c>
      <c r="Q122" s="275">
        <f t="shared" si="24"/>
        <v>0</v>
      </c>
      <c r="R122" s="276"/>
      <c r="S122" s="296">
        <v>0.2</v>
      </c>
      <c r="T122" s="275">
        <f t="shared" si="25"/>
        <v>0</v>
      </c>
      <c r="U122" s="276"/>
      <c r="V122" s="296">
        <v>0.2</v>
      </c>
      <c r="W122" s="275">
        <f t="shared" si="26"/>
        <v>0</v>
      </c>
      <c r="X122" s="276"/>
      <c r="Y122" s="296">
        <v>0.2</v>
      </c>
      <c r="Z122" s="275">
        <f t="shared" si="27"/>
        <v>0</v>
      </c>
      <c r="AA122" s="276"/>
      <c r="AB122" s="296">
        <v>0.2</v>
      </c>
      <c r="AC122" s="275">
        <f t="shared" si="28"/>
        <v>0</v>
      </c>
      <c r="AD122" s="275"/>
      <c r="AE122" s="275"/>
      <c r="AF122" s="275">
        <f t="shared" si="29"/>
        <v>0</v>
      </c>
      <c r="AG122" s="303" t="s">
        <v>330</v>
      </c>
      <c r="AH122" s="303"/>
      <c r="AI122" s="275"/>
      <c r="AJ122" s="275"/>
      <c r="AK122" s="305"/>
      <c r="AL122" s="306"/>
    </row>
    <row r="123" s="254" customFormat="1" ht="18" customHeight="1" spans="1:38">
      <c r="A123" s="270">
        <v>45</v>
      </c>
      <c r="B123" s="271"/>
      <c r="C123" s="271" t="s">
        <v>331</v>
      </c>
      <c r="D123" s="272">
        <f t="shared" si="20"/>
        <v>0</v>
      </c>
      <c r="E123" s="273"/>
      <c r="F123" s="297">
        <v>0</v>
      </c>
      <c r="G123" s="275">
        <f t="shared" si="21"/>
        <v>0</v>
      </c>
      <c r="H123" s="276"/>
      <c r="I123" s="287"/>
      <c r="J123" s="288">
        <f t="shared" si="35"/>
        <v>0</v>
      </c>
      <c r="K123" s="276"/>
      <c r="L123" s="287"/>
      <c r="M123" s="288">
        <f t="shared" si="36"/>
        <v>0</v>
      </c>
      <c r="N123" s="276"/>
      <c r="O123" s="289">
        <f t="shared" si="34"/>
        <v>0</v>
      </c>
      <c r="P123" s="287">
        <v>0.13</v>
      </c>
      <c r="Q123" s="275">
        <f t="shared" si="24"/>
        <v>0</v>
      </c>
      <c r="R123" s="276"/>
      <c r="S123" s="296">
        <v>0.2</v>
      </c>
      <c r="T123" s="275">
        <f t="shared" si="25"/>
        <v>0</v>
      </c>
      <c r="U123" s="276"/>
      <c r="V123" s="296">
        <v>0.2</v>
      </c>
      <c r="W123" s="275">
        <f t="shared" si="26"/>
        <v>0</v>
      </c>
      <c r="X123" s="276"/>
      <c r="Y123" s="296">
        <v>0.2</v>
      </c>
      <c r="Z123" s="275">
        <f t="shared" si="27"/>
        <v>0</v>
      </c>
      <c r="AA123" s="276"/>
      <c r="AB123" s="296">
        <v>0.2</v>
      </c>
      <c r="AC123" s="275">
        <f t="shared" si="28"/>
        <v>0</v>
      </c>
      <c r="AD123" s="275"/>
      <c r="AE123" s="275"/>
      <c r="AF123" s="275">
        <f t="shared" si="29"/>
        <v>0</v>
      </c>
      <c r="AG123" s="303"/>
      <c r="AH123" s="303"/>
      <c r="AI123" s="275"/>
      <c r="AJ123" s="275"/>
      <c r="AK123" s="305"/>
      <c r="AL123" s="306"/>
    </row>
    <row r="124" s="254" customFormat="1" ht="18" customHeight="1" spans="1:38">
      <c r="A124" s="270">
        <v>44</v>
      </c>
      <c r="B124" s="271"/>
      <c r="C124" s="271"/>
      <c r="D124" s="272">
        <f t="shared" si="20"/>
        <v>0</v>
      </c>
      <c r="E124" s="273"/>
      <c r="F124" s="297">
        <v>0</v>
      </c>
      <c r="G124" s="275">
        <f t="shared" si="21"/>
        <v>0</v>
      </c>
      <c r="H124" s="276"/>
      <c r="I124" s="287"/>
      <c r="J124" s="288">
        <f t="shared" si="35"/>
        <v>0</v>
      </c>
      <c r="K124" s="276"/>
      <c r="L124" s="287"/>
      <c r="M124" s="288">
        <f t="shared" si="36"/>
        <v>0</v>
      </c>
      <c r="N124" s="276"/>
      <c r="O124" s="289">
        <f t="shared" si="34"/>
        <v>0</v>
      </c>
      <c r="P124" s="287">
        <v>0.1</v>
      </c>
      <c r="Q124" s="275">
        <f t="shared" si="24"/>
        <v>0</v>
      </c>
      <c r="R124" s="276"/>
      <c r="S124" s="296">
        <v>0.2</v>
      </c>
      <c r="T124" s="275">
        <f t="shared" si="25"/>
        <v>0</v>
      </c>
      <c r="U124" s="276"/>
      <c r="V124" s="296">
        <v>0.2</v>
      </c>
      <c r="W124" s="275">
        <f t="shared" si="26"/>
        <v>0</v>
      </c>
      <c r="X124" s="276"/>
      <c r="Y124" s="296">
        <v>0.2</v>
      </c>
      <c r="Z124" s="275">
        <f t="shared" si="27"/>
        <v>0</v>
      </c>
      <c r="AA124" s="276"/>
      <c r="AB124" s="296">
        <v>0.2</v>
      </c>
      <c r="AC124" s="275">
        <f t="shared" si="28"/>
        <v>0</v>
      </c>
      <c r="AD124" s="275"/>
      <c r="AE124" s="275"/>
      <c r="AF124" s="275">
        <f t="shared" si="29"/>
        <v>0</v>
      </c>
      <c r="AG124" s="303"/>
      <c r="AH124" s="303"/>
      <c r="AI124" s="275"/>
      <c r="AJ124" s="275"/>
      <c r="AK124" s="305"/>
      <c r="AL124" s="306"/>
    </row>
    <row r="125" s="254" customFormat="1" ht="18" customHeight="1" spans="1:38">
      <c r="A125" s="270">
        <v>31</v>
      </c>
      <c r="B125" s="271" t="s">
        <v>332</v>
      </c>
      <c r="C125" s="271" t="s">
        <v>333</v>
      </c>
      <c r="D125" s="272">
        <f t="shared" si="20"/>
        <v>0</v>
      </c>
      <c r="E125" s="273"/>
      <c r="F125" s="297">
        <v>0.15</v>
      </c>
      <c r="G125" s="275">
        <f t="shared" si="21"/>
        <v>0</v>
      </c>
      <c r="H125" s="276"/>
      <c r="I125" s="287"/>
      <c r="J125" s="288"/>
      <c r="K125" s="276"/>
      <c r="L125" s="287"/>
      <c r="M125" s="288"/>
      <c r="N125" s="276"/>
      <c r="O125" s="289">
        <f t="shared" si="34"/>
        <v>0</v>
      </c>
      <c r="P125" s="287">
        <v>0.13</v>
      </c>
      <c r="Q125" s="275">
        <f t="shared" si="24"/>
        <v>0</v>
      </c>
      <c r="R125" s="276"/>
      <c r="S125" s="296">
        <v>0.2</v>
      </c>
      <c r="T125" s="275">
        <f t="shared" si="25"/>
        <v>0</v>
      </c>
      <c r="U125" s="276"/>
      <c r="V125" s="296">
        <v>0.2</v>
      </c>
      <c r="W125" s="275">
        <f t="shared" si="26"/>
        <v>0</v>
      </c>
      <c r="X125" s="276"/>
      <c r="Y125" s="296">
        <v>0.2</v>
      </c>
      <c r="Z125" s="275">
        <f t="shared" si="27"/>
        <v>0</v>
      </c>
      <c r="AA125" s="276"/>
      <c r="AB125" s="296">
        <v>0.2</v>
      </c>
      <c r="AC125" s="275">
        <f t="shared" si="28"/>
        <v>0</v>
      </c>
      <c r="AD125" s="275"/>
      <c r="AE125" s="275"/>
      <c r="AF125" s="275">
        <f t="shared" si="29"/>
        <v>0</v>
      </c>
      <c r="AG125" s="303" t="s">
        <v>334</v>
      </c>
      <c r="AH125" s="303"/>
      <c r="AI125" s="275"/>
      <c r="AJ125" s="275"/>
      <c r="AK125" s="305"/>
      <c r="AL125" s="306"/>
    </row>
    <row r="126" s="254" customFormat="1" ht="18" customHeight="1" spans="1:38">
      <c r="A126" s="270">
        <v>37</v>
      </c>
      <c r="B126" s="271" t="s">
        <v>335</v>
      </c>
      <c r="C126" s="271" t="s">
        <v>336</v>
      </c>
      <c r="D126" s="272">
        <f t="shared" si="20"/>
        <v>0</v>
      </c>
      <c r="E126" s="273"/>
      <c r="F126" s="297">
        <v>0</v>
      </c>
      <c r="G126" s="275">
        <f t="shared" si="21"/>
        <v>0</v>
      </c>
      <c r="H126" s="276"/>
      <c r="I126" s="287"/>
      <c r="J126" s="288">
        <f t="shared" ref="J126:J131" si="37">ROUND(H126*I126,)</f>
        <v>0</v>
      </c>
      <c r="K126" s="276"/>
      <c r="L126" s="287"/>
      <c r="M126" s="288">
        <f t="shared" ref="M126:M131" si="38">ROUND(K126*L126,)</f>
        <v>0</v>
      </c>
      <c r="N126" s="276"/>
      <c r="O126" s="289">
        <f t="shared" si="34"/>
        <v>0</v>
      </c>
      <c r="P126" s="287">
        <v>0.13</v>
      </c>
      <c r="Q126" s="275">
        <f t="shared" si="24"/>
        <v>0</v>
      </c>
      <c r="R126" s="276"/>
      <c r="S126" s="296">
        <v>0.2</v>
      </c>
      <c r="T126" s="275">
        <f t="shared" si="25"/>
        <v>0</v>
      </c>
      <c r="U126" s="276"/>
      <c r="V126" s="296">
        <v>0.2</v>
      </c>
      <c r="W126" s="275">
        <f t="shared" si="26"/>
        <v>0</v>
      </c>
      <c r="X126" s="276"/>
      <c r="Y126" s="296">
        <v>0.2</v>
      </c>
      <c r="Z126" s="275">
        <f t="shared" si="27"/>
        <v>0</v>
      </c>
      <c r="AA126" s="276"/>
      <c r="AB126" s="296">
        <v>0.2</v>
      </c>
      <c r="AC126" s="275">
        <f t="shared" si="28"/>
        <v>0</v>
      </c>
      <c r="AD126" s="275"/>
      <c r="AE126" s="275"/>
      <c r="AF126" s="275">
        <f t="shared" si="29"/>
        <v>0</v>
      </c>
      <c r="AG126" s="376" t="s">
        <v>337</v>
      </c>
      <c r="AH126" s="303"/>
      <c r="AI126" s="275"/>
      <c r="AJ126" s="275"/>
      <c r="AK126" s="305"/>
      <c r="AL126" s="306"/>
    </row>
    <row r="127" s="254" customFormat="1" ht="18" customHeight="1" spans="1:38">
      <c r="A127" s="270">
        <v>39</v>
      </c>
      <c r="B127" s="271" t="s">
        <v>338</v>
      </c>
      <c r="C127" s="271" t="s">
        <v>338</v>
      </c>
      <c r="D127" s="272">
        <f t="shared" si="20"/>
        <v>0</v>
      </c>
      <c r="E127" s="273"/>
      <c r="F127" s="297">
        <v>0</v>
      </c>
      <c r="G127" s="275">
        <f t="shared" si="21"/>
        <v>0</v>
      </c>
      <c r="H127" s="276"/>
      <c r="I127" s="287"/>
      <c r="J127" s="288">
        <f t="shared" si="37"/>
        <v>0</v>
      </c>
      <c r="K127" s="276"/>
      <c r="L127" s="287"/>
      <c r="M127" s="288">
        <f t="shared" si="38"/>
        <v>0</v>
      </c>
      <c r="N127" s="276"/>
      <c r="O127" s="289">
        <f t="shared" si="34"/>
        <v>0</v>
      </c>
      <c r="P127" s="287">
        <v>0.13</v>
      </c>
      <c r="Q127" s="275">
        <f t="shared" si="24"/>
        <v>0</v>
      </c>
      <c r="R127" s="276"/>
      <c r="S127" s="296">
        <v>0.2</v>
      </c>
      <c r="T127" s="275">
        <f t="shared" si="25"/>
        <v>0</v>
      </c>
      <c r="U127" s="276"/>
      <c r="V127" s="296">
        <v>0.2</v>
      </c>
      <c r="W127" s="275">
        <f t="shared" si="26"/>
        <v>0</v>
      </c>
      <c r="X127" s="276"/>
      <c r="Y127" s="296">
        <v>0.2</v>
      </c>
      <c r="Z127" s="275">
        <f t="shared" si="27"/>
        <v>0</v>
      </c>
      <c r="AA127" s="276"/>
      <c r="AB127" s="296">
        <v>0.2</v>
      </c>
      <c r="AC127" s="275">
        <f t="shared" si="28"/>
        <v>0</v>
      </c>
      <c r="AD127" s="275"/>
      <c r="AE127" s="275"/>
      <c r="AF127" s="275">
        <f t="shared" si="29"/>
        <v>0</v>
      </c>
      <c r="AG127" s="303" t="s">
        <v>339</v>
      </c>
      <c r="AH127" s="303"/>
      <c r="AI127" s="275"/>
      <c r="AJ127" s="275"/>
      <c r="AK127" s="305"/>
      <c r="AL127" s="306"/>
    </row>
    <row r="128" s="254" customFormat="1" ht="18" customHeight="1" spans="1:38">
      <c r="A128" s="270">
        <v>17</v>
      </c>
      <c r="B128" s="271"/>
      <c r="C128" s="271" t="s">
        <v>340</v>
      </c>
      <c r="D128" s="272">
        <f t="shared" si="20"/>
        <v>0</v>
      </c>
      <c r="E128" s="273"/>
      <c r="F128" s="297">
        <v>0.1</v>
      </c>
      <c r="G128" s="275">
        <f t="shared" si="21"/>
        <v>0</v>
      </c>
      <c r="H128" s="276"/>
      <c r="I128" s="287"/>
      <c r="J128" s="288">
        <f t="shared" si="37"/>
        <v>0</v>
      </c>
      <c r="K128" s="276"/>
      <c r="L128" s="287"/>
      <c r="M128" s="288">
        <f t="shared" si="38"/>
        <v>0</v>
      </c>
      <c r="N128" s="276"/>
      <c r="O128" s="289">
        <f t="shared" si="34"/>
        <v>0</v>
      </c>
      <c r="P128" s="287">
        <v>0.13</v>
      </c>
      <c r="Q128" s="275">
        <f t="shared" si="24"/>
        <v>0</v>
      </c>
      <c r="R128" s="276"/>
      <c r="S128" s="296">
        <v>0.2</v>
      </c>
      <c r="T128" s="275">
        <f t="shared" si="25"/>
        <v>0</v>
      </c>
      <c r="U128" s="276"/>
      <c r="V128" s="296">
        <v>0.2</v>
      </c>
      <c r="W128" s="275">
        <f t="shared" si="26"/>
        <v>0</v>
      </c>
      <c r="X128" s="276"/>
      <c r="Y128" s="296">
        <v>0.2</v>
      </c>
      <c r="Z128" s="275">
        <f t="shared" si="27"/>
        <v>0</v>
      </c>
      <c r="AA128" s="276"/>
      <c r="AB128" s="296">
        <v>0.2</v>
      </c>
      <c r="AC128" s="275">
        <f t="shared" si="28"/>
        <v>0</v>
      </c>
      <c r="AD128" s="275"/>
      <c r="AE128" s="275"/>
      <c r="AF128" s="275">
        <f t="shared" si="29"/>
        <v>0</v>
      </c>
      <c r="AG128" s="303"/>
      <c r="AH128" s="303"/>
      <c r="AI128" s="275"/>
      <c r="AJ128" s="275"/>
      <c r="AK128" s="305"/>
      <c r="AL128" s="306"/>
    </row>
    <row r="129" s="254" customFormat="1" ht="18" customHeight="1" spans="1:38">
      <c r="A129" s="270">
        <v>23</v>
      </c>
      <c r="B129" s="271" t="s">
        <v>341</v>
      </c>
      <c r="C129" s="271" t="s">
        <v>341</v>
      </c>
      <c r="D129" s="272">
        <f t="shared" si="20"/>
        <v>0</v>
      </c>
      <c r="E129" s="273"/>
      <c r="F129" s="297">
        <v>0.1</v>
      </c>
      <c r="G129" s="275">
        <f t="shared" si="21"/>
        <v>0</v>
      </c>
      <c r="H129" s="276"/>
      <c r="I129" s="287"/>
      <c r="J129" s="288">
        <f t="shared" si="37"/>
        <v>0</v>
      </c>
      <c r="K129" s="276"/>
      <c r="L129" s="287"/>
      <c r="M129" s="288">
        <f t="shared" si="38"/>
        <v>0</v>
      </c>
      <c r="N129" s="276"/>
      <c r="O129" s="289">
        <f t="shared" si="34"/>
        <v>0</v>
      </c>
      <c r="P129" s="287">
        <v>0.13</v>
      </c>
      <c r="Q129" s="275">
        <f t="shared" si="24"/>
        <v>0</v>
      </c>
      <c r="R129" s="276"/>
      <c r="S129" s="296">
        <v>0.2</v>
      </c>
      <c r="T129" s="275">
        <f t="shared" si="25"/>
        <v>0</v>
      </c>
      <c r="U129" s="276"/>
      <c r="V129" s="296">
        <v>0.2</v>
      </c>
      <c r="W129" s="275">
        <f t="shared" si="26"/>
        <v>0</v>
      </c>
      <c r="X129" s="276"/>
      <c r="Y129" s="296">
        <v>0.2</v>
      </c>
      <c r="Z129" s="275">
        <f t="shared" si="27"/>
        <v>0</v>
      </c>
      <c r="AA129" s="276"/>
      <c r="AB129" s="296">
        <v>0.2</v>
      </c>
      <c r="AC129" s="275">
        <f t="shared" si="28"/>
        <v>0</v>
      </c>
      <c r="AD129" s="275"/>
      <c r="AE129" s="275"/>
      <c r="AF129" s="275">
        <f t="shared" si="29"/>
        <v>0</v>
      </c>
      <c r="AG129" s="303" t="s">
        <v>342</v>
      </c>
      <c r="AH129" s="303"/>
      <c r="AI129" s="275"/>
      <c r="AJ129" s="275"/>
      <c r="AK129" s="305" t="s">
        <v>258</v>
      </c>
      <c r="AL129" s="306"/>
    </row>
    <row r="130" s="254" customFormat="1" ht="18" customHeight="1" spans="1:38">
      <c r="A130" s="270">
        <v>36</v>
      </c>
      <c r="B130" s="271" t="s">
        <v>343</v>
      </c>
      <c r="C130" s="271" t="s">
        <v>344</v>
      </c>
      <c r="D130" s="272">
        <f t="shared" si="20"/>
        <v>0</v>
      </c>
      <c r="E130" s="273"/>
      <c r="F130" s="297">
        <v>0</v>
      </c>
      <c r="G130" s="275">
        <f t="shared" si="21"/>
        <v>0</v>
      </c>
      <c r="H130" s="276"/>
      <c r="I130" s="287"/>
      <c r="J130" s="288">
        <f t="shared" si="37"/>
        <v>0</v>
      </c>
      <c r="K130" s="276"/>
      <c r="L130" s="287"/>
      <c r="M130" s="288">
        <f t="shared" si="38"/>
        <v>0</v>
      </c>
      <c r="N130" s="276"/>
      <c r="O130" s="289">
        <f t="shared" si="34"/>
        <v>0</v>
      </c>
      <c r="P130" s="287">
        <v>0.13</v>
      </c>
      <c r="Q130" s="275">
        <f t="shared" si="24"/>
        <v>0</v>
      </c>
      <c r="R130" s="276"/>
      <c r="S130" s="296">
        <v>0.2</v>
      </c>
      <c r="T130" s="275">
        <f t="shared" si="25"/>
        <v>0</v>
      </c>
      <c r="U130" s="276"/>
      <c r="V130" s="296">
        <v>0.2</v>
      </c>
      <c r="W130" s="275">
        <f t="shared" si="26"/>
        <v>0</v>
      </c>
      <c r="X130" s="276"/>
      <c r="Y130" s="296">
        <v>0.2</v>
      </c>
      <c r="Z130" s="275">
        <f t="shared" si="27"/>
        <v>0</v>
      </c>
      <c r="AA130" s="276"/>
      <c r="AB130" s="296">
        <v>0.2</v>
      </c>
      <c r="AC130" s="275">
        <f t="shared" si="28"/>
        <v>0</v>
      </c>
      <c r="AD130" s="275"/>
      <c r="AE130" s="275"/>
      <c r="AF130" s="275">
        <f t="shared" si="29"/>
        <v>0</v>
      </c>
      <c r="AG130" s="303" t="s">
        <v>345</v>
      </c>
      <c r="AH130" s="303"/>
      <c r="AI130" s="275"/>
      <c r="AJ130" s="275"/>
      <c r="AK130" s="305"/>
      <c r="AL130" s="306"/>
    </row>
    <row r="131" s="254" customFormat="1" ht="18" customHeight="1" spans="1:38">
      <c r="A131" s="270">
        <v>16</v>
      </c>
      <c r="B131" s="271" t="s">
        <v>25</v>
      </c>
      <c r="C131" s="271" t="s">
        <v>26</v>
      </c>
      <c r="D131" s="272">
        <f t="shared" ref="D131:D194" si="39">E131+H131+O131</f>
        <v>0</v>
      </c>
      <c r="E131" s="273"/>
      <c r="F131" s="297">
        <v>0.15</v>
      </c>
      <c r="G131" s="275">
        <f t="shared" ref="G131:G194" si="40">ROUND(E131*F131,)</f>
        <v>0</v>
      </c>
      <c r="H131" s="276"/>
      <c r="I131" s="287"/>
      <c r="J131" s="288">
        <f t="shared" si="37"/>
        <v>0</v>
      </c>
      <c r="K131" s="276"/>
      <c r="L131" s="287"/>
      <c r="M131" s="288">
        <f t="shared" si="38"/>
        <v>0</v>
      </c>
      <c r="N131" s="276"/>
      <c r="O131" s="289">
        <f t="shared" si="34"/>
        <v>0</v>
      </c>
      <c r="P131" s="287">
        <v>0.1</v>
      </c>
      <c r="Q131" s="275">
        <f t="shared" ref="Q131:Q140" si="41">O131*P131</f>
        <v>0</v>
      </c>
      <c r="R131" s="276"/>
      <c r="S131" s="296">
        <v>0.2</v>
      </c>
      <c r="T131" s="275">
        <f t="shared" ref="T131:T157" si="42">R131*S131</f>
        <v>0</v>
      </c>
      <c r="U131" s="276"/>
      <c r="V131" s="296">
        <v>0.2</v>
      </c>
      <c r="W131" s="275">
        <f t="shared" ref="W131:W157" si="43">U131*V131</f>
        <v>0</v>
      </c>
      <c r="X131" s="276"/>
      <c r="Y131" s="296">
        <v>0.2</v>
      </c>
      <c r="Z131" s="275">
        <f t="shared" ref="Z131:Z157" si="44">X131*Y131</f>
        <v>0</v>
      </c>
      <c r="AA131" s="276"/>
      <c r="AB131" s="296">
        <v>0.2</v>
      </c>
      <c r="AC131" s="275">
        <f t="shared" ref="AC131:AC157" si="45">AA131*AB131</f>
        <v>0</v>
      </c>
      <c r="AD131" s="275"/>
      <c r="AE131" s="275"/>
      <c r="AF131" s="275">
        <f t="shared" ref="AF131:AF194" si="46">ROUND(G131+J131+M131+Q131+T131+W131+AC131+AD131+Z131+AE131,)</f>
        <v>0</v>
      </c>
      <c r="AG131" s="303" t="s">
        <v>27</v>
      </c>
      <c r="AH131" s="303"/>
      <c r="AI131" s="275"/>
      <c r="AJ131" s="275"/>
      <c r="AK131" s="305"/>
      <c r="AL131" s="306"/>
    </row>
    <row r="132" s="254" customFormat="1" ht="18" customHeight="1" spans="1:38">
      <c r="A132" s="270">
        <v>33</v>
      </c>
      <c r="B132" s="271" t="s">
        <v>346</v>
      </c>
      <c r="C132" s="271" t="s">
        <v>347</v>
      </c>
      <c r="D132" s="272">
        <f t="shared" si="39"/>
        <v>0</v>
      </c>
      <c r="E132" s="273"/>
      <c r="F132" s="297">
        <v>0.15</v>
      </c>
      <c r="G132" s="275">
        <f t="shared" si="40"/>
        <v>0</v>
      </c>
      <c r="H132" s="276"/>
      <c r="I132" s="287"/>
      <c r="J132" s="288"/>
      <c r="K132" s="276"/>
      <c r="L132" s="287"/>
      <c r="M132" s="288"/>
      <c r="N132" s="276"/>
      <c r="O132" s="289">
        <f t="shared" si="34"/>
        <v>0</v>
      </c>
      <c r="P132" s="287"/>
      <c r="Q132" s="275">
        <f t="shared" si="41"/>
        <v>0</v>
      </c>
      <c r="R132" s="276"/>
      <c r="S132" s="296">
        <v>0.2</v>
      </c>
      <c r="T132" s="275">
        <f t="shared" si="42"/>
        <v>0</v>
      </c>
      <c r="U132" s="276"/>
      <c r="V132" s="296">
        <v>0.2</v>
      </c>
      <c r="W132" s="275">
        <f t="shared" si="43"/>
        <v>0</v>
      </c>
      <c r="X132" s="276"/>
      <c r="Y132" s="296">
        <v>0.2</v>
      </c>
      <c r="Z132" s="275">
        <f t="shared" si="44"/>
        <v>0</v>
      </c>
      <c r="AA132" s="276"/>
      <c r="AB132" s="296">
        <v>0.2</v>
      </c>
      <c r="AC132" s="275">
        <f t="shared" si="45"/>
        <v>0</v>
      </c>
      <c r="AD132" s="275"/>
      <c r="AE132" s="275"/>
      <c r="AF132" s="275">
        <f t="shared" si="46"/>
        <v>0</v>
      </c>
      <c r="AG132" s="376" t="s">
        <v>348</v>
      </c>
      <c r="AH132" s="303"/>
      <c r="AI132" s="275"/>
      <c r="AJ132" s="275"/>
      <c r="AK132" s="305"/>
      <c r="AL132" s="306"/>
    </row>
    <row r="133" s="254" customFormat="1" ht="18" customHeight="1" spans="1:38">
      <c r="A133" s="270">
        <v>41</v>
      </c>
      <c r="B133" s="271" t="s">
        <v>349</v>
      </c>
      <c r="C133" s="271" t="s">
        <v>350</v>
      </c>
      <c r="D133" s="272">
        <f t="shared" si="39"/>
        <v>0</v>
      </c>
      <c r="E133" s="273"/>
      <c r="F133" s="297">
        <v>0</v>
      </c>
      <c r="G133" s="275">
        <f t="shared" si="40"/>
        <v>0</v>
      </c>
      <c r="H133" s="276"/>
      <c r="I133" s="287"/>
      <c r="J133" s="288"/>
      <c r="K133" s="276"/>
      <c r="L133" s="287"/>
      <c r="M133" s="288"/>
      <c r="N133" s="276"/>
      <c r="O133" s="289">
        <f t="shared" si="34"/>
        <v>0</v>
      </c>
      <c r="P133" s="287"/>
      <c r="Q133" s="275"/>
      <c r="R133" s="276"/>
      <c r="S133" s="296">
        <v>0.2</v>
      </c>
      <c r="T133" s="275">
        <f t="shared" si="42"/>
        <v>0</v>
      </c>
      <c r="U133" s="276"/>
      <c r="V133" s="296">
        <v>0.2</v>
      </c>
      <c r="W133" s="275">
        <f t="shared" si="43"/>
        <v>0</v>
      </c>
      <c r="X133" s="276"/>
      <c r="Y133" s="296">
        <v>0.2</v>
      </c>
      <c r="Z133" s="275">
        <f t="shared" si="44"/>
        <v>0</v>
      </c>
      <c r="AA133" s="276"/>
      <c r="AB133" s="296">
        <v>0.2</v>
      </c>
      <c r="AC133" s="275">
        <f t="shared" si="45"/>
        <v>0</v>
      </c>
      <c r="AD133" s="275"/>
      <c r="AE133" s="275"/>
      <c r="AF133" s="275">
        <f t="shared" si="46"/>
        <v>0</v>
      </c>
      <c r="AG133" s="376" t="s">
        <v>351</v>
      </c>
      <c r="AH133" s="303"/>
      <c r="AI133" s="275"/>
      <c r="AJ133" s="275"/>
      <c r="AK133" s="305"/>
      <c r="AL133" s="306"/>
    </row>
    <row r="134" s="254" customFormat="1" ht="18" customHeight="1" spans="1:38">
      <c r="A134" s="270">
        <v>47</v>
      </c>
      <c r="B134" s="271" t="s">
        <v>352</v>
      </c>
      <c r="C134" s="271" t="s">
        <v>353</v>
      </c>
      <c r="D134" s="272">
        <f t="shared" si="39"/>
        <v>0</v>
      </c>
      <c r="E134" s="273"/>
      <c r="F134" s="297">
        <v>0</v>
      </c>
      <c r="G134" s="275">
        <f t="shared" si="40"/>
        <v>0</v>
      </c>
      <c r="H134" s="276"/>
      <c r="I134" s="287"/>
      <c r="J134" s="288">
        <f t="shared" ref="J134:J140" si="47">ROUND(H134*I134,)</f>
        <v>0</v>
      </c>
      <c r="K134" s="276"/>
      <c r="L134" s="287"/>
      <c r="M134" s="288">
        <f t="shared" ref="M134:M140" si="48">ROUND(K134*L134,)</f>
        <v>0</v>
      </c>
      <c r="N134" s="276"/>
      <c r="O134" s="289">
        <f t="shared" si="34"/>
        <v>0</v>
      </c>
      <c r="P134" s="287">
        <v>0.1</v>
      </c>
      <c r="Q134" s="275">
        <f t="shared" si="41"/>
        <v>0</v>
      </c>
      <c r="R134" s="276"/>
      <c r="S134" s="296">
        <v>0.2</v>
      </c>
      <c r="T134" s="275">
        <f t="shared" si="42"/>
        <v>0</v>
      </c>
      <c r="U134" s="276"/>
      <c r="V134" s="296">
        <v>0.2</v>
      </c>
      <c r="W134" s="275">
        <f t="shared" si="43"/>
        <v>0</v>
      </c>
      <c r="X134" s="276"/>
      <c r="Y134" s="296">
        <v>0.2</v>
      </c>
      <c r="Z134" s="275">
        <f t="shared" si="44"/>
        <v>0</v>
      </c>
      <c r="AA134" s="276"/>
      <c r="AB134" s="296">
        <v>0.2</v>
      </c>
      <c r="AC134" s="275">
        <f t="shared" si="45"/>
        <v>0</v>
      </c>
      <c r="AD134" s="275"/>
      <c r="AE134" s="275"/>
      <c r="AF134" s="275">
        <f t="shared" si="46"/>
        <v>0</v>
      </c>
      <c r="AG134" s="376" t="s">
        <v>354</v>
      </c>
      <c r="AH134" s="303"/>
      <c r="AI134" s="275"/>
      <c r="AJ134" s="275"/>
      <c r="AK134" s="305"/>
      <c r="AL134" s="306"/>
    </row>
    <row r="135" s="254" customFormat="1" ht="18" customHeight="1" spans="1:38">
      <c r="A135" s="270">
        <v>49</v>
      </c>
      <c r="B135" s="271" t="s">
        <v>355</v>
      </c>
      <c r="C135" s="271" t="s">
        <v>355</v>
      </c>
      <c r="D135" s="272">
        <f t="shared" si="39"/>
        <v>0</v>
      </c>
      <c r="E135" s="273"/>
      <c r="F135" s="297">
        <v>0</v>
      </c>
      <c r="G135" s="275">
        <f t="shared" si="40"/>
        <v>0</v>
      </c>
      <c r="H135" s="276"/>
      <c r="I135" s="287"/>
      <c r="J135" s="288">
        <v>0</v>
      </c>
      <c r="K135" s="276"/>
      <c r="L135" s="287"/>
      <c r="M135" s="288">
        <v>0</v>
      </c>
      <c r="N135" s="276"/>
      <c r="O135" s="289">
        <f t="shared" si="34"/>
        <v>0</v>
      </c>
      <c r="P135" s="287">
        <v>0.1</v>
      </c>
      <c r="Q135" s="275">
        <f t="shared" si="41"/>
        <v>0</v>
      </c>
      <c r="R135" s="276"/>
      <c r="S135" s="296">
        <v>0.2</v>
      </c>
      <c r="T135" s="275">
        <f t="shared" si="42"/>
        <v>0</v>
      </c>
      <c r="U135" s="276"/>
      <c r="V135" s="296">
        <v>0.2</v>
      </c>
      <c r="W135" s="275">
        <f t="shared" si="43"/>
        <v>0</v>
      </c>
      <c r="X135" s="276"/>
      <c r="Y135" s="296">
        <v>0.2</v>
      </c>
      <c r="Z135" s="275">
        <f t="shared" si="44"/>
        <v>0</v>
      </c>
      <c r="AA135" s="276"/>
      <c r="AB135" s="296">
        <v>0.2</v>
      </c>
      <c r="AC135" s="275">
        <f t="shared" si="45"/>
        <v>0</v>
      </c>
      <c r="AD135" s="275"/>
      <c r="AE135" s="275"/>
      <c r="AF135" s="275">
        <f t="shared" si="46"/>
        <v>0</v>
      </c>
      <c r="AG135" s="303" t="s">
        <v>356</v>
      </c>
      <c r="AH135" s="303"/>
      <c r="AI135" s="275"/>
      <c r="AJ135" s="275"/>
      <c r="AK135" s="305"/>
      <c r="AL135" s="306"/>
    </row>
    <row r="136" s="254" customFormat="1" ht="18" customHeight="1" spans="1:38">
      <c r="A136" s="270">
        <v>34</v>
      </c>
      <c r="B136" s="271"/>
      <c r="C136" s="271"/>
      <c r="D136" s="272">
        <f t="shared" si="39"/>
        <v>0</v>
      </c>
      <c r="E136" s="273"/>
      <c r="F136" s="297">
        <v>0</v>
      </c>
      <c r="G136" s="275">
        <f t="shared" si="40"/>
        <v>0</v>
      </c>
      <c r="H136" s="276"/>
      <c r="I136" s="287"/>
      <c r="J136" s="288">
        <f t="shared" si="47"/>
        <v>0</v>
      </c>
      <c r="K136" s="276"/>
      <c r="L136" s="287"/>
      <c r="M136" s="288">
        <f t="shared" si="48"/>
        <v>0</v>
      </c>
      <c r="N136" s="276"/>
      <c r="O136" s="289">
        <f t="shared" si="34"/>
        <v>0</v>
      </c>
      <c r="P136" s="287">
        <v>0.1</v>
      </c>
      <c r="Q136" s="275">
        <f t="shared" si="41"/>
        <v>0</v>
      </c>
      <c r="R136" s="276"/>
      <c r="S136" s="296">
        <v>0.2</v>
      </c>
      <c r="T136" s="275">
        <f t="shared" si="42"/>
        <v>0</v>
      </c>
      <c r="U136" s="276"/>
      <c r="V136" s="296">
        <v>0.2</v>
      </c>
      <c r="W136" s="275">
        <f t="shared" si="43"/>
        <v>0</v>
      </c>
      <c r="X136" s="276"/>
      <c r="Y136" s="296">
        <v>0.2</v>
      </c>
      <c r="Z136" s="275">
        <f t="shared" si="44"/>
        <v>0</v>
      </c>
      <c r="AA136" s="276"/>
      <c r="AB136" s="296">
        <v>0.2</v>
      </c>
      <c r="AC136" s="275">
        <f t="shared" si="45"/>
        <v>0</v>
      </c>
      <c r="AD136" s="275"/>
      <c r="AE136" s="275"/>
      <c r="AF136" s="275">
        <f t="shared" si="46"/>
        <v>0</v>
      </c>
      <c r="AG136" s="303"/>
      <c r="AH136" s="303"/>
      <c r="AI136" s="275"/>
      <c r="AJ136" s="275"/>
      <c r="AK136" s="305"/>
      <c r="AL136" s="306"/>
    </row>
    <row r="137" s="254" customFormat="1" ht="18" customHeight="1" spans="1:38">
      <c r="A137" s="270">
        <v>25</v>
      </c>
      <c r="B137" s="271" t="s">
        <v>144</v>
      </c>
      <c r="C137" s="271" t="s">
        <v>144</v>
      </c>
      <c r="D137" s="272">
        <f t="shared" si="39"/>
        <v>0</v>
      </c>
      <c r="E137" s="273"/>
      <c r="F137" s="297">
        <v>0</v>
      </c>
      <c r="G137" s="275">
        <f t="shared" si="40"/>
        <v>0</v>
      </c>
      <c r="H137" s="276"/>
      <c r="I137" s="287"/>
      <c r="J137" s="288"/>
      <c r="K137" s="276"/>
      <c r="L137" s="287"/>
      <c r="M137" s="288"/>
      <c r="N137" s="276"/>
      <c r="O137" s="289">
        <f t="shared" si="34"/>
        <v>0</v>
      </c>
      <c r="P137" s="287"/>
      <c r="Q137" s="275">
        <f t="shared" si="41"/>
        <v>0</v>
      </c>
      <c r="R137" s="276"/>
      <c r="S137" s="296">
        <v>0.2</v>
      </c>
      <c r="T137" s="275">
        <f t="shared" si="42"/>
        <v>0</v>
      </c>
      <c r="U137" s="276"/>
      <c r="V137" s="296">
        <v>0.2</v>
      </c>
      <c r="W137" s="275">
        <f t="shared" si="43"/>
        <v>0</v>
      </c>
      <c r="X137" s="276"/>
      <c r="Y137" s="296">
        <v>0.2</v>
      </c>
      <c r="Z137" s="275">
        <f t="shared" si="44"/>
        <v>0</v>
      </c>
      <c r="AA137" s="276"/>
      <c r="AB137" s="296">
        <v>0.2</v>
      </c>
      <c r="AC137" s="275">
        <f t="shared" si="45"/>
        <v>0</v>
      </c>
      <c r="AD137" s="275"/>
      <c r="AE137" s="275"/>
      <c r="AF137" s="275">
        <f t="shared" si="46"/>
        <v>0</v>
      </c>
      <c r="AG137" s="376" t="s">
        <v>145</v>
      </c>
      <c r="AH137" s="303"/>
      <c r="AI137" s="275"/>
      <c r="AJ137" s="275"/>
      <c r="AK137" s="305"/>
      <c r="AL137" s="306"/>
    </row>
    <row r="138" s="254" customFormat="1" ht="18" customHeight="1" spans="1:38">
      <c r="A138" s="270">
        <v>28</v>
      </c>
      <c r="B138" s="271" t="s">
        <v>357</v>
      </c>
      <c r="C138" s="271" t="s">
        <v>357</v>
      </c>
      <c r="D138" s="272">
        <f t="shared" si="39"/>
        <v>0</v>
      </c>
      <c r="E138" s="273"/>
      <c r="F138" s="297">
        <v>0.1</v>
      </c>
      <c r="G138" s="275">
        <f t="shared" si="40"/>
        <v>0</v>
      </c>
      <c r="H138" s="276"/>
      <c r="I138" s="287"/>
      <c r="J138" s="288">
        <f t="shared" si="47"/>
        <v>0</v>
      </c>
      <c r="K138" s="276"/>
      <c r="L138" s="287"/>
      <c r="M138" s="288">
        <f t="shared" si="48"/>
        <v>0</v>
      </c>
      <c r="N138" s="276"/>
      <c r="O138" s="289">
        <f t="shared" si="34"/>
        <v>0</v>
      </c>
      <c r="P138" s="287">
        <v>0.1</v>
      </c>
      <c r="Q138" s="275">
        <f t="shared" si="41"/>
        <v>0</v>
      </c>
      <c r="R138" s="276"/>
      <c r="S138" s="296">
        <v>0.2</v>
      </c>
      <c r="T138" s="275">
        <f t="shared" si="42"/>
        <v>0</v>
      </c>
      <c r="U138" s="276"/>
      <c r="V138" s="296">
        <v>0.2</v>
      </c>
      <c r="W138" s="275">
        <f t="shared" si="43"/>
        <v>0</v>
      </c>
      <c r="X138" s="276"/>
      <c r="Y138" s="296">
        <v>0.2</v>
      </c>
      <c r="Z138" s="275">
        <f t="shared" si="44"/>
        <v>0</v>
      </c>
      <c r="AA138" s="276"/>
      <c r="AB138" s="296">
        <v>0.2</v>
      </c>
      <c r="AC138" s="275">
        <f t="shared" si="45"/>
        <v>0</v>
      </c>
      <c r="AD138" s="275"/>
      <c r="AE138" s="275"/>
      <c r="AF138" s="275">
        <f t="shared" si="46"/>
        <v>0</v>
      </c>
      <c r="AG138" s="303"/>
      <c r="AH138" s="303"/>
      <c r="AI138" s="275"/>
      <c r="AJ138" s="275"/>
      <c r="AK138" s="305"/>
      <c r="AL138" s="306"/>
    </row>
    <row r="139" s="254" customFormat="1" ht="18" customHeight="1" spans="1:38">
      <c r="A139" s="270">
        <v>7</v>
      </c>
      <c r="B139" s="271" t="s">
        <v>358</v>
      </c>
      <c r="C139" s="271" t="s">
        <v>358</v>
      </c>
      <c r="D139" s="272">
        <f t="shared" si="39"/>
        <v>0</v>
      </c>
      <c r="E139" s="273"/>
      <c r="F139" s="297">
        <v>0.18</v>
      </c>
      <c r="G139" s="275">
        <f t="shared" si="40"/>
        <v>0</v>
      </c>
      <c r="H139" s="276"/>
      <c r="I139" s="287">
        <v>0</v>
      </c>
      <c r="J139" s="288">
        <f t="shared" si="47"/>
        <v>0</v>
      </c>
      <c r="K139" s="276"/>
      <c r="L139" s="287">
        <v>0</v>
      </c>
      <c r="M139" s="288">
        <f t="shared" si="48"/>
        <v>0</v>
      </c>
      <c r="N139" s="276"/>
      <c r="O139" s="289">
        <f t="shared" si="34"/>
        <v>0</v>
      </c>
      <c r="P139" s="287">
        <v>0.1</v>
      </c>
      <c r="Q139" s="275">
        <f t="shared" si="41"/>
        <v>0</v>
      </c>
      <c r="R139" s="276"/>
      <c r="S139" s="296">
        <v>0.2</v>
      </c>
      <c r="T139" s="275">
        <f t="shared" si="42"/>
        <v>0</v>
      </c>
      <c r="U139" s="276"/>
      <c r="V139" s="296">
        <v>0.2</v>
      </c>
      <c r="W139" s="275">
        <f t="shared" si="43"/>
        <v>0</v>
      </c>
      <c r="X139" s="276"/>
      <c r="Y139" s="296">
        <v>0.2</v>
      </c>
      <c r="Z139" s="275">
        <f t="shared" si="44"/>
        <v>0</v>
      </c>
      <c r="AA139" s="276"/>
      <c r="AB139" s="296">
        <v>0.2</v>
      </c>
      <c r="AC139" s="275">
        <f t="shared" si="45"/>
        <v>0</v>
      </c>
      <c r="AD139" s="275"/>
      <c r="AE139" s="275"/>
      <c r="AF139" s="275">
        <f t="shared" si="46"/>
        <v>0</v>
      </c>
      <c r="AG139" s="303" t="s">
        <v>359</v>
      </c>
      <c r="AH139" s="303"/>
      <c r="AI139" s="275"/>
      <c r="AJ139" s="275"/>
      <c r="AK139" s="305"/>
      <c r="AL139" s="306"/>
    </row>
    <row r="140" s="254" customFormat="1" ht="18" customHeight="1" spans="1:38">
      <c r="A140" s="270">
        <v>11</v>
      </c>
      <c r="B140" s="271" t="s">
        <v>360</v>
      </c>
      <c r="C140" s="271" t="s">
        <v>361</v>
      </c>
      <c r="D140" s="272">
        <f t="shared" si="39"/>
        <v>0</v>
      </c>
      <c r="E140" s="273"/>
      <c r="F140" s="297">
        <v>0.15</v>
      </c>
      <c r="G140" s="275">
        <f t="shared" si="40"/>
        <v>0</v>
      </c>
      <c r="H140" s="276"/>
      <c r="I140" s="287"/>
      <c r="J140" s="288">
        <f t="shared" si="47"/>
        <v>0</v>
      </c>
      <c r="K140" s="276"/>
      <c r="L140" s="287"/>
      <c r="M140" s="288">
        <f t="shared" si="48"/>
        <v>0</v>
      </c>
      <c r="N140" s="276"/>
      <c r="O140" s="289">
        <f t="shared" si="34"/>
        <v>0</v>
      </c>
      <c r="P140" s="287"/>
      <c r="Q140" s="275">
        <f t="shared" si="41"/>
        <v>0</v>
      </c>
      <c r="R140" s="276"/>
      <c r="S140" s="296">
        <v>0.2</v>
      </c>
      <c r="T140" s="275">
        <f t="shared" si="42"/>
        <v>0</v>
      </c>
      <c r="U140" s="276"/>
      <c r="V140" s="296">
        <v>0.2</v>
      </c>
      <c r="W140" s="275">
        <f t="shared" si="43"/>
        <v>0</v>
      </c>
      <c r="X140" s="276"/>
      <c r="Y140" s="296">
        <v>0.2</v>
      </c>
      <c r="Z140" s="275">
        <f t="shared" si="44"/>
        <v>0</v>
      </c>
      <c r="AA140" s="276"/>
      <c r="AB140" s="296">
        <v>0.2</v>
      </c>
      <c r="AC140" s="275">
        <f t="shared" si="45"/>
        <v>0</v>
      </c>
      <c r="AD140" s="275"/>
      <c r="AE140" s="275"/>
      <c r="AF140" s="275">
        <f t="shared" si="46"/>
        <v>0</v>
      </c>
      <c r="AG140" s="376" t="s">
        <v>362</v>
      </c>
      <c r="AH140" s="303"/>
      <c r="AI140" s="275"/>
      <c r="AJ140" s="275"/>
      <c r="AK140" s="305"/>
      <c r="AL140" s="306"/>
    </row>
    <row r="141" s="254" customFormat="1" ht="18" customHeight="1" spans="1:38">
      <c r="A141" s="270">
        <v>34</v>
      </c>
      <c r="B141" s="271" t="s">
        <v>363</v>
      </c>
      <c r="C141" s="271" t="s">
        <v>364</v>
      </c>
      <c r="D141" s="272">
        <f t="shared" si="39"/>
        <v>0</v>
      </c>
      <c r="E141" s="273"/>
      <c r="F141" s="297">
        <v>0</v>
      </c>
      <c r="G141" s="275">
        <f t="shared" si="40"/>
        <v>0</v>
      </c>
      <c r="H141" s="276"/>
      <c r="I141" s="287"/>
      <c r="J141" s="288"/>
      <c r="K141" s="276"/>
      <c r="L141" s="287"/>
      <c r="M141" s="288"/>
      <c r="N141" s="276"/>
      <c r="O141" s="289">
        <f t="shared" si="34"/>
        <v>0</v>
      </c>
      <c r="P141" s="287"/>
      <c r="Q141" s="275"/>
      <c r="R141" s="276"/>
      <c r="S141" s="296">
        <v>0</v>
      </c>
      <c r="T141" s="275">
        <f t="shared" si="42"/>
        <v>0</v>
      </c>
      <c r="U141" s="276"/>
      <c r="V141" s="296">
        <v>0</v>
      </c>
      <c r="W141" s="275">
        <f t="shared" si="43"/>
        <v>0</v>
      </c>
      <c r="X141" s="276"/>
      <c r="Y141" s="296">
        <v>0</v>
      </c>
      <c r="Z141" s="275">
        <f t="shared" si="44"/>
        <v>0</v>
      </c>
      <c r="AA141" s="276"/>
      <c r="AB141" s="296">
        <v>0</v>
      </c>
      <c r="AC141" s="275">
        <f t="shared" si="45"/>
        <v>0</v>
      </c>
      <c r="AD141" s="275"/>
      <c r="AE141" s="275"/>
      <c r="AF141" s="275">
        <f t="shared" si="46"/>
        <v>0</v>
      </c>
      <c r="AG141" s="376" t="s">
        <v>365</v>
      </c>
      <c r="AH141" s="303"/>
      <c r="AI141" s="275"/>
      <c r="AJ141" s="275"/>
      <c r="AK141" s="305"/>
      <c r="AL141" s="306"/>
    </row>
    <row r="142" s="254" customFormat="1" ht="18" customHeight="1" spans="1:38">
      <c r="A142" s="270">
        <v>14</v>
      </c>
      <c r="B142" s="271" t="s">
        <v>366</v>
      </c>
      <c r="C142" s="271" t="s">
        <v>367</v>
      </c>
      <c r="D142" s="272">
        <f t="shared" si="39"/>
        <v>0</v>
      </c>
      <c r="E142" s="273"/>
      <c r="F142" s="297">
        <v>0.15</v>
      </c>
      <c r="G142" s="275">
        <f t="shared" si="40"/>
        <v>0</v>
      </c>
      <c r="H142" s="276"/>
      <c r="I142" s="287"/>
      <c r="J142" s="288"/>
      <c r="K142" s="276"/>
      <c r="L142" s="287"/>
      <c r="M142" s="288"/>
      <c r="N142" s="276"/>
      <c r="O142" s="289">
        <f t="shared" si="34"/>
        <v>0</v>
      </c>
      <c r="P142" s="287">
        <v>0.1</v>
      </c>
      <c r="Q142" s="275">
        <f t="shared" ref="Q142:Q148" si="49">O142*P142</f>
        <v>0</v>
      </c>
      <c r="R142" s="276"/>
      <c r="S142" s="296">
        <v>0.2</v>
      </c>
      <c r="T142" s="275">
        <f t="shared" si="42"/>
        <v>0</v>
      </c>
      <c r="U142" s="276"/>
      <c r="V142" s="296">
        <v>0.2</v>
      </c>
      <c r="W142" s="275">
        <f t="shared" si="43"/>
        <v>0</v>
      </c>
      <c r="X142" s="276"/>
      <c r="Y142" s="296">
        <v>0.2</v>
      </c>
      <c r="Z142" s="275">
        <f t="shared" si="44"/>
        <v>0</v>
      </c>
      <c r="AA142" s="276"/>
      <c r="AB142" s="296">
        <v>0.2</v>
      </c>
      <c r="AC142" s="275">
        <f t="shared" si="45"/>
        <v>0</v>
      </c>
      <c r="AD142" s="275"/>
      <c r="AE142" s="275"/>
      <c r="AF142" s="275">
        <f t="shared" si="46"/>
        <v>0</v>
      </c>
      <c r="AG142" s="376" t="s">
        <v>368</v>
      </c>
      <c r="AH142" s="303"/>
      <c r="AI142" s="275"/>
      <c r="AJ142" s="275"/>
      <c r="AK142" s="305"/>
      <c r="AL142" s="306"/>
    </row>
    <row r="143" s="254" customFormat="1" ht="18" customHeight="1" spans="1:38">
      <c r="A143" s="270">
        <v>20</v>
      </c>
      <c r="B143" s="271" t="s">
        <v>369</v>
      </c>
      <c r="C143" s="271" t="s">
        <v>370</v>
      </c>
      <c r="D143" s="272">
        <f t="shared" si="39"/>
        <v>0</v>
      </c>
      <c r="E143" s="273"/>
      <c r="F143" s="297">
        <v>0.15</v>
      </c>
      <c r="G143" s="275">
        <f t="shared" si="40"/>
        <v>0</v>
      </c>
      <c r="H143" s="276"/>
      <c r="I143" s="287"/>
      <c r="J143" s="288"/>
      <c r="K143" s="276"/>
      <c r="L143" s="287"/>
      <c r="M143" s="288"/>
      <c r="N143" s="276"/>
      <c r="O143" s="289">
        <f t="shared" si="34"/>
        <v>0</v>
      </c>
      <c r="P143" s="287">
        <v>0.1</v>
      </c>
      <c r="Q143" s="275">
        <f t="shared" si="49"/>
        <v>0</v>
      </c>
      <c r="R143" s="276"/>
      <c r="S143" s="296">
        <v>0.2</v>
      </c>
      <c r="T143" s="275">
        <f t="shared" si="42"/>
        <v>0</v>
      </c>
      <c r="U143" s="276"/>
      <c r="V143" s="296">
        <v>0.2</v>
      </c>
      <c r="W143" s="275">
        <f t="shared" si="43"/>
        <v>0</v>
      </c>
      <c r="X143" s="276"/>
      <c r="Y143" s="296">
        <v>0.2</v>
      </c>
      <c r="Z143" s="275">
        <f t="shared" si="44"/>
        <v>0</v>
      </c>
      <c r="AA143" s="276"/>
      <c r="AB143" s="296">
        <v>0.2</v>
      </c>
      <c r="AC143" s="275">
        <f t="shared" si="45"/>
        <v>0</v>
      </c>
      <c r="AD143" s="275"/>
      <c r="AE143" s="275"/>
      <c r="AF143" s="275">
        <f t="shared" si="46"/>
        <v>0</v>
      </c>
      <c r="AG143" s="376" t="s">
        <v>371</v>
      </c>
      <c r="AH143" s="303"/>
      <c r="AI143" s="275"/>
      <c r="AJ143" s="275"/>
      <c r="AK143" s="305"/>
      <c r="AL143" s="306"/>
    </row>
    <row r="144" s="254" customFormat="1" ht="18" customHeight="1" spans="1:38">
      <c r="A144" s="270">
        <v>36</v>
      </c>
      <c r="B144" s="271" t="s">
        <v>372</v>
      </c>
      <c r="C144" s="271" t="s">
        <v>373</v>
      </c>
      <c r="D144" s="272">
        <f t="shared" si="39"/>
        <v>0</v>
      </c>
      <c r="E144" s="273"/>
      <c r="F144" s="297">
        <v>0</v>
      </c>
      <c r="G144" s="275">
        <f t="shared" si="40"/>
        <v>0</v>
      </c>
      <c r="H144" s="276"/>
      <c r="I144" s="287"/>
      <c r="J144" s="288"/>
      <c r="K144" s="276"/>
      <c r="L144" s="287"/>
      <c r="M144" s="288"/>
      <c r="N144" s="276"/>
      <c r="O144" s="289">
        <f t="shared" si="34"/>
        <v>0</v>
      </c>
      <c r="P144" s="287">
        <v>0.1</v>
      </c>
      <c r="Q144" s="275">
        <f t="shared" si="49"/>
        <v>0</v>
      </c>
      <c r="R144" s="276"/>
      <c r="S144" s="296">
        <v>0.2</v>
      </c>
      <c r="T144" s="275">
        <f t="shared" si="42"/>
        <v>0</v>
      </c>
      <c r="U144" s="276"/>
      <c r="V144" s="296">
        <v>0.2</v>
      </c>
      <c r="W144" s="275">
        <f t="shared" si="43"/>
        <v>0</v>
      </c>
      <c r="X144" s="276"/>
      <c r="Y144" s="296">
        <v>0.2</v>
      </c>
      <c r="Z144" s="275">
        <f t="shared" si="44"/>
        <v>0</v>
      </c>
      <c r="AA144" s="276"/>
      <c r="AB144" s="296">
        <v>0.2</v>
      </c>
      <c r="AC144" s="275">
        <f t="shared" si="45"/>
        <v>0</v>
      </c>
      <c r="AD144" s="275"/>
      <c r="AE144" s="275"/>
      <c r="AF144" s="275">
        <f t="shared" si="46"/>
        <v>0</v>
      </c>
      <c r="AG144" s="376" t="s">
        <v>374</v>
      </c>
      <c r="AH144" s="303"/>
      <c r="AI144" s="275"/>
      <c r="AJ144" s="275"/>
      <c r="AK144" s="305"/>
      <c r="AL144" s="306"/>
    </row>
    <row r="145" s="254" customFormat="1" ht="18" customHeight="1" spans="1:38">
      <c r="A145" s="270">
        <v>28</v>
      </c>
      <c r="B145" s="271" t="s">
        <v>375</v>
      </c>
      <c r="C145" s="271" t="s">
        <v>376</v>
      </c>
      <c r="D145" s="272">
        <f t="shared" si="39"/>
        <v>0</v>
      </c>
      <c r="E145" s="273"/>
      <c r="F145" s="297">
        <v>0.15</v>
      </c>
      <c r="G145" s="275">
        <f t="shared" si="40"/>
        <v>0</v>
      </c>
      <c r="H145" s="276"/>
      <c r="I145" s="287"/>
      <c r="J145" s="288"/>
      <c r="K145" s="276"/>
      <c r="L145" s="287"/>
      <c r="M145" s="288"/>
      <c r="N145" s="276"/>
      <c r="O145" s="289">
        <f t="shared" si="34"/>
        <v>0</v>
      </c>
      <c r="P145" s="287">
        <v>0.1</v>
      </c>
      <c r="Q145" s="275">
        <f t="shared" si="49"/>
        <v>0</v>
      </c>
      <c r="R145" s="276"/>
      <c r="S145" s="296">
        <v>0.2</v>
      </c>
      <c r="T145" s="275">
        <f t="shared" si="42"/>
        <v>0</v>
      </c>
      <c r="U145" s="276"/>
      <c r="V145" s="296">
        <v>0.2</v>
      </c>
      <c r="W145" s="275">
        <f t="shared" si="43"/>
        <v>0</v>
      </c>
      <c r="X145" s="276"/>
      <c r="Y145" s="296">
        <v>0.2</v>
      </c>
      <c r="Z145" s="275">
        <f t="shared" si="44"/>
        <v>0</v>
      </c>
      <c r="AA145" s="276"/>
      <c r="AB145" s="296">
        <v>0.2</v>
      </c>
      <c r="AC145" s="275">
        <f t="shared" si="45"/>
        <v>0</v>
      </c>
      <c r="AD145" s="275"/>
      <c r="AE145" s="275"/>
      <c r="AF145" s="275">
        <f t="shared" si="46"/>
        <v>0</v>
      </c>
      <c r="AG145" s="303" t="s">
        <v>377</v>
      </c>
      <c r="AH145" s="303"/>
      <c r="AI145" s="275"/>
      <c r="AJ145" s="275"/>
      <c r="AK145" s="305"/>
      <c r="AL145" s="306"/>
    </row>
    <row r="146" s="254" customFormat="1" ht="18" customHeight="1" spans="1:38">
      <c r="A146" s="270">
        <v>32</v>
      </c>
      <c r="B146" s="271" t="s">
        <v>378</v>
      </c>
      <c r="C146" s="271" t="s">
        <v>379</v>
      </c>
      <c r="D146" s="272">
        <f t="shared" si="39"/>
        <v>0</v>
      </c>
      <c r="E146" s="273"/>
      <c r="F146" s="297">
        <v>0.15</v>
      </c>
      <c r="G146" s="275">
        <f t="shared" si="40"/>
        <v>0</v>
      </c>
      <c r="H146" s="276"/>
      <c r="I146" s="287"/>
      <c r="J146" s="288">
        <f>ROUND(H146*I146,)</f>
        <v>0</v>
      </c>
      <c r="K146" s="276"/>
      <c r="L146" s="287"/>
      <c r="M146" s="288">
        <f>ROUND(K146*L146,)</f>
        <v>0</v>
      </c>
      <c r="N146" s="276"/>
      <c r="O146" s="289">
        <f t="shared" si="34"/>
        <v>0</v>
      </c>
      <c r="P146" s="287">
        <v>0.1</v>
      </c>
      <c r="Q146" s="275">
        <f t="shared" si="49"/>
        <v>0</v>
      </c>
      <c r="R146" s="276"/>
      <c r="S146" s="296">
        <v>0.2</v>
      </c>
      <c r="T146" s="275">
        <f t="shared" si="42"/>
        <v>0</v>
      </c>
      <c r="U146" s="276"/>
      <c r="V146" s="296">
        <v>0.2</v>
      </c>
      <c r="W146" s="275">
        <f t="shared" si="43"/>
        <v>0</v>
      </c>
      <c r="X146" s="276"/>
      <c r="Y146" s="296">
        <v>0.2</v>
      </c>
      <c r="Z146" s="275">
        <f t="shared" si="44"/>
        <v>0</v>
      </c>
      <c r="AA146" s="276"/>
      <c r="AB146" s="296">
        <v>0.2</v>
      </c>
      <c r="AC146" s="275">
        <f t="shared" si="45"/>
        <v>0</v>
      </c>
      <c r="AD146" s="275"/>
      <c r="AE146" s="275"/>
      <c r="AF146" s="275">
        <f t="shared" si="46"/>
        <v>0</v>
      </c>
      <c r="AG146" s="303" t="s">
        <v>380</v>
      </c>
      <c r="AH146" s="303"/>
      <c r="AI146" s="275"/>
      <c r="AJ146" s="275"/>
      <c r="AK146" s="305"/>
      <c r="AL146" s="306"/>
    </row>
    <row r="147" s="254" customFormat="1" ht="18" customHeight="1" spans="1:38">
      <c r="A147" s="270">
        <v>40</v>
      </c>
      <c r="B147" s="271" t="s">
        <v>381</v>
      </c>
      <c r="C147" s="271" t="s">
        <v>381</v>
      </c>
      <c r="D147" s="272">
        <f t="shared" si="39"/>
        <v>0</v>
      </c>
      <c r="E147" s="273"/>
      <c r="F147" s="297">
        <v>0.2</v>
      </c>
      <c r="G147" s="275">
        <f t="shared" si="40"/>
        <v>0</v>
      </c>
      <c r="H147" s="276"/>
      <c r="I147" s="287">
        <v>0.1</v>
      </c>
      <c r="J147" s="288">
        <f>ROUND(H147*I147,)</f>
        <v>0</v>
      </c>
      <c r="K147" s="276"/>
      <c r="L147" s="287">
        <v>0.1</v>
      </c>
      <c r="M147" s="288">
        <f>ROUND(K147*L147,)</f>
        <v>0</v>
      </c>
      <c r="N147" s="276"/>
      <c r="O147" s="289">
        <f t="shared" si="34"/>
        <v>0</v>
      </c>
      <c r="P147" s="287">
        <v>0.1</v>
      </c>
      <c r="Q147" s="275">
        <f t="shared" si="49"/>
        <v>0</v>
      </c>
      <c r="R147" s="276"/>
      <c r="S147" s="296">
        <v>0.2</v>
      </c>
      <c r="T147" s="275">
        <f t="shared" si="42"/>
        <v>0</v>
      </c>
      <c r="U147" s="276"/>
      <c r="V147" s="296">
        <v>0.2</v>
      </c>
      <c r="W147" s="275">
        <f t="shared" si="43"/>
        <v>0</v>
      </c>
      <c r="X147" s="276"/>
      <c r="Y147" s="296">
        <v>0.2</v>
      </c>
      <c r="Z147" s="275">
        <f t="shared" si="44"/>
        <v>0</v>
      </c>
      <c r="AA147" s="276"/>
      <c r="AB147" s="296">
        <v>0.2</v>
      </c>
      <c r="AC147" s="275">
        <f t="shared" si="45"/>
        <v>0</v>
      </c>
      <c r="AD147" s="275"/>
      <c r="AE147" s="275"/>
      <c r="AF147" s="275">
        <f t="shared" si="46"/>
        <v>0</v>
      </c>
      <c r="AG147" s="303" t="s">
        <v>382</v>
      </c>
      <c r="AH147" s="303"/>
      <c r="AI147" s="275"/>
      <c r="AJ147" s="275"/>
      <c r="AK147" s="305"/>
      <c r="AL147" s="306"/>
    </row>
    <row r="148" s="254" customFormat="1" ht="18" customHeight="1" spans="1:38">
      <c r="A148" s="270">
        <v>40</v>
      </c>
      <c r="B148" s="271" t="s">
        <v>383</v>
      </c>
      <c r="C148" s="271" t="s">
        <v>384</v>
      </c>
      <c r="D148" s="272">
        <f t="shared" si="39"/>
        <v>0</v>
      </c>
      <c r="E148" s="273"/>
      <c r="F148" s="297">
        <v>0.18</v>
      </c>
      <c r="G148" s="275">
        <f t="shared" si="40"/>
        <v>0</v>
      </c>
      <c r="H148" s="276"/>
      <c r="I148" s="287"/>
      <c r="J148" s="288"/>
      <c r="K148" s="276"/>
      <c r="L148" s="287"/>
      <c r="M148" s="288"/>
      <c r="N148" s="276"/>
      <c r="O148" s="289">
        <f t="shared" si="34"/>
        <v>0</v>
      </c>
      <c r="P148" s="287">
        <v>0.1</v>
      </c>
      <c r="Q148" s="275">
        <f t="shared" si="49"/>
        <v>0</v>
      </c>
      <c r="R148" s="276"/>
      <c r="S148" s="296">
        <v>0.2</v>
      </c>
      <c r="T148" s="275">
        <f t="shared" si="42"/>
        <v>0</v>
      </c>
      <c r="U148" s="276"/>
      <c r="V148" s="296">
        <v>0.2</v>
      </c>
      <c r="W148" s="275">
        <f t="shared" si="43"/>
        <v>0</v>
      </c>
      <c r="X148" s="276"/>
      <c r="Y148" s="296">
        <v>0.2</v>
      </c>
      <c r="Z148" s="275">
        <f t="shared" si="44"/>
        <v>0</v>
      </c>
      <c r="AA148" s="276"/>
      <c r="AB148" s="296">
        <v>0.2</v>
      </c>
      <c r="AC148" s="275">
        <f t="shared" si="45"/>
        <v>0</v>
      </c>
      <c r="AD148" s="275"/>
      <c r="AE148" s="275"/>
      <c r="AF148" s="275">
        <f t="shared" si="46"/>
        <v>0</v>
      </c>
      <c r="AG148" s="376" t="s">
        <v>385</v>
      </c>
      <c r="AH148" s="303"/>
      <c r="AI148" s="275"/>
      <c r="AJ148" s="275"/>
      <c r="AK148" s="305"/>
      <c r="AL148" s="306"/>
    </row>
    <row r="149" s="254" customFormat="1" ht="18" customHeight="1" spans="1:38">
      <c r="A149" s="270">
        <v>43</v>
      </c>
      <c r="B149" s="271" t="s">
        <v>314</v>
      </c>
      <c r="C149" s="271" t="s">
        <v>315</v>
      </c>
      <c r="D149" s="272">
        <f t="shared" si="39"/>
        <v>0</v>
      </c>
      <c r="E149" s="273"/>
      <c r="F149" s="297">
        <v>0.15</v>
      </c>
      <c r="G149" s="275">
        <f t="shared" si="40"/>
        <v>0</v>
      </c>
      <c r="H149" s="276"/>
      <c r="I149" s="287"/>
      <c r="J149" s="288"/>
      <c r="K149" s="276"/>
      <c r="L149" s="287"/>
      <c r="M149" s="288"/>
      <c r="N149" s="276"/>
      <c r="O149" s="289">
        <f t="shared" si="34"/>
        <v>0</v>
      </c>
      <c r="P149" s="287"/>
      <c r="Q149" s="275"/>
      <c r="R149" s="276"/>
      <c r="S149" s="296">
        <v>0.2</v>
      </c>
      <c r="T149" s="275">
        <f t="shared" si="42"/>
        <v>0</v>
      </c>
      <c r="U149" s="276"/>
      <c r="V149" s="296">
        <v>0.2</v>
      </c>
      <c r="W149" s="275">
        <f t="shared" si="43"/>
        <v>0</v>
      </c>
      <c r="X149" s="276"/>
      <c r="Y149" s="296">
        <v>0.2</v>
      </c>
      <c r="Z149" s="275">
        <f t="shared" si="44"/>
        <v>0</v>
      </c>
      <c r="AA149" s="276"/>
      <c r="AB149" s="296">
        <v>0.2</v>
      </c>
      <c r="AC149" s="275">
        <f t="shared" si="45"/>
        <v>0</v>
      </c>
      <c r="AD149" s="275"/>
      <c r="AE149" s="275"/>
      <c r="AF149" s="275">
        <f t="shared" si="46"/>
        <v>0</v>
      </c>
      <c r="AG149" s="303" t="s">
        <v>316</v>
      </c>
      <c r="AH149" s="303"/>
      <c r="AI149" s="275"/>
      <c r="AJ149" s="275"/>
      <c r="AK149" s="305"/>
      <c r="AL149" s="306"/>
    </row>
    <row r="150" s="254" customFormat="1" ht="18" customHeight="1" spans="1:38">
      <c r="A150" s="270">
        <v>47</v>
      </c>
      <c r="B150" s="271" t="s">
        <v>386</v>
      </c>
      <c r="C150" s="271" t="s">
        <v>387</v>
      </c>
      <c r="D150" s="272">
        <f t="shared" si="39"/>
        <v>0</v>
      </c>
      <c r="E150" s="273"/>
      <c r="F150" s="297">
        <v>0</v>
      </c>
      <c r="G150" s="275">
        <f t="shared" si="40"/>
        <v>0</v>
      </c>
      <c r="H150" s="276"/>
      <c r="I150" s="287"/>
      <c r="J150" s="288"/>
      <c r="K150" s="276"/>
      <c r="L150" s="287"/>
      <c r="M150" s="288"/>
      <c r="N150" s="276"/>
      <c r="O150" s="289">
        <f t="shared" si="34"/>
        <v>0</v>
      </c>
      <c r="P150" s="287">
        <v>0.1</v>
      </c>
      <c r="Q150" s="275">
        <f t="shared" ref="Q150:Q153" si="50">O150*P150</f>
        <v>0</v>
      </c>
      <c r="R150" s="276"/>
      <c r="S150" s="296">
        <v>0.2</v>
      </c>
      <c r="T150" s="275">
        <f t="shared" si="42"/>
        <v>0</v>
      </c>
      <c r="U150" s="276"/>
      <c r="V150" s="296">
        <v>0.2</v>
      </c>
      <c r="W150" s="275">
        <f t="shared" si="43"/>
        <v>0</v>
      </c>
      <c r="X150" s="276"/>
      <c r="Y150" s="296">
        <v>0.2</v>
      </c>
      <c r="Z150" s="275">
        <f t="shared" si="44"/>
        <v>0</v>
      </c>
      <c r="AA150" s="276"/>
      <c r="AB150" s="296">
        <v>0.2</v>
      </c>
      <c r="AC150" s="275">
        <f t="shared" si="45"/>
        <v>0</v>
      </c>
      <c r="AD150" s="275"/>
      <c r="AE150" s="275"/>
      <c r="AF150" s="275">
        <f t="shared" si="46"/>
        <v>0</v>
      </c>
      <c r="AG150" s="376" t="s">
        <v>388</v>
      </c>
      <c r="AH150" s="303"/>
      <c r="AI150" s="275"/>
      <c r="AJ150" s="275"/>
      <c r="AK150" s="305"/>
      <c r="AL150" s="306"/>
    </row>
    <row r="151" s="254" customFormat="1" ht="18" customHeight="1" spans="1:38">
      <c r="A151" s="270">
        <v>49</v>
      </c>
      <c r="B151" s="271" t="s">
        <v>389</v>
      </c>
      <c r="C151" s="271" t="s">
        <v>390</v>
      </c>
      <c r="D151" s="272">
        <f t="shared" si="39"/>
        <v>0</v>
      </c>
      <c r="E151" s="273"/>
      <c r="F151" s="297">
        <v>0.15</v>
      </c>
      <c r="G151" s="275">
        <f t="shared" si="40"/>
        <v>0</v>
      </c>
      <c r="H151" s="276"/>
      <c r="I151" s="287"/>
      <c r="J151" s="288"/>
      <c r="K151" s="276"/>
      <c r="L151" s="287"/>
      <c r="M151" s="288"/>
      <c r="N151" s="276"/>
      <c r="O151" s="289">
        <f t="shared" si="34"/>
        <v>0</v>
      </c>
      <c r="P151" s="287">
        <v>0.1</v>
      </c>
      <c r="Q151" s="275">
        <f t="shared" si="50"/>
        <v>0</v>
      </c>
      <c r="R151" s="276"/>
      <c r="S151" s="296">
        <v>0.2</v>
      </c>
      <c r="T151" s="275">
        <f t="shared" si="42"/>
        <v>0</v>
      </c>
      <c r="U151" s="276"/>
      <c r="V151" s="296">
        <v>0.2</v>
      </c>
      <c r="W151" s="275">
        <f t="shared" si="43"/>
        <v>0</v>
      </c>
      <c r="X151" s="276"/>
      <c r="Y151" s="296">
        <v>0.2</v>
      </c>
      <c r="Z151" s="275">
        <f t="shared" si="44"/>
        <v>0</v>
      </c>
      <c r="AA151" s="276"/>
      <c r="AB151" s="296">
        <v>0.2</v>
      </c>
      <c r="AC151" s="275">
        <f t="shared" si="45"/>
        <v>0</v>
      </c>
      <c r="AD151" s="275"/>
      <c r="AE151" s="275"/>
      <c r="AF151" s="275">
        <f t="shared" si="46"/>
        <v>0</v>
      </c>
      <c r="AG151" s="376" t="s">
        <v>391</v>
      </c>
      <c r="AH151" s="303"/>
      <c r="AI151" s="275"/>
      <c r="AJ151" s="275"/>
      <c r="AK151" s="305"/>
      <c r="AL151" s="306"/>
    </row>
    <row r="152" s="254" customFormat="1" ht="18" customHeight="1" spans="1:38">
      <c r="A152" s="270">
        <v>50</v>
      </c>
      <c r="B152" s="271" t="s">
        <v>392</v>
      </c>
      <c r="C152" s="271" t="s">
        <v>392</v>
      </c>
      <c r="D152" s="272">
        <f t="shared" si="39"/>
        <v>0</v>
      </c>
      <c r="E152" s="273"/>
      <c r="F152" s="297">
        <v>0.15</v>
      </c>
      <c r="G152" s="275">
        <f t="shared" si="40"/>
        <v>0</v>
      </c>
      <c r="H152" s="276"/>
      <c r="I152" s="287"/>
      <c r="J152" s="288"/>
      <c r="K152" s="276"/>
      <c r="L152" s="287"/>
      <c r="M152" s="288"/>
      <c r="N152" s="276"/>
      <c r="O152" s="289"/>
      <c r="P152" s="287"/>
      <c r="Q152" s="275"/>
      <c r="R152" s="276"/>
      <c r="S152" s="296">
        <v>0.2</v>
      </c>
      <c r="T152" s="275">
        <f t="shared" si="42"/>
        <v>0</v>
      </c>
      <c r="U152" s="276"/>
      <c r="V152" s="296">
        <v>0.2</v>
      </c>
      <c r="W152" s="275">
        <f t="shared" si="43"/>
        <v>0</v>
      </c>
      <c r="X152" s="276"/>
      <c r="Y152" s="296">
        <v>0.2</v>
      </c>
      <c r="Z152" s="275">
        <f t="shared" si="44"/>
        <v>0</v>
      </c>
      <c r="AA152" s="276"/>
      <c r="AB152" s="296">
        <v>0.2</v>
      </c>
      <c r="AC152" s="275">
        <f t="shared" si="45"/>
        <v>0</v>
      </c>
      <c r="AD152" s="275"/>
      <c r="AE152" s="275"/>
      <c r="AF152" s="275">
        <f t="shared" si="46"/>
        <v>0</v>
      </c>
      <c r="AG152" s="303" t="s">
        <v>393</v>
      </c>
      <c r="AH152" s="303"/>
      <c r="AI152" s="275"/>
      <c r="AJ152" s="275"/>
      <c r="AK152" s="305"/>
      <c r="AL152" s="306"/>
    </row>
    <row r="153" s="254" customFormat="1" ht="18" customHeight="1" spans="1:38">
      <c r="A153" s="270">
        <v>20</v>
      </c>
      <c r="B153" s="271" t="s">
        <v>394</v>
      </c>
      <c r="C153" s="271" t="s">
        <v>395</v>
      </c>
      <c r="D153" s="272">
        <f t="shared" si="39"/>
        <v>0</v>
      </c>
      <c r="E153" s="273"/>
      <c r="F153" s="297">
        <v>0.15</v>
      </c>
      <c r="G153" s="275">
        <f t="shared" si="40"/>
        <v>0</v>
      </c>
      <c r="H153" s="276"/>
      <c r="I153" s="287"/>
      <c r="J153" s="288"/>
      <c r="K153" s="276"/>
      <c r="L153" s="287"/>
      <c r="M153" s="288"/>
      <c r="N153" s="276"/>
      <c r="O153" s="289">
        <f t="shared" ref="O153:O179" si="51">N153*0.83</f>
        <v>0</v>
      </c>
      <c r="P153" s="287">
        <v>0.1</v>
      </c>
      <c r="Q153" s="275">
        <f t="shared" si="50"/>
        <v>0</v>
      </c>
      <c r="R153" s="276"/>
      <c r="S153" s="296">
        <v>0.2</v>
      </c>
      <c r="T153" s="275">
        <f t="shared" si="42"/>
        <v>0</v>
      </c>
      <c r="U153" s="276"/>
      <c r="V153" s="296">
        <v>0.2</v>
      </c>
      <c r="W153" s="275">
        <f t="shared" si="43"/>
        <v>0</v>
      </c>
      <c r="X153" s="276"/>
      <c r="Y153" s="296">
        <v>0.2</v>
      </c>
      <c r="Z153" s="275">
        <f t="shared" si="44"/>
        <v>0</v>
      </c>
      <c r="AA153" s="276"/>
      <c r="AB153" s="296">
        <v>0.2</v>
      </c>
      <c r="AC153" s="275">
        <f t="shared" si="45"/>
        <v>0</v>
      </c>
      <c r="AD153" s="275"/>
      <c r="AE153" s="275"/>
      <c r="AF153" s="275">
        <f t="shared" si="46"/>
        <v>0</v>
      </c>
      <c r="AG153" s="303" t="s">
        <v>396</v>
      </c>
      <c r="AH153" s="303"/>
      <c r="AI153" s="275"/>
      <c r="AJ153" s="275"/>
      <c r="AK153" s="305"/>
      <c r="AL153" s="306"/>
    </row>
    <row r="154" s="254" customFormat="1" ht="18" customHeight="1" spans="1:38">
      <c r="A154" s="270">
        <v>43</v>
      </c>
      <c r="B154" s="280" t="s">
        <v>397</v>
      </c>
      <c r="C154" s="280" t="s">
        <v>397</v>
      </c>
      <c r="D154" s="272">
        <f t="shared" si="39"/>
        <v>0</v>
      </c>
      <c r="E154" s="281"/>
      <c r="F154" s="297">
        <v>0.2</v>
      </c>
      <c r="G154" s="275">
        <f t="shared" si="40"/>
        <v>0</v>
      </c>
      <c r="H154" s="276"/>
      <c r="I154" s="287"/>
      <c r="J154" s="288"/>
      <c r="K154" s="276"/>
      <c r="L154" s="287"/>
      <c r="M154" s="288"/>
      <c r="N154" s="327"/>
      <c r="O154" s="289"/>
      <c r="P154" s="287"/>
      <c r="Q154" s="275"/>
      <c r="R154" s="281"/>
      <c r="S154" s="296">
        <v>0.2</v>
      </c>
      <c r="T154" s="275">
        <f t="shared" si="42"/>
        <v>0</v>
      </c>
      <c r="U154" s="281"/>
      <c r="V154" s="296">
        <v>0.2</v>
      </c>
      <c r="W154" s="275">
        <f t="shared" si="43"/>
        <v>0</v>
      </c>
      <c r="X154" s="281"/>
      <c r="Y154" s="296">
        <v>0.2</v>
      </c>
      <c r="Z154" s="275">
        <f t="shared" si="44"/>
        <v>0</v>
      </c>
      <c r="AA154" s="281"/>
      <c r="AB154" s="296">
        <v>0.2</v>
      </c>
      <c r="AC154" s="275">
        <f t="shared" si="45"/>
        <v>0</v>
      </c>
      <c r="AD154" s="299"/>
      <c r="AE154" s="299"/>
      <c r="AF154" s="275">
        <f t="shared" si="46"/>
        <v>0</v>
      </c>
      <c r="AG154" s="378" t="s">
        <v>398</v>
      </c>
      <c r="AH154" s="329"/>
      <c r="AI154" s="275"/>
      <c r="AJ154" s="275"/>
      <c r="AK154" s="314"/>
      <c r="AL154" s="306"/>
    </row>
    <row r="155" s="254" customFormat="1" ht="18" customHeight="1" spans="1:38">
      <c r="A155" s="270">
        <v>2</v>
      </c>
      <c r="B155" s="271" t="s">
        <v>399</v>
      </c>
      <c r="C155" s="278" t="s">
        <v>400</v>
      </c>
      <c r="D155" s="272">
        <f t="shared" si="39"/>
        <v>0</v>
      </c>
      <c r="E155" s="291"/>
      <c r="F155" s="297">
        <v>0.18</v>
      </c>
      <c r="G155" s="275">
        <f t="shared" si="40"/>
        <v>0</v>
      </c>
      <c r="H155" s="276"/>
      <c r="I155" s="287"/>
      <c r="J155" s="288">
        <f t="shared" ref="J155:J160" si="52">ROUND(H155*I155,)</f>
        <v>0</v>
      </c>
      <c r="K155" s="276"/>
      <c r="L155" s="287"/>
      <c r="M155" s="288">
        <f t="shared" ref="M155:M160" si="53">ROUND(K155*L155,)</f>
        <v>0</v>
      </c>
      <c r="N155" s="276"/>
      <c r="O155" s="289">
        <f t="shared" si="51"/>
        <v>0</v>
      </c>
      <c r="P155" s="287">
        <v>0.1</v>
      </c>
      <c r="Q155" s="275">
        <f t="shared" ref="Q155:Q157" si="54">O155*P155</f>
        <v>0</v>
      </c>
      <c r="R155" s="276"/>
      <c r="S155" s="296">
        <v>0.2</v>
      </c>
      <c r="T155" s="275">
        <f t="shared" si="42"/>
        <v>0</v>
      </c>
      <c r="U155" s="276"/>
      <c r="V155" s="296">
        <v>0.2</v>
      </c>
      <c r="W155" s="275">
        <f t="shared" si="43"/>
        <v>0</v>
      </c>
      <c r="X155" s="276"/>
      <c r="Y155" s="296">
        <v>0.2</v>
      </c>
      <c r="Z155" s="275">
        <f t="shared" si="44"/>
        <v>0</v>
      </c>
      <c r="AA155" s="276"/>
      <c r="AB155" s="296">
        <v>0.2</v>
      </c>
      <c r="AC155" s="275">
        <f t="shared" si="45"/>
        <v>0</v>
      </c>
      <c r="AD155" s="275"/>
      <c r="AE155" s="275"/>
      <c r="AF155" s="275">
        <f t="shared" si="46"/>
        <v>0</v>
      </c>
      <c r="AG155" s="307" t="s">
        <v>401</v>
      </c>
      <c r="AH155" s="303"/>
      <c r="AI155" s="275"/>
      <c r="AJ155" s="275"/>
      <c r="AK155" s="314"/>
      <c r="AL155" s="306"/>
    </row>
    <row r="156" s="254" customFormat="1" ht="18" customHeight="1" spans="1:38">
      <c r="A156" s="270">
        <v>5</v>
      </c>
      <c r="B156" s="271" t="s">
        <v>402</v>
      </c>
      <c r="C156" s="278" t="s">
        <v>402</v>
      </c>
      <c r="D156" s="272">
        <f t="shared" si="39"/>
        <v>0</v>
      </c>
      <c r="E156" s="291"/>
      <c r="F156" s="297">
        <v>0.18</v>
      </c>
      <c r="G156" s="275">
        <f t="shared" si="40"/>
        <v>0</v>
      </c>
      <c r="H156" s="276"/>
      <c r="I156" s="287"/>
      <c r="J156" s="288">
        <f t="shared" si="52"/>
        <v>0</v>
      </c>
      <c r="K156" s="276"/>
      <c r="L156" s="287"/>
      <c r="M156" s="288">
        <f t="shared" si="53"/>
        <v>0</v>
      </c>
      <c r="N156" s="276"/>
      <c r="O156" s="289">
        <f t="shared" si="51"/>
        <v>0</v>
      </c>
      <c r="P156" s="287">
        <v>0.1</v>
      </c>
      <c r="Q156" s="275">
        <f t="shared" si="54"/>
        <v>0</v>
      </c>
      <c r="R156" s="276"/>
      <c r="S156" s="296">
        <v>0.2</v>
      </c>
      <c r="T156" s="275">
        <f t="shared" si="42"/>
        <v>0</v>
      </c>
      <c r="U156" s="276"/>
      <c r="V156" s="296">
        <v>0.2</v>
      </c>
      <c r="W156" s="275">
        <f t="shared" si="43"/>
        <v>0</v>
      </c>
      <c r="X156" s="276"/>
      <c r="Y156" s="296">
        <v>0.2</v>
      </c>
      <c r="Z156" s="275">
        <f t="shared" si="44"/>
        <v>0</v>
      </c>
      <c r="AA156" s="276"/>
      <c r="AB156" s="296">
        <v>0.2</v>
      </c>
      <c r="AC156" s="275">
        <f t="shared" si="45"/>
        <v>0</v>
      </c>
      <c r="AD156" s="275"/>
      <c r="AE156" s="275"/>
      <c r="AF156" s="275">
        <f t="shared" si="46"/>
        <v>0</v>
      </c>
      <c r="AG156" s="307" t="s">
        <v>403</v>
      </c>
      <c r="AH156" s="303"/>
      <c r="AI156" s="275"/>
      <c r="AJ156" s="275"/>
      <c r="AK156" s="305"/>
      <c r="AL156" s="306"/>
    </row>
    <row r="157" s="254" customFormat="1" ht="18" customHeight="1" spans="1:38">
      <c r="A157" s="270">
        <v>10</v>
      </c>
      <c r="B157" s="271" t="s">
        <v>404</v>
      </c>
      <c r="C157" s="278" t="s">
        <v>405</v>
      </c>
      <c r="D157" s="272">
        <f t="shared" si="39"/>
        <v>0</v>
      </c>
      <c r="E157" s="273"/>
      <c r="F157" s="297">
        <v>0.18</v>
      </c>
      <c r="G157" s="275">
        <f t="shared" si="40"/>
        <v>0</v>
      </c>
      <c r="H157" s="276"/>
      <c r="I157" s="287"/>
      <c r="J157" s="288">
        <v>0</v>
      </c>
      <c r="K157" s="276"/>
      <c r="L157" s="287"/>
      <c r="M157" s="288">
        <v>0</v>
      </c>
      <c r="N157" s="276"/>
      <c r="O157" s="289">
        <f t="shared" si="51"/>
        <v>0</v>
      </c>
      <c r="P157" s="287">
        <v>0.1</v>
      </c>
      <c r="Q157" s="275">
        <f t="shared" si="54"/>
        <v>0</v>
      </c>
      <c r="R157" s="276"/>
      <c r="S157" s="296">
        <v>0.2</v>
      </c>
      <c r="T157" s="275">
        <f t="shared" si="42"/>
        <v>0</v>
      </c>
      <c r="U157" s="276"/>
      <c r="V157" s="296">
        <v>0.2</v>
      </c>
      <c r="W157" s="275">
        <f t="shared" si="43"/>
        <v>0</v>
      </c>
      <c r="X157" s="276"/>
      <c r="Y157" s="296">
        <v>0.2</v>
      </c>
      <c r="Z157" s="275">
        <f t="shared" si="44"/>
        <v>0</v>
      </c>
      <c r="AA157" s="276"/>
      <c r="AB157" s="296">
        <v>0.2</v>
      </c>
      <c r="AC157" s="275">
        <f t="shared" si="45"/>
        <v>0</v>
      </c>
      <c r="AD157" s="275"/>
      <c r="AE157" s="275"/>
      <c r="AF157" s="275">
        <f t="shared" si="46"/>
        <v>0</v>
      </c>
      <c r="AG157" s="307" t="s">
        <v>406</v>
      </c>
      <c r="AH157" s="303"/>
      <c r="AI157" s="275"/>
      <c r="AJ157" s="275"/>
      <c r="AK157" s="314"/>
      <c r="AL157" s="306"/>
    </row>
    <row r="158" s="254" customFormat="1" ht="18" customHeight="1" spans="1:38">
      <c r="A158" s="270">
        <v>43</v>
      </c>
      <c r="B158" s="271" t="s">
        <v>407</v>
      </c>
      <c r="C158" s="15" t="s">
        <v>408</v>
      </c>
      <c r="D158" s="272">
        <f t="shared" si="39"/>
        <v>0</v>
      </c>
      <c r="E158" s="291"/>
      <c r="F158" s="297">
        <v>0</v>
      </c>
      <c r="G158" s="275">
        <f t="shared" si="40"/>
        <v>0</v>
      </c>
      <c r="H158" s="276"/>
      <c r="I158" s="287"/>
      <c r="J158" s="288"/>
      <c r="K158" s="276"/>
      <c r="L158" s="287"/>
      <c r="M158" s="288"/>
      <c r="N158" s="276"/>
      <c r="O158" s="289">
        <f t="shared" si="51"/>
        <v>0</v>
      </c>
      <c r="P158" s="287"/>
      <c r="Q158" s="275"/>
      <c r="R158" s="276"/>
      <c r="S158" s="296">
        <v>0.2</v>
      </c>
      <c r="T158" s="275"/>
      <c r="U158" s="276"/>
      <c r="V158" s="296">
        <v>0.2</v>
      </c>
      <c r="W158" s="275"/>
      <c r="X158" s="276"/>
      <c r="Y158" s="296">
        <v>0.2</v>
      </c>
      <c r="Z158" s="275"/>
      <c r="AA158" s="276"/>
      <c r="AB158" s="296">
        <v>0.2</v>
      </c>
      <c r="AC158" s="275"/>
      <c r="AD158" s="275"/>
      <c r="AE158" s="275"/>
      <c r="AF158" s="275">
        <f t="shared" si="46"/>
        <v>0</v>
      </c>
      <c r="AG158" s="379" t="s">
        <v>409</v>
      </c>
      <c r="AH158" s="331"/>
      <c r="AI158" s="275"/>
      <c r="AJ158" s="275"/>
      <c r="AK158" s="332"/>
      <c r="AL158" s="306"/>
    </row>
    <row r="159" s="254" customFormat="1" ht="18" customHeight="1" spans="1:38">
      <c r="A159" s="270">
        <v>44</v>
      </c>
      <c r="B159" s="271" t="s">
        <v>410</v>
      </c>
      <c r="C159" s="279" t="s">
        <v>411</v>
      </c>
      <c r="D159" s="272">
        <f t="shared" si="39"/>
        <v>0</v>
      </c>
      <c r="E159" s="273"/>
      <c r="F159" s="297">
        <v>0</v>
      </c>
      <c r="G159" s="275">
        <f t="shared" si="40"/>
        <v>0</v>
      </c>
      <c r="H159" s="276"/>
      <c r="I159" s="287"/>
      <c r="J159" s="288"/>
      <c r="K159" s="276"/>
      <c r="L159" s="287"/>
      <c r="M159" s="288"/>
      <c r="N159" s="276"/>
      <c r="O159" s="289">
        <f t="shared" si="51"/>
        <v>0</v>
      </c>
      <c r="P159" s="287"/>
      <c r="Q159" s="275">
        <f t="shared" ref="Q159:Q163" si="55">O159*P159</f>
        <v>0</v>
      </c>
      <c r="R159" s="276"/>
      <c r="S159" s="296">
        <v>0.2</v>
      </c>
      <c r="T159" s="275">
        <f t="shared" ref="T159:T210" si="56">R159*S159</f>
        <v>0</v>
      </c>
      <c r="U159" s="276"/>
      <c r="V159" s="296">
        <v>0.2</v>
      </c>
      <c r="W159" s="275">
        <f t="shared" ref="W159:W210" si="57">U159*V159</f>
        <v>0</v>
      </c>
      <c r="X159" s="276"/>
      <c r="Y159" s="296">
        <v>0.2</v>
      </c>
      <c r="Z159" s="275">
        <f t="shared" ref="Z159:Z210" si="58">X159*Y159</f>
        <v>0</v>
      </c>
      <c r="AA159" s="276"/>
      <c r="AB159" s="296">
        <v>0.2</v>
      </c>
      <c r="AC159" s="275">
        <f t="shared" ref="AC159:AC210" si="59">AA159*AB159</f>
        <v>0</v>
      </c>
      <c r="AD159" s="275"/>
      <c r="AE159" s="275"/>
      <c r="AF159" s="275">
        <f t="shared" si="46"/>
        <v>0</v>
      </c>
      <c r="AG159" s="333" t="s">
        <v>412</v>
      </c>
      <c r="AH159" s="333"/>
      <c r="AI159" s="275"/>
      <c r="AJ159" s="334"/>
      <c r="AK159" s="335"/>
      <c r="AL159" s="306"/>
    </row>
    <row r="160" s="254" customFormat="1" ht="18" customHeight="1" spans="1:38">
      <c r="A160" s="270">
        <v>29</v>
      </c>
      <c r="B160" s="271" t="s">
        <v>413</v>
      </c>
      <c r="C160" s="278" t="s">
        <v>414</v>
      </c>
      <c r="D160" s="272">
        <f t="shared" si="39"/>
        <v>0</v>
      </c>
      <c r="E160" s="273"/>
      <c r="F160" s="297">
        <v>0.15</v>
      </c>
      <c r="G160" s="275">
        <f t="shared" si="40"/>
        <v>0</v>
      </c>
      <c r="H160" s="276"/>
      <c r="I160" s="287"/>
      <c r="J160" s="288">
        <f t="shared" si="52"/>
        <v>0</v>
      </c>
      <c r="K160" s="276"/>
      <c r="L160" s="287"/>
      <c r="M160" s="288">
        <f t="shared" si="53"/>
        <v>0</v>
      </c>
      <c r="N160" s="276"/>
      <c r="O160" s="289">
        <f t="shared" si="51"/>
        <v>0</v>
      </c>
      <c r="P160" s="287">
        <v>0.1</v>
      </c>
      <c r="Q160" s="275">
        <f t="shared" si="55"/>
        <v>0</v>
      </c>
      <c r="R160" s="276"/>
      <c r="S160" s="296">
        <v>0.15</v>
      </c>
      <c r="T160" s="275">
        <f t="shared" si="56"/>
        <v>0</v>
      </c>
      <c r="U160" s="276"/>
      <c r="V160" s="296">
        <v>0.15</v>
      </c>
      <c r="W160" s="275">
        <f t="shared" si="57"/>
        <v>0</v>
      </c>
      <c r="X160" s="276"/>
      <c r="Y160" s="296">
        <v>0.15</v>
      </c>
      <c r="Z160" s="275">
        <f t="shared" si="58"/>
        <v>0</v>
      </c>
      <c r="AA160" s="276"/>
      <c r="AB160" s="296">
        <v>0.15</v>
      </c>
      <c r="AC160" s="275">
        <f t="shared" si="59"/>
        <v>0</v>
      </c>
      <c r="AD160" s="275"/>
      <c r="AE160" s="275"/>
      <c r="AF160" s="275">
        <f t="shared" si="46"/>
        <v>0</v>
      </c>
      <c r="AG160" s="307" t="s">
        <v>415</v>
      </c>
      <c r="AH160" s="303"/>
      <c r="AI160" s="275"/>
      <c r="AJ160" s="275"/>
      <c r="AK160" s="332"/>
      <c r="AL160" s="306"/>
    </row>
    <row r="161" s="254" customFormat="1" ht="18" customHeight="1" spans="1:38">
      <c r="A161" s="270">
        <v>39</v>
      </c>
      <c r="B161" s="271" t="s">
        <v>416</v>
      </c>
      <c r="C161" s="317" t="s">
        <v>417</v>
      </c>
      <c r="D161" s="272">
        <f t="shared" si="39"/>
        <v>0</v>
      </c>
      <c r="E161" s="291"/>
      <c r="F161" s="297">
        <v>0</v>
      </c>
      <c r="G161" s="275">
        <f t="shared" si="40"/>
        <v>0</v>
      </c>
      <c r="H161" s="276"/>
      <c r="I161" s="287"/>
      <c r="J161" s="288"/>
      <c r="K161" s="276"/>
      <c r="L161" s="287"/>
      <c r="M161" s="288"/>
      <c r="N161" s="276"/>
      <c r="O161" s="289">
        <f t="shared" si="51"/>
        <v>0</v>
      </c>
      <c r="P161" s="287"/>
      <c r="Q161" s="275">
        <f t="shared" si="55"/>
        <v>0</v>
      </c>
      <c r="R161" s="276"/>
      <c r="S161" s="297"/>
      <c r="T161" s="275">
        <f t="shared" si="56"/>
        <v>0</v>
      </c>
      <c r="U161" s="276"/>
      <c r="V161" s="297"/>
      <c r="W161" s="275">
        <f t="shared" si="57"/>
        <v>0</v>
      </c>
      <c r="X161" s="276"/>
      <c r="Y161" s="297"/>
      <c r="Z161" s="275">
        <f t="shared" si="58"/>
        <v>0</v>
      </c>
      <c r="AA161" s="276"/>
      <c r="AB161" s="297"/>
      <c r="AC161" s="275">
        <f t="shared" si="59"/>
        <v>0</v>
      </c>
      <c r="AD161" s="275"/>
      <c r="AE161" s="275"/>
      <c r="AF161" s="275">
        <f t="shared" si="46"/>
        <v>0</v>
      </c>
      <c r="AG161" s="377" t="s">
        <v>418</v>
      </c>
      <c r="AH161" s="313"/>
      <c r="AI161" s="275"/>
      <c r="AJ161" s="275"/>
      <c r="AK161" s="332"/>
      <c r="AL161" s="306"/>
    </row>
    <row r="162" s="254" customFormat="1" ht="18" customHeight="1" spans="1:38">
      <c r="A162" s="270">
        <v>3</v>
      </c>
      <c r="B162" s="271" t="s">
        <v>419</v>
      </c>
      <c r="C162" s="271" t="s">
        <v>420</v>
      </c>
      <c r="D162" s="272">
        <f t="shared" si="39"/>
        <v>0</v>
      </c>
      <c r="E162" s="291"/>
      <c r="F162" s="297">
        <v>0.18</v>
      </c>
      <c r="G162" s="275">
        <f t="shared" si="40"/>
        <v>0</v>
      </c>
      <c r="H162" s="318"/>
      <c r="I162" s="287"/>
      <c r="J162" s="288">
        <f>H162*I162</f>
        <v>0</v>
      </c>
      <c r="K162" s="318"/>
      <c r="L162" s="287"/>
      <c r="M162" s="288">
        <f>K162*L162</f>
        <v>0</v>
      </c>
      <c r="N162" s="318"/>
      <c r="O162" s="289">
        <f t="shared" si="51"/>
        <v>0</v>
      </c>
      <c r="P162" s="287"/>
      <c r="Q162" s="275">
        <f t="shared" si="55"/>
        <v>0</v>
      </c>
      <c r="R162" s="276"/>
      <c r="S162" s="296"/>
      <c r="T162" s="275">
        <f t="shared" si="56"/>
        <v>0</v>
      </c>
      <c r="U162" s="276"/>
      <c r="V162" s="296"/>
      <c r="W162" s="275">
        <f t="shared" si="57"/>
        <v>0</v>
      </c>
      <c r="X162" s="276"/>
      <c r="Y162" s="296"/>
      <c r="Z162" s="275">
        <f t="shared" si="58"/>
        <v>0</v>
      </c>
      <c r="AA162" s="276"/>
      <c r="AB162" s="296"/>
      <c r="AC162" s="275">
        <f t="shared" si="59"/>
        <v>0</v>
      </c>
      <c r="AD162" s="275"/>
      <c r="AE162" s="275"/>
      <c r="AF162" s="275">
        <f t="shared" si="46"/>
        <v>0</v>
      </c>
      <c r="AG162" s="379" t="s">
        <v>421</v>
      </c>
      <c r="AH162" s="331"/>
      <c r="AI162" s="275"/>
      <c r="AJ162" s="334"/>
      <c r="AK162" s="336"/>
      <c r="AL162" s="306"/>
    </row>
    <row r="163" s="254" customFormat="1" ht="18" customHeight="1" spans="1:38">
      <c r="A163" s="270">
        <v>14</v>
      </c>
      <c r="B163" s="319" t="s">
        <v>422</v>
      </c>
      <c r="C163" s="278" t="s">
        <v>423</v>
      </c>
      <c r="D163" s="272">
        <f t="shared" si="39"/>
        <v>0</v>
      </c>
      <c r="E163" s="273"/>
      <c r="F163" s="297">
        <v>0.18</v>
      </c>
      <c r="G163" s="275">
        <f t="shared" si="40"/>
        <v>0</v>
      </c>
      <c r="H163" s="276"/>
      <c r="I163" s="287"/>
      <c r="J163" s="288"/>
      <c r="K163" s="276"/>
      <c r="L163" s="287"/>
      <c r="M163" s="288"/>
      <c r="N163" s="276"/>
      <c r="O163" s="289">
        <f t="shared" si="51"/>
        <v>0</v>
      </c>
      <c r="P163" s="287">
        <v>0.1</v>
      </c>
      <c r="Q163" s="275">
        <f t="shared" si="55"/>
        <v>0</v>
      </c>
      <c r="R163" s="276"/>
      <c r="S163" s="297"/>
      <c r="T163" s="275">
        <f t="shared" si="56"/>
        <v>0</v>
      </c>
      <c r="U163" s="276"/>
      <c r="V163" s="297"/>
      <c r="W163" s="275">
        <f t="shared" si="57"/>
        <v>0</v>
      </c>
      <c r="X163" s="276"/>
      <c r="Y163" s="297"/>
      <c r="Z163" s="275">
        <f t="shared" si="58"/>
        <v>0</v>
      </c>
      <c r="AA163" s="276"/>
      <c r="AB163" s="297"/>
      <c r="AC163" s="275">
        <f t="shared" si="59"/>
        <v>0</v>
      </c>
      <c r="AD163" s="275"/>
      <c r="AE163" s="275"/>
      <c r="AF163" s="275">
        <f t="shared" si="46"/>
        <v>0</v>
      </c>
      <c r="AG163" s="303" t="s">
        <v>424</v>
      </c>
      <c r="AH163" s="303"/>
      <c r="AI163" s="275"/>
      <c r="AJ163" s="275"/>
      <c r="AK163" s="314"/>
      <c r="AL163" s="306"/>
    </row>
    <row r="164" s="254" customFormat="1" ht="18" customHeight="1" spans="1:38">
      <c r="A164" s="270">
        <v>44</v>
      </c>
      <c r="B164" s="271" t="s">
        <v>425</v>
      </c>
      <c r="C164" s="279" t="s">
        <v>426</v>
      </c>
      <c r="D164" s="272">
        <f t="shared" si="39"/>
        <v>0</v>
      </c>
      <c r="E164" s="273"/>
      <c r="F164" s="297">
        <v>0</v>
      </c>
      <c r="G164" s="275">
        <f t="shared" si="40"/>
        <v>0</v>
      </c>
      <c r="H164" s="276"/>
      <c r="I164" s="287"/>
      <c r="J164" s="288"/>
      <c r="K164" s="276"/>
      <c r="L164" s="287"/>
      <c r="M164" s="288"/>
      <c r="N164" s="276"/>
      <c r="O164" s="289">
        <f t="shared" si="51"/>
        <v>0</v>
      </c>
      <c r="P164" s="287"/>
      <c r="Q164" s="275"/>
      <c r="R164" s="276"/>
      <c r="S164" s="297"/>
      <c r="T164" s="275">
        <f t="shared" si="56"/>
        <v>0</v>
      </c>
      <c r="U164" s="276"/>
      <c r="V164" s="297"/>
      <c r="W164" s="275">
        <f t="shared" si="57"/>
        <v>0</v>
      </c>
      <c r="X164" s="276"/>
      <c r="Y164" s="297"/>
      <c r="Z164" s="275">
        <f t="shared" si="58"/>
        <v>0</v>
      </c>
      <c r="AA164" s="276"/>
      <c r="AB164" s="297"/>
      <c r="AC164" s="275">
        <f t="shared" si="59"/>
        <v>0</v>
      </c>
      <c r="AD164" s="275"/>
      <c r="AE164" s="275"/>
      <c r="AF164" s="275">
        <f t="shared" si="46"/>
        <v>0</v>
      </c>
      <c r="AG164" s="379" t="s">
        <v>427</v>
      </c>
      <c r="AH164" s="331"/>
      <c r="AI164" s="275"/>
      <c r="AJ164" s="275"/>
      <c r="AK164" s="305"/>
      <c r="AL164" s="306"/>
    </row>
    <row r="165" s="254" customFormat="1" ht="18" customHeight="1" spans="1:38">
      <c r="A165" s="270">
        <v>10</v>
      </c>
      <c r="B165" s="271" t="s">
        <v>428</v>
      </c>
      <c r="C165" s="279" t="s">
        <v>429</v>
      </c>
      <c r="D165" s="272">
        <f t="shared" si="39"/>
        <v>0</v>
      </c>
      <c r="E165" s="273"/>
      <c r="F165" s="297">
        <v>0.18</v>
      </c>
      <c r="G165" s="275">
        <f t="shared" si="40"/>
        <v>0</v>
      </c>
      <c r="H165" s="276"/>
      <c r="I165" s="287"/>
      <c r="J165" s="288"/>
      <c r="K165" s="276"/>
      <c r="L165" s="287"/>
      <c r="M165" s="288"/>
      <c r="N165" s="276"/>
      <c r="O165" s="289">
        <f t="shared" si="51"/>
        <v>0</v>
      </c>
      <c r="P165" s="287">
        <v>0.1</v>
      </c>
      <c r="Q165" s="275">
        <f t="shared" ref="Q165:Q183" si="60">O165*P165</f>
        <v>0</v>
      </c>
      <c r="R165" s="276"/>
      <c r="S165" s="297"/>
      <c r="T165" s="275">
        <f t="shared" si="56"/>
        <v>0</v>
      </c>
      <c r="U165" s="276"/>
      <c r="V165" s="297"/>
      <c r="W165" s="275">
        <f t="shared" si="57"/>
        <v>0</v>
      </c>
      <c r="X165" s="276"/>
      <c r="Y165" s="297"/>
      <c r="Z165" s="275">
        <f t="shared" si="58"/>
        <v>0</v>
      </c>
      <c r="AA165" s="276"/>
      <c r="AB165" s="297"/>
      <c r="AC165" s="275">
        <f t="shared" si="59"/>
        <v>0</v>
      </c>
      <c r="AD165" s="275"/>
      <c r="AE165" s="275"/>
      <c r="AF165" s="275">
        <f t="shared" si="46"/>
        <v>0</v>
      </c>
      <c r="AG165" s="379" t="s">
        <v>430</v>
      </c>
      <c r="AH165" s="331"/>
      <c r="AI165" s="275"/>
      <c r="AJ165" s="275"/>
      <c r="AK165" s="315"/>
      <c r="AL165" s="306"/>
    </row>
    <row r="166" s="254" customFormat="1" ht="18" customHeight="1" spans="1:38">
      <c r="A166" s="270">
        <v>24</v>
      </c>
      <c r="B166" s="271" t="s">
        <v>431</v>
      </c>
      <c r="C166" s="15" t="s">
        <v>432</v>
      </c>
      <c r="D166" s="272">
        <f t="shared" si="39"/>
        <v>0</v>
      </c>
      <c r="E166" s="291"/>
      <c r="F166" s="297">
        <v>0.15</v>
      </c>
      <c r="G166" s="275">
        <f t="shared" si="40"/>
        <v>0</v>
      </c>
      <c r="H166" s="276"/>
      <c r="I166" s="287"/>
      <c r="J166" s="288">
        <f t="shared" ref="J166:J169" si="61">ROUND(H166*I166,)</f>
        <v>0</v>
      </c>
      <c r="K166" s="276"/>
      <c r="L166" s="287"/>
      <c r="M166" s="288">
        <f t="shared" ref="M166:M169" si="62">ROUND(K166*L166,)</f>
        <v>0</v>
      </c>
      <c r="N166" s="276"/>
      <c r="O166" s="289">
        <f t="shared" si="51"/>
        <v>0</v>
      </c>
      <c r="P166" s="287">
        <v>0.1</v>
      </c>
      <c r="Q166" s="275">
        <f t="shared" si="60"/>
        <v>0</v>
      </c>
      <c r="R166" s="276"/>
      <c r="S166" s="297">
        <v>0.15</v>
      </c>
      <c r="T166" s="275">
        <f t="shared" si="56"/>
        <v>0</v>
      </c>
      <c r="U166" s="276"/>
      <c r="V166" s="297">
        <v>0.15</v>
      </c>
      <c r="W166" s="275">
        <f t="shared" si="57"/>
        <v>0</v>
      </c>
      <c r="X166" s="276"/>
      <c r="Y166" s="297">
        <v>0.15</v>
      </c>
      <c r="Z166" s="275">
        <f t="shared" si="58"/>
        <v>0</v>
      </c>
      <c r="AA166" s="276"/>
      <c r="AB166" s="297">
        <v>0.15</v>
      </c>
      <c r="AC166" s="275">
        <f t="shared" si="59"/>
        <v>0</v>
      </c>
      <c r="AD166" s="275"/>
      <c r="AE166" s="275"/>
      <c r="AF166" s="275">
        <f t="shared" si="46"/>
        <v>0</v>
      </c>
      <c r="AG166" s="307" t="s">
        <v>433</v>
      </c>
      <c r="AH166" s="303"/>
      <c r="AI166" s="275"/>
      <c r="AJ166" s="275"/>
      <c r="AK166" s="305"/>
      <c r="AL166" s="306"/>
    </row>
    <row r="167" s="254" customFormat="1" ht="18" customHeight="1" spans="1:38">
      <c r="A167" s="270">
        <v>40</v>
      </c>
      <c r="B167" s="271" t="s">
        <v>434</v>
      </c>
      <c r="C167" s="15" t="s">
        <v>435</v>
      </c>
      <c r="D167" s="272">
        <f t="shared" si="39"/>
        <v>0</v>
      </c>
      <c r="E167" s="291"/>
      <c r="F167" s="297">
        <v>0</v>
      </c>
      <c r="G167" s="275">
        <f t="shared" si="40"/>
        <v>0</v>
      </c>
      <c r="H167" s="276"/>
      <c r="I167" s="287"/>
      <c r="J167" s="288"/>
      <c r="K167" s="276"/>
      <c r="L167" s="287"/>
      <c r="M167" s="288"/>
      <c r="N167" s="276"/>
      <c r="O167" s="289">
        <f t="shared" si="51"/>
        <v>0</v>
      </c>
      <c r="P167" s="287"/>
      <c r="Q167" s="275">
        <f t="shared" si="60"/>
        <v>0</v>
      </c>
      <c r="R167" s="276"/>
      <c r="S167" s="297"/>
      <c r="T167" s="275">
        <f t="shared" si="56"/>
        <v>0</v>
      </c>
      <c r="U167" s="276"/>
      <c r="V167" s="297"/>
      <c r="W167" s="275">
        <f t="shared" si="57"/>
        <v>0</v>
      </c>
      <c r="X167" s="276"/>
      <c r="Y167" s="297"/>
      <c r="Z167" s="275">
        <f t="shared" si="58"/>
        <v>0</v>
      </c>
      <c r="AA167" s="276"/>
      <c r="AB167" s="297"/>
      <c r="AC167" s="275">
        <f t="shared" si="59"/>
        <v>0</v>
      </c>
      <c r="AD167" s="275"/>
      <c r="AE167" s="275"/>
      <c r="AF167" s="275">
        <f t="shared" si="46"/>
        <v>0</v>
      </c>
      <c r="AG167" s="377" t="s">
        <v>436</v>
      </c>
      <c r="AH167" s="313"/>
      <c r="AI167" s="275"/>
      <c r="AJ167" s="275"/>
      <c r="AK167" s="332"/>
      <c r="AL167" s="306"/>
    </row>
    <row r="168" s="254" customFormat="1" ht="18" customHeight="1" spans="1:38">
      <c r="A168" s="270">
        <v>42</v>
      </c>
      <c r="B168" s="280" t="s">
        <v>437</v>
      </c>
      <c r="C168" s="278" t="s">
        <v>438</v>
      </c>
      <c r="D168" s="272">
        <f t="shared" si="39"/>
        <v>0</v>
      </c>
      <c r="E168" s="320"/>
      <c r="F168" s="297">
        <v>0</v>
      </c>
      <c r="G168" s="275">
        <f t="shared" si="40"/>
        <v>0</v>
      </c>
      <c r="H168" s="276"/>
      <c r="I168" s="287"/>
      <c r="J168" s="288">
        <f t="shared" si="61"/>
        <v>0</v>
      </c>
      <c r="K168" s="276"/>
      <c r="L168" s="287"/>
      <c r="M168" s="288">
        <f t="shared" si="62"/>
        <v>0</v>
      </c>
      <c r="N168" s="276"/>
      <c r="O168" s="289">
        <f t="shared" si="51"/>
        <v>0</v>
      </c>
      <c r="P168" s="287"/>
      <c r="Q168" s="275">
        <f t="shared" si="60"/>
        <v>0</v>
      </c>
      <c r="R168" s="276"/>
      <c r="S168" s="297"/>
      <c r="T168" s="275">
        <f t="shared" si="56"/>
        <v>0</v>
      </c>
      <c r="U168" s="276"/>
      <c r="V168" s="297"/>
      <c r="W168" s="275">
        <f t="shared" si="57"/>
        <v>0</v>
      </c>
      <c r="X168" s="276"/>
      <c r="Y168" s="297"/>
      <c r="Z168" s="275">
        <f t="shared" si="58"/>
        <v>0</v>
      </c>
      <c r="AA168" s="276"/>
      <c r="AB168" s="297"/>
      <c r="AC168" s="275">
        <f t="shared" si="59"/>
        <v>0</v>
      </c>
      <c r="AD168" s="275"/>
      <c r="AE168" s="275"/>
      <c r="AF168" s="275">
        <f t="shared" si="46"/>
        <v>0</v>
      </c>
      <c r="AG168" s="303" t="s">
        <v>439</v>
      </c>
      <c r="AH168" s="303"/>
      <c r="AI168" s="275"/>
      <c r="AJ168" s="275"/>
      <c r="AK168" s="314"/>
      <c r="AL168" s="306"/>
    </row>
    <row r="169" s="254" customFormat="1" ht="18" customHeight="1" spans="1:38">
      <c r="A169" s="270">
        <v>20</v>
      </c>
      <c r="B169" s="271" t="s">
        <v>440</v>
      </c>
      <c r="C169" s="278" t="s">
        <v>441</v>
      </c>
      <c r="D169" s="272">
        <f t="shared" si="39"/>
        <v>0</v>
      </c>
      <c r="E169" s="321"/>
      <c r="F169" s="297">
        <v>0.15</v>
      </c>
      <c r="G169" s="275">
        <f t="shared" si="40"/>
        <v>0</v>
      </c>
      <c r="H169" s="276"/>
      <c r="I169" s="287"/>
      <c r="J169" s="288">
        <f t="shared" si="61"/>
        <v>0</v>
      </c>
      <c r="K169" s="276"/>
      <c r="L169" s="287"/>
      <c r="M169" s="288">
        <f t="shared" si="62"/>
        <v>0</v>
      </c>
      <c r="N169" s="276"/>
      <c r="O169" s="289">
        <f t="shared" si="51"/>
        <v>0</v>
      </c>
      <c r="P169" s="287">
        <v>0.1</v>
      </c>
      <c r="Q169" s="275">
        <f t="shared" si="60"/>
        <v>0</v>
      </c>
      <c r="R169" s="276"/>
      <c r="S169" s="297">
        <v>0.15</v>
      </c>
      <c r="T169" s="275">
        <f t="shared" si="56"/>
        <v>0</v>
      </c>
      <c r="U169" s="276"/>
      <c r="V169" s="297">
        <v>0.15</v>
      </c>
      <c r="W169" s="275">
        <f t="shared" si="57"/>
        <v>0</v>
      </c>
      <c r="X169" s="276"/>
      <c r="Y169" s="297">
        <v>0.15</v>
      </c>
      <c r="Z169" s="275">
        <f t="shared" si="58"/>
        <v>0</v>
      </c>
      <c r="AA169" s="276"/>
      <c r="AB169" s="297">
        <v>0.15</v>
      </c>
      <c r="AC169" s="275">
        <f t="shared" si="59"/>
        <v>0</v>
      </c>
      <c r="AD169" s="275"/>
      <c r="AE169" s="275"/>
      <c r="AF169" s="275">
        <f t="shared" si="46"/>
        <v>0</v>
      </c>
      <c r="AG169" s="337" t="s">
        <v>442</v>
      </c>
      <c r="AH169" s="337"/>
      <c r="AI169" s="275"/>
      <c r="AJ169" s="275"/>
      <c r="AK169" s="314"/>
      <c r="AL169" s="306"/>
    </row>
    <row r="170" s="254" customFormat="1" ht="18" customHeight="1" spans="1:38">
      <c r="A170" s="270">
        <v>33</v>
      </c>
      <c r="B170" s="322" t="s">
        <v>443</v>
      </c>
      <c r="C170" s="278" t="s">
        <v>444</v>
      </c>
      <c r="D170" s="272">
        <f t="shared" si="39"/>
        <v>0</v>
      </c>
      <c r="E170" s="273"/>
      <c r="F170" s="297">
        <v>0.15</v>
      </c>
      <c r="G170" s="275">
        <f t="shared" si="40"/>
        <v>0</v>
      </c>
      <c r="H170" s="276"/>
      <c r="I170" s="287"/>
      <c r="J170" s="288"/>
      <c r="K170" s="276"/>
      <c r="L170" s="287"/>
      <c r="M170" s="288"/>
      <c r="N170" s="276"/>
      <c r="O170" s="289">
        <f t="shared" si="51"/>
        <v>0</v>
      </c>
      <c r="P170" s="287"/>
      <c r="Q170" s="275">
        <f t="shared" si="60"/>
        <v>0</v>
      </c>
      <c r="R170" s="276"/>
      <c r="S170" s="297"/>
      <c r="T170" s="275">
        <f t="shared" si="56"/>
        <v>0</v>
      </c>
      <c r="U170" s="276"/>
      <c r="V170" s="297"/>
      <c r="W170" s="275">
        <f t="shared" si="57"/>
        <v>0</v>
      </c>
      <c r="X170" s="276"/>
      <c r="Y170" s="297"/>
      <c r="Z170" s="275">
        <f t="shared" si="58"/>
        <v>0</v>
      </c>
      <c r="AA170" s="276"/>
      <c r="AB170" s="297"/>
      <c r="AC170" s="275">
        <f t="shared" si="59"/>
        <v>0</v>
      </c>
      <c r="AD170" s="275"/>
      <c r="AE170" s="275"/>
      <c r="AF170" s="275">
        <f t="shared" si="46"/>
        <v>0</v>
      </c>
      <c r="AG170" s="303" t="s">
        <v>445</v>
      </c>
      <c r="AH170" s="303"/>
      <c r="AI170" s="275"/>
      <c r="AJ170" s="275"/>
      <c r="AK170" s="314"/>
      <c r="AL170" s="306"/>
    </row>
    <row r="171" s="254" customFormat="1" ht="18" customHeight="1" spans="1:38">
      <c r="A171" s="270">
        <v>36</v>
      </c>
      <c r="B171" s="280" t="s">
        <v>446</v>
      </c>
      <c r="C171" s="280" t="s">
        <v>447</v>
      </c>
      <c r="D171" s="272">
        <f t="shared" si="39"/>
        <v>0</v>
      </c>
      <c r="E171" s="321"/>
      <c r="F171" s="297">
        <v>0</v>
      </c>
      <c r="G171" s="275">
        <f t="shared" si="40"/>
        <v>0</v>
      </c>
      <c r="H171" s="276"/>
      <c r="I171" s="287"/>
      <c r="J171" s="288"/>
      <c r="K171" s="276"/>
      <c r="L171" s="287"/>
      <c r="M171" s="288"/>
      <c r="N171" s="276"/>
      <c r="O171" s="289">
        <f t="shared" si="51"/>
        <v>0</v>
      </c>
      <c r="P171" s="287"/>
      <c r="Q171" s="275">
        <f t="shared" si="60"/>
        <v>0</v>
      </c>
      <c r="R171" s="276"/>
      <c r="S171" s="297"/>
      <c r="T171" s="275">
        <f t="shared" si="56"/>
        <v>0</v>
      </c>
      <c r="U171" s="276"/>
      <c r="V171" s="297"/>
      <c r="W171" s="275">
        <f t="shared" si="57"/>
        <v>0</v>
      </c>
      <c r="X171" s="276"/>
      <c r="Y171" s="297"/>
      <c r="Z171" s="275">
        <f t="shared" si="58"/>
        <v>0</v>
      </c>
      <c r="AA171" s="276"/>
      <c r="AB171" s="297"/>
      <c r="AC171" s="275">
        <f t="shared" si="59"/>
        <v>0</v>
      </c>
      <c r="AD171" s="275"/>
      <c r="AE171" s="275"/>
      <c r="AF171" s="275">
        <f t="shared" si="46"/>
        <v>0</v>
      </c>
      <c r="AG171" s="303" t="s">
        <v>448</v>
      </c>
      <c r="AH171" s="303"/>
      <c r="AI171" s="275"/>
      <c r="AJ171" s="275"/>
      <c r="AK171" s="314"/>
      <c r="AL171" s="306"/>
    </row>
    <row r="172" s="254" customFormat="1" ht="18" customHeight="1" spans="1:38">
      <c r="A172" s="270">
        <v>39</v>
      </c>
      <c r="B172" s="271" t="s">
        <v>449</v>
      </c>
      <c r="C172" s="317" t="s">
        <v>450</v>
      </c>
      <c r="D172" s="272">
        <f t="shared" si="39"/>
        <v>0</v>
      </c>
      <c r="E172" s="291"/>
      <c r="F172" s="297">
        <v>0</v>
      </c>
      <c r="G172" s="275">
        <f t="shared" si="40"/>
        <v>0</v>
      </c>
      <c r="H172" s="276"/>
      <c r="I172" s="287"/>
      <c r="J172" s="288"/>
      <c r="K172" s="276"/>
      <c r="L172" s="287"/>
      <c r="M172" s="288"/>
      <c r="N172" s="276"/>
      <c r="O172" s="289">
        <f t="shared" si="51"/>
        <v>0</v>
      </c>
      <c r="P172" s="287"/>
      <c r="Q172" s="275">
        <f t="shared" si="60"/>
        <v>0</v>
      </c>
      <c r="R172" s="276"/>
      <c r="S172" s="297"/>
      <c r="T172" s="275">
        <f t="shared" si="56"/>
        <v>0</v>
      </c>
      <c r="U172" s="276"/>
      <c r="V172" s="297"/>
      <c r="W172" s="275">
        <f t="shared" si="57"/>
        <v>0</v>
      </c>
      <c r="X172" s="276"/>
      <c r="Y172" s="297"/>
      <c r="Z172" s="275">
        <f t="shared" si="58"/>
        <v>0</v>
      </c>
      <c r="AA172" s="276"/>
      <c r="AB172" s="297"/>
      <c r="AC172" s="275">
        <f t="shared" si="59"/>
        <v>0</v>
      </c>
      <c r="AD172" s="275"/>
      <c r="AE172" s="275"/>
      <c r="AF172" s="275">
        <f t="shared" si="46"/>
        <v>0</v>
      </c>
      <c r="AG172" s="312"/>
      <c r="AH172" s="313"/>
      <c r="AI172" s="275"/>
      <c r="AJ172" s="275"/>
      <c r="AK172" s="332"/>
      <c r="AL172" s="306"/>
    </row>
    <row r="173" s="254" customFormat="1" ht="18" customHeight="1" spans="1:38">
      <c r="A173" s="270">
        <v>1</v>
      </c>
      <c r="B173" s="271" t="s">
        <v>451</v>
      </c>
      <c r="C173" s="15" t="s">
        <v>452</v>
      </c>
      <c r="D173" s="272">
        <f t="shared" si="39"/>
        <v>0</v>
      </c>
      <c r="E173" s="291"/>
      <c r="F173" s="297">
        <v>0.18</v>
      </c>
      <c r="G173" s="275">
        <f t="shared" si="40"/>
        <v>0</v>
      </c>
      <c r="H173" s="276"/>
      <c r="I173" s="287"/>
      <c r="J173" s="288"/>
      <c r="K173" s="276"/>
      <c r="L173" s="287"/>
      <c r="M173" s="288"/>
      <c r="N173" s="276"/>
      <c r="O173" s="289">
        <f t="shared" si="51"/>
        <v>0</v>
      </c>
      <c r="P173" s="287"/>
      <c r="Q173" s="275">
        <f t="shared" si="60"/>
        <v>0</v>
      </c>
      <c r="R173" s="276"/>
      <c r="S173" s="296">
        <v>0.2</v>
      </c>
      <c r="T173" s="275">
        <f t="shared" si="56"/>
        <v>0</v>
      </c>
      <c r="U173" s="276"/>
      <c r="V173" s="296">
        <v>0.2</v>
      </c>
      <c r="W173" s="275">
        <f t="shared" si="57"/>
        <v>0</v>
      </c>
      <c r="X173" s="276"/>
      <c r="Y173" s="296">
        <v>0.2</v>
      </c>
      <c r="Z173" s="275">
        <f t="shared" si="58"/>
        <v>0</v>
      </c>
      <c r="AA173" s="276"/>
      <c r="AB173" s="296">
        <v>0.2</v>
      </c>
      <c r="AC173" s="275">
        <f t="shared" si="59"/>
        <v>0</v>
      </c>
      <c r="AD173" s="275"/>
      <c r="AE173" s="275"/>
      <c r="AF173" s="275">
        <f t="shared" si="46"/>
        <v>0</v>
      </c>
      <c r="AG173" s="377" t="s">
        <v>453</v>
      </c>
      <c r="AH173" s="313"/>
      <c r="AI173" s="275"/>
      <c r="AJ173" s="275"/>
      <c r="AK173" s="332"/>
      <c r="AL173" s="306"/>
    </row>
    <row r="174" s="254" customFormat="1" ht="18" customHeight="1" spans="1:38">
      <c r="A174" s="270">
        <v>7</v>
      </c>
      <c r="B174" s="271" t="s">
        <v>454</v>
      </c>
      <c r="C174" s="278" t="s">
        <v>455</v>
      </c>
      <c r="D174" s="272">
        <f t="shared" si="39"/>
        <v>0</v>
      </c>
      <c r="E174" s="321"/>
      <c r="F174" s="297">
        <v>0.18</v>
      </c>
      <c r="G174" s="275">
        <f t="shared" si="40"/>
        <v>0</v>
      </c>
      <c r="H174" s="276"/>
      <c r="I174" s="287"/>
      <c r="J174" s="288"/>
      <c r="K174" s="276"/>
      <c r="L174" s="287"/>
      <c r="M174" s="288"/>
      <c r="N174" s="276"/>
      <c r="O174" s="289">
        <f t="shared" si="51"/>
        <v>0</v>
      </c>
      <c r="P174" s="287">
        <v>0.1</v>
      </c>
      <c r="Q174" s="275">
        <f t="shared" si="60"/>
        <v>0</v>
      </c>
      <c r="R174" s="276"/>
      <c r="S174" s="297"/>
      <c r="T174" s="275">
        <f t="shared" si="56"/>
        <v>0</v>
      </c>
      <c r="U174" s="276"/>
      <c r="V174" s="297"/>
      <c r="W174" s="275">
        <f t="shared" si="57"/>
        <v>0</v>
      </c>
      <c r="X174" s="276"/>
      <c r="Y174" s="297"/>
      <c r="Z174" s="275">
        <f t="shared" si="58"/>
        <v>0</v>
      </c>
      <c r="AA174" s="276"/>
      <c r="AB174" s="297"/>
      <c r="AC174" s="275">
        <f t="shared" si="59"/>
        <v>0</v>
      </c>
      <c r="AD174" s="275"/>
      <c r="AE174" s="275"/>
      <c r="AF174" s="275">
        <f t="shared" si="46"/>
        <v>0</v>
      </c>
      <c r="AG174" s="337" t="s">
        <v>456</v>
      </c>
      <c r="AH174" s="337"/>
      <c r="AI174" s="275"/>
      <c r="AJ174" s="275"/>
      <c r="AK174" s="305"/>
      <c r="AL174" s="306"/>
    </row>
    <row r="175" s="254" customFormat="1" ht="18" customHeight="1" spans="1:38">
      <c r="A175" s="270">
        <v>16</v>
      </c>
      <c r="B175" s="271" t="s">
        <v>457</v>
      </c>
      <c r="C175" s="15" t="s">
        <v>458</v>
      </c>
      <c r="D175" s="272">
        <f t="shared" si="39"/>
        <v>0</v>
      </c>
      <c r="E175" s="291"/>
      <c r="F175" s="297">
        <v>0.18</v>
      </c>
      <c r="G175" s="275">
        <f t="shared" si="40"/>
        <v>0</v>
      </c>
      <c r="H175" s="276"/>
      <c r="I175" s="287"/>
      <c r="J175" s="288"/>
      <c r="K175" s="276"/>
      <c r="L175" s="287"/>
      <c r="M175" s="288"/>
      <c r="N175" s="276"/>
      <c r="O175" s="289">
        <f t="shared" si="51"/>
        <v>0</v>
      </c>
      <c r="P175" s="287"/>
      <c r="Q175" s="275">
        <f t="shared" si="60"/>
        <v>0</v>
      </c>
      <c r="R175" s="276"/>
      <c r="S175" s="297"/>
      <c r="T175" s="275">
        <f t="shared" si="56"/>
        <v>0</v>
      </c>
      <c r="U175" s="276"/>
      <c r="V175" s="297"/>
      <c r="W175" s="275">
        <f t="shared" si="57"/>
        <v>0</v>
      </c>
      <c r="X175" s="276"/>
      <c r="Y175" s="297"/>
      <c r="Z175" s="275">
        <f t="shared" si="58"/>
        <v>0</v>
      </c>
      <c r="AA175" s="276"/>
      <c r="AB175" s="297"/>
      <c r="AC175" s="275">
        <f t="shared" si="59"/>
        <v>0</v>
      </c>
      <c r="AD175" s="275"/>
      <c r="AE175" s="275"/>
      <c r="AF175" s="275">
        <f t="shared" si="46"/>
        <v>0</v>
      </c>
      <c r="AG175" s="303" t="s">
        <v>459</v>
      </c>
      <c r="AH175" s="303"/>
      <c r="AI175" s="275"/>
      <c r="AJ175" s="275"/>
      <c r="AK175" s="332"/>
      <c r="AL175" s="306"/>
    </row>
    <row r="176" s="254" customFormat="1" ht="18" customHeight="1" spans="1:38">
      <c r="A176" s="270">
        <v>32</v>
      </c>
      <c r="B176" s="271" t="s">
        <v>460</v>
      </c>
      <c r="C176" s="278" t="s">
        <v>461</v>
      </c>
      <c r="D176" s="272">
        <f t="shared" si="39"/>
        <v>0</v>
      </c>
      <c r="E176" s="291"/>
      <c r="F176" s="297">
        <v>0.15</v>
      </c>
      <c r="G176" s="275">
        <f t="shared" si="40"/>
        <v>0</v>
      </c>
      <c r="H176" s="276"/>
      <c r="I176" s="287">
        <v>0</v>
      </c>
      <c r="J176" s="288">
        <f>ROUND(H176*I176,)</f>
        <v>0</v>
      </c>
      <c r="K176" s="276"/>
      <c r="L176" s="287">
        <v>0</v>
      </c>
      <c r="M176" s="288">
        <f>ROUND(K176*L176,)</f>
        <v>0</v>
      </c>
      <c r="N176" s="276"/>
      <c r="O176" s="289">
        <f t="shared" si="51"/>
        <v>0</v>
      </c>
      <c r="P176" s="287">
        <v>0.1</v>
      </c>
      <c r="Q176" s="275">
        <f t="shared" si="60"/>
        <v>0</v>
      </c>
      <c r="R176" s="276"/>
      <c r="S176" s="297">
        <v>0.15</v>
      </c>
      <c r="T176" s="275">
        <f t="shared" si="56"/>
        <v>0</v>
      </c>
      <c r="U176" s="276"/>
      <c r="V176" s="297">
        <v>0.15</v>
      </c>
      <c r="W176" s="275">
        <f t="shared" si="57"/>
        <v>0</v>
      </c>
      <c r="X176" s="276"/>
      <c r="Y176" s="297">
        <v>0.15</v>
      </c>
      <c r="Z176" s="275">
        <f t="shared" si="58"/>
        <v>0</v>
      </c>
      <c r="AA176" s="276"/>
      <c r="AB176" s="297">
        <v>0.15</v>
      </c>
      <c r="AC176" s="275">
        <f t="shared" si="59"/>
        <v>0</v>
      </c>
      <c r="AD176" s="275"/>
      <c r="AE176" s="275"/>
      <c r="AF176" s="275">
        <f t="shared" si="46"/>
        <v>0</v>
      </c>
      <c r="AG176" s="307" t="s">
        <v>462</v>
      </c>
      <c r="AH176" s="303"/>
      <c r="AI176" s="275"/>
      <c r="AJ176" s="275"/>
      <c r="AK176" s="314"/>
      <c r="AL176" s="306"/>
    </row>
    <row r="177" s="254" customFormat="1" ht="18" customHeight="1" spans="1:38">
      <c r="A177" s="270">
        <v>41</v>
      </c>
      <c r="B177" s="271" t="s">
        <v>463</v>
      </c>
      <c r="C177" s="271" t="s">
        <v>464</v>
      </c>
      <c r="D177" s="272">
        <f t="shared" si="39"/>
        <v>0</v>
      </c>
      <c r="E177" s="273"/>
      <c r="F177" s="297">
        <v>0.1</v>
      </c>
      <c r="G177" s="275">
        <f t="shared" si="40"/>
        <v>0</v>
      </c>
      <c r="H177" s="276"/>
      <c r="I177" s="287"/>
      <c r="J177" s="288"/>
      <c r="K177" s="276"/>
      <c r="L177" s="287"/>
      <c r="M177" s="288"/>
      <c r="N177" s="276"/>
      <c r="O177" s="289">
        <f t="shared" si="51"/>
        <v>0</v>
      </c>
      <c r="P177" s="287"/>
      <c r="Q177" s="275">
        <f t="shared" si="60"/>
        <v>0</v>
      </c>
      <c r="R177" s="276"/>
      <c r="S177" s="297"/>
      <c r="T177" s="275">
        <f t="shared" si="56"/>
        <v>0</v>
      </c>
      <c r="U177" s="276"/>
      <c r="V177" s="297"/>
      <c r="W177" s="275">
        <f t="shared" si="57"/>
        <v>0</v>
      </c>
      <c r="X177" s="276"/>
      <c r="Y177" s="297"/>
      <c r="Z177" s="275">
        <f t="shared" si="58"/>
        <v>0</v>
      </c>
      <c r="AA177" s="276"/>
      <c r="AB177" s="297"/>
      <c r="AC177" s="275">
        <f t="shared" si="59"/>
        <v>0</v>
      </c>
      <c r="AD177" s="275"/>
      <c r="AE177" s="275"/>
      <c r="AF177" s="275">
        <f t="shared" si="46"/>
        <v>0</v>
      </c>
      <c r="AG177" s="379" t="s">
        <v>465</v>
      </c>
      <c r="AH177" s="331"/>
      <c r="AI177" s="275"/>
      <c r="AJ177" s="334"/>
      <c r="AK177" s="336"/>
      <c r="AL177" s="306"/>
    </row>
    <row r="178" s="254" customFormat="1" ht="18" customHeight="1" spans="1:38">
      <c r="A178" s="270">
        <v>29</v>
      </c>
      <c r="B178" s="271" t="s">
        <v>466</v>
      </c>
      <c r="C178" s="323" t="s">
        <v>467</v>
      </c>
      <c r="D178" s="272">
        <f t="shared" si="39"/>
        <v>0</v>
      </c>
      <c r="E178" s="273"/>
      <c r="F178" s="297">
        <v>0.15</v>
      </c>
      <c r="G178" s="275">
        <f t="shared" si="40"/>
        <v>0</v>
      </c>
      <c r="H178" s="276"/>
      <c r="I178" s="287"/>
      <c r="J178" s="288">
        <v>0</v>
      </c>
      <c r="K178" s="276"/>
      <c r="L178" s="287"/>
      <c r="M178" s="288">
        <v>0</v>
      </c>
      <c r="N178" s="276"/>
      <c r="O178" s="289">
        <f t="shared" si="51"/>
        <v>0</v>
      </c>
      <c r="P178" s="287">
        <v>0.1</v>
      </c>
      <c r="Q178" s="275">
        <f t="shared" si="60"/>
        <v>0</v>
      </c>
      <c r="R178" s="276"/>
      <c r="S178" s="297"/>
      <c r="T178" s="275">
        <f t="shared" si="56"/>
        <v>0</v>
      </c>
      <c r="U178" s="276"/>
      <c r="V178" s="297"/>
      <c r="W178" s="275">
        <f t="shared" si="57"/>
        <v>0</v>
      </c>
      <c r="X178" s="276"/>
      <c r="Y178" s="297"/>
      <c r="Z178" s="275">
        <f t="shared" si="58"/>
        <v>0</v>
      </c>
      <c r="AA178" s="276"/>
      <c r="AB178" s="297"/>
      <c r="AC178" s="275">
        <f t="shared" si="59"/>
        <v>0</v>
      </c>
      <c r="AD178" s="275"/>
      <c r="AE178" s="275"/>
      <c r="AF178" s="275">
        <f t="shared" si="46"/>
        <v>0</v>
      </c>
      <c r="AG178" s="337" t="s">
        <v>468</v>
      </c>
      <c r="AH178" s="337"/>
      <c r="AI178" s="275"/>
      <c r="AJ178" s="275"/>
      <c r="AK178" s="314"/>
      <c r="AL178" s="306"/>
    </row>
    <row r="179" s="254" customFormat="1" ht="18" customHeight="1" spans="1:38">
      <c r="A179" s="270">
        <v>36</v>
      </c>
      <c r="B179" s="271" t="s">
        <v>469</v>
      </c>
      <c r="C179" s="278" t="s">
        <v>470</v>
      </c>
      <c r="D179" s="272">
        <f t="shared" si="39"/>
        <v>0</v>
      </c>
      <c r="E179" s="324"/>
      <c r="F179" s="297">
        <v>0.1</v>
      </c>
      <c r="G179" s="275">
        <f t="shared" si="40"/>
        <v>0</v>
      </c>
      <c r="H179" s="276"/>
      <c r="I179" s="287"/>
      <c r="J179" s="288"/>
      <c r="K179" s="276"/>
      <c r="L179" s="287"/>
      <c r="M179" s="288"/>
      <c r="N179" s="327"/>
      <c r="O179" s="289">
        <f t="shared" si="51"/>
        <v>0</v>
      </c>
      <c r="P179" s="287"/>
      <c r="Q179" s="275">
        <f t="shared" si="60"/>
        <v>0</v>
      </c>
      <c r="R179" s="276"/>
      <c r="S179" s="296"/>
      <c r="T179" s="275">
        <f t="shared" si="56"/>
        <v>0</v>
      </c>
      <c r="U179" s="276"/>
      <c r="V179" s="296"/>
      <c r="W179" s="275">
        <f t="shared" si="57"/>
        <v>0</v>
      </c>
      <c r="X179" s="276"/>
      <c r="Y179" s="296"/>
      <c r="Z179" s="275">
        <f t="shared" si="58"/>
        <v>0</v>
      </c>
      <c r="AA179" s="276"/>
      <c r="AB179" s="296"/>
      <c r="AC179" s="275">
        <f t="shared" si="59"/>
        <v>0</v>
      </c>
      <c r="AD179" s="275"/>
      <c r="AE179" s="275"/>
      <c r="AF179" s="275">
        <f t="shared" si="46"/>
        <v>0</v>
      </c>
      <c r="AG179" s="303" t="s">
        <v>471</v>
      </c>
      <c r="AH179" s="303"/>
      <c r="AI179" s="275"/>
      <c r="AJ179" s="275"/>
      <c r="AK179" s="314"/>
      <c r="AL179" s="306"/>
    </row>
    <row r="180" s="254" customFormat="1" ht="18" customHeight="1" spans="1:38">
      <c r="A180" s="270">
        <v>33</v>
      </c>
      <c r="B180" s="271" t="s">
        <v>472</v>
      </c>
      <c r="C180" s="271" t="s">
        <v>473</v>
      </c>
      <c r="D180" s="272">
        <f t="shared" si="39"/>
        <v>0</v>
      </c>
      <c r="E180" s="273"/>
      <c r="F180" s="297">
        <v>0.1</v>
      </c>
      <c r="G180" s="275">
        <f t="shared" si="40"/>
        <v>0</v>
      </c>
      <c r="H180" s="276"/>
      <c r="I180" s="287"/>
      <c r="J180" s="288"/>
      <c r="K180" s="276"/>
      <c r="L180" s="287"/>
      <c r="M180" s="288"/>
      <c r="N180" s="276"/>
      <c r="O180" s="276"/>
      <c r="P180" s="287"/>
      <c r="Q180" s="275">
        <f t="shared" si="60"/>
        <v>0</v>
      </c>
      <c r="R180" s="276"/>
      <c r="S180" s="297"/>
      <c r="T180" s="275">
        <f t="shared" si="56"/>
        <v>0</v>
      </c>
      <c r="U180" s="276"/>
      <c r="V180" s="297"/>
      <c r="W180" s="275">
        <f t="shared" si="57"/>
        <v>0</v>
      </c>
      <c r="X180" s="276"/>
      <c r="Y180" s="297"/>
      <c r="Z180" s="275">
        <f t="shared" si="58"/>
        <v>0</v>
      </c>
      <c r="AA180" s="276"/>
      <c r="AB180" s="297"/>
      <c r="AC180" s="275">
        <f t="shared" si="59"/>
        <v>0</v>
      </c>
      <c r="AD180" s="275"/>
      <c r="AE180" s="275"/>
      <c r="AF180" s="275">
        <f t="shared" si="46"/>
        <v>0</v>
      </c>
      <c r="AG180" s="303" t="s">
        <v>474</v>
      </c>
      <c r="AH180" s="303"/>
      <c r="AI180" s="275"/>
      <c r="AJ180" s="334"/>
      <c r="AK180" s="336"/>
      <c r="AL180" s="306"/>
    </row>
    <row r="181" s="254" customFormat="1" ht="18" customHeight="1" spans="1:38">
      <c r="A181" s="325">
        <v>35</v>
      </c>
      <c r="B181" s="271" t="s">
        <v>475</v>
      </c>
      <c r="C181" s="317" t="s">
        <v>177</v>
      </c>
      <c r="D181" s="272">
        <f t="shared" si="39"/>
        <v>0</v>
      </c>
      <c r="E181" s="291"/>
      <c r="F181" s="297">
        <v>0</v>
      </c>
      <c r="G181" s="275">
        <f t="shared" si="40"/>
        <v>0</v>
      </c>
      <c r="H181" s="276"/>
      <c r="I181" s="287"/>
      <c r="J181" s="288">
        <f>ROUND(H181*I181,)</f>
        <v>0</v>
      </c>
      <c r="K181" s="276"/>
      <c r="L181" s="287"/>
      <c r="M181" s="288">
        <f>ROUND(K181*L181,)</f>
        <v>0</v>
      </c>
      <c r="N181" s="276"/>
      <c r="O181" s="289">
        <f t="shared" ref="O181:O207" si="63">N181*0.83</f>
        <v>0</v>
      </c>
      <c r="P181" s="287"/>
      <c r="Q181" s="275">
        <f t="shared" si="60"/>
        <v>0</v>
      </c>
      <c r="R181" s="276"/>
      <c r="S181" s="297"/>
      <c r="T181" s="275">
        <f t="shared" si="56"/>
        <v>0</v>
      </c>
      <c r="U181" s="276"/>
      <c r="V181" s="297"/>
      <c r="W181" s="275">
        <f t="shared" si="57"/>
        <v>0</v>
      </c>
      <c r="X181" s="276"/>
      <c r="Y181" s="297"/>
      <c r="Z181" s="275">
        <f t="shared" si="58"/>
        <v>0</v>
      </c>
      <c r="AA181" s="276"/>
      <c r="AB181" s="297"/>
      <c r="AC181" s="275">
        <f t="shared" si="59"/>
        <v>0</v>
      </c>
      <c r="AD181" s="275"/>
      <c r="AE181" s="275"/>
      <c r="AF181" s="275">
        <f t="shared" si="46"/>
        <v>0</v>
      </c>
      <c r="AG181" s="303" t="s">
        <v>476</v>
      </c>
      <c r="AH181" s="303"/>
      <c r="AI181" s="275"/>
      <c r="AJ181" s="275"/>
      <c r="AK181" s="338"/>
      <c r="AL181" s="306"/>
    </row>
    <row r="182" s="254" customFormat="1" ht="18" customHeight="1" spans="1:38">
      <c r="A182" s="325">
        <v>20</v>
      </c>
      <c r="B182" s="271" t="s">
        <v>477</v>
      </c>
      <c r="C182" s="15" t="s">
        <v>478</v>
      </c>
      <c r="D182" s="272">
        <f t="shared" si="39"/>
        <v>0</v>
      </c>
      <c r="E182" s="276"/>
      <c r="F182" s="297">
        <v>0.15</v>
      </c>
      <c r="G182" s="275">
        <f t="shared" si="40"/>
        <v>0</v>
      </c>
      <c r="H182" s="276"/>
      <c r="I182" s="287"/>
      <c r="J182" s="288"/>
      <c r="K182" s="276"/>
      <c r="L182" s="287"/>
      <c r="M182" s="288"/>
      <c r="N182" s="276"/>
      <c r="O182" s="276">
        <f t="shared" si="63"/>
        <v>0</v>
      </c>
      <c r="P182" s="287"/>
      <c r="Q182" s="275">
        <f t="shared" si="60"/>
        <v>0</v>
      </c>
      <c r="R182" s="276"/>
      <c r="S182" s="297"/>
      <c r="T182" s="275">
        <f t="shared" si="56"/>
        <v>0</v>
      </c>
      <c r="U182" s="276"/>
      <c r="V182" s="297"/>
      <c r="W182" s="275">
        <f t="shared" si="57"/>
        <v>0</v>
      </c>
      <c r="X182" s="276"/>
      <c r="Y182" s="297"/>
      <c r="Z182" s="275">
        <f t="shared" si="58"/>
        <v>0</v>
      </c>
      <c r="AA182" s="276"/>
      <c r="AB182" s="297"/>
      <c r="AC182" s="275">
        <f t="shared" si="59"/>
        <v>0</v>
      </c>
      <c r="AD182" s="275"/>
      <c r="AE182" s="275"/>
      <c r="AF182" s="275">
        <f t="shared" si="46"/>
        <v>0</v>
      </c>
      <c r="AG182" s="303" t="s">
        <v>479</v>
      </c>
      <c r="AH182" s="303"/>
      <c r="AI182" s="275"/>
      <c r="AJ182" s="275"/>
      <c r="AK182" s="314"/>
      <c r="AL182" s="306"/>
    </row>
    <row r="183" s="254" customFormat="1" ht="18" customHeight="1" spans="1:38">
      <c r="A183" s="270">
        <v>21</v>
      </c>
      <c r="B183" s="271" t="s">
        <v>480</v>
      </c>
      <c r="C183" s="271" t="s">
        <v>481</v>
      </c>
      <c r="D183" s="272">
        <f t="shared" si="39"/>
        <v>0</v>
      </c>
      <c r="E183" s="291"/>
      <c r="F183" s="297">
        <v>0.15</v>
      </c>
      <c r="G183" s="275">
        <f t="shared" si="40"/>
        <v>0</v>
      </c>
      <c r="H183" s="276"/>
      <c r="I183" s="287"/>
      <c r="J183" s="288"/>
      <c r="K183" s="276"/>
      <c r="L183" s="287"/>
      <c r="M183" s="288"/>
      <c r="N183" s="276"/>
      <c r="O183" s="289">
        <f t="shared" si="63"/>
        <v>0</v>
      </c>
      <c r="P183" s="287"/>
      <c r="Q183" s="275">
        <f t="shared" si="60"/>
        <v>0</v>
      </c>
      <c r="R183" s="276"/>
      <c r="S183" s="297">
        <v>0.18</v>
      </c>
      <c r="T183" s="275">
        <f t="shared" si="56"/>
        <v>0</v>
      </c>
      <c r="U183" s="276"/>
      <c r="V183" s="297">
        <v>0.18</v>
      </c>
      <c r="W183" s="275">
        <f t="shared" si="57"/>
        <v>0</v>
      </c>
      <c r="X183" s="276"/>
      <c r="Y183" s="297">
        <v>0.18</v>
      </c>
      <c r="Z183" s="275">
        <f t="shared" si="58"/>
        <v>0</v>
      </c>
      <c r="AA183" s="276"/>
      <c r="AB183" s="297">
        <v>0.18</v>
      </c>
      <c r="AC183" s="275">
        <f t="shared" si="59"/>
        <v>0</v>
      </c>
      <c r="AD183" s="275"/>
      <c r="AE183" s="275"/>
      <c r="AF183" s="275">
        <f t="shared" si="46"/>
        <v>0</v>
      </c>
      <c r="AG183" s="303" t="s">
        <v>482</v>
      </c>
      <c r="AH183" s="303"/>
      <c r="AI183" s="275"/>
      <c r="AJ183" s="275"/>
      <c r="AK183" s="314"/>
      <c r="AL183" s="306"/>
    </row>
    <row r="184" s="254" customFormat="1" ht="18" customHeight="1" spans="1:38">
      <c r="A184" s="270">
        <v>27</v>
      </c>
      <c r="B184" s="319" t="s">
        <v>483</v>
      </c>
      <c r="C184" s="278" t="s">
        <v>484</v>
      </c>
      <c r="D184" s="272">
        <f t="shared" si="39"/>
        <v>0</v>
      </c>
      <c r="E184" s="276"/>
      <c r="F184" s="297">
        <v>0</v>
      </c>
      <c r="G184" s="275">
        <f t="shared" si="40"/>
        <v>0</v>
      </c>
      <c r="H184" s="276"/>
      <c r="I184" s="287"/>
      <c r="J184" s="288"/>
      <c r="K184" s="276"/>
      <c r="L184" s="287"/>
      <c r="M184" s="288"/>
      <c r="N184" s="276"/>
      <c r="O184" s="289">
        <f t="shared" si="63"/>
        <v>0</v>
      </c>
      <c r="P184" s="287"/>
      <c r="Q184" s="275"/>
      <c r="R184" s="276"/>
      <c r="S184" s="297"/>
      <c r="T184" s="275">
        <f t="shared" si="56"/>
        <v>0</v>
      </c>
      <c r="U184" s="276"/>
      <c r="V184" s="297"/>
      <c r="W184" s="275">
        <f t="shared" si="57"/>
        <v>0</v>
      </c>
      <c r="X184" s="276"/>
      <c r="Y184" s="297"/>
      <c r="Z184" s="275">
        <f t="shared" si="58"/>
        <v>0</v>
      </c>
      <c r="AA184" s="276"/>
      <c r="AB184" s="297"/>
      <c r="AC184" s="275">
        <f t="shared" si="59"/>
        <v>0</v>
      </c>
      <c r="AD184" s="275"/>
      <c r="AE184" s="275"/>
      <c r="AF184" s="275">
        <f t="shared" si="46"/>
        <v>0</v>
      </c>
      <c r="AG184" s="303" t="s">
        <v>485</v>
      </c>
      <c r="AH184" s="303"/>
      <c r="AI184" s="275"/>
      <c r="AJ184" s="275"/>
      <c r="AK184" s="314"/>
      <c r="AL184" s="306"/>
    </row>
    <row r="185" s="254" customFormat="1" ht="18" customHeight="1" spans="1:38">
      <c r="A185" s="325">
        <v>32</v>
      </c>
      <c r="B185" s="271" t="s">
        <v>46</v>
      </c>
      <c r="C185" s="278" t="s">
        <v>46</v>
      </c>
      <c r="D185" s="272">
        <f t="shared" si="39"/>
        <v>0</v>
      </c>
      <c r="E185" s="326"/>
      <c r="F185" s="297">
        <v>0</v>
      </c>
      <c r="G185" s="275">
        <f t="shared" si="40"/>
        <v>0</v>
      </c>
      <c r="H185" s="276"/>
      <c r="I185" s="287"/>
      <c r="J185" s="288">
        <f>ROUND(H185*I185,)</f>
        <v>0</v>
      </c>
      <c r="K185" s="276"/>
      <c r="L185" s="287"/>
      <c r="M185" s="288">
        <f>ROUND(K185*L185,)</f>
        <v>0</v>
      </c>
      <c r="N185" s="327"/>
      <c r="O185" s="289">
        <f t="shared" si="63"/>
        <v>0</v>
      </c>
      <c r="P185" s="287">
        <v>0.1</v>
      </c>
      <c r="Q185" s="275">
        <f t="shared" ref="Q185:Q209" si="64">O185*P185</f>
        <v>0</v>
      </c>
      <c r="R185" s="276"/>
      <c r="S185" s="296">
        <v>0.15</v>
      </c>
      <c r="T185" s="275">
        <f t="shared" si="56"/>
        <v>0</v>
      </c>
      <c r="U185" s="276"/>
      <c r="V185" s="296">
        <v>0.15</v>
      </c>
      <c r="W185" s="275">
        <f t="shared" si="57"/>
        <v>0</v>
      </c>
      <c r="X185" s="276"/>
      <c r="Y185" s="296">
        <v>0.15</v>
      </c>
      <c r="Z185" s="275">
        <f t="shared" si="58"/>
        <v>0</v>
      </c>
      <c r="AA185" s="276"/>
      <c r="AB185" s="296">
        <v>0.15</v>
      </c>
      <c r="AC185" s="275">
        <f t="shared" si="59"/>
        <v>0</v>
      </c>
      <c r="AD185" s="275"/>
      <c r="AE185" s="275"/>
      <c r="AF185" s="275">
        <f t="shared" si="46"/>
        <v>0</v>
      </c>
      <c r="AG185" s="307" t="s">
        <v>47</v>
      </c>
      <c r="AH185" s="303"/>
      <c r="AI185" s="275"/>
      <c r="AJ185" s="275"/>
      <c r="AK185" s="314"/>
      <c r="AL185" s="306"/>
    </row>
    <row r="186" s="254" customFormat="1" ht="18" customHeight="1" spans="1:38">
      <c r="A186" s="325">
        <v>28</v>
      </c>
      <c r="B186" s="282" t="s">
        <v>129</v>
      </c>
      <c r="C186" s="279" t="s">
        <v>486</v>
      </c>
      <c r="D186" s="272">
        <f t="shared" si="39"/>
        <v>0</v>
      </c>
      <c r="E186" s="273"/>
      <c r="F186" s="297">
        <v>0.1</v>
      </c>
      <c r="G186" s="275">
        <f t="shared" si="40"/>
        <v>0</v>
      </c>
      <c r="H186" s="276"/>
      <c r="I186" s="287"/>
      <c r="J186" s="288"/>
      <c r="K186" s="276"/>
      <c r="L186" s="287"/>
      <c r="M186" s="288"/>
      <c r="N186" s="276"/>
      <c r="O186" s="289">
        <f t="shared" si="63"/>
        <v>0</v>
      </c>
      <c r="P186" s="287"/>
      <c r="Q186" s="275">
        <f t="shared" si="64"/>
        <v>0</v>
      </c>
      <c r="R186" s="276"/>
      <c r="S186" s="297"/>
      <c r="T186" s="275">
        <f t="shared" si="56"/>
        <v>0</v>
      </c>
      <c r="U186" s="276"/>
      <c r="V186" s="297"/>
      <c r="W186" s="275">
        <f t="shared" si="57"/>
        <v>0</v>
      </c>
      <c r="X186" s="276"/>
      <c r="Y186" s="297"/>
      <c r="Z186" s="275">
        <f t="shared" si="58"/>
        <v>0</v>
      </c>
      <c r="AA186" s="276"/>
      <c r="AB186" s="297"/>
      <c r="AC186" s="275">
        <f t="shared" si="59"/>
        <v>0</v>
      </c>
      <c r="AD186" s="275"/>
      <c r="AE186" s="275"/>
      <c r="AF186" s="275">
        <f t="shared" si="46"/>
        <v>0</v>
      </c>
      <c r="AG186" s="307" t="s">
        <v>130</v>
      </c>
      <c r="AH186" s="303"/>
      <c r="AI186" s="275"/>
      <c r="AJ186" s="275"/>
      <c r="AK186" s="315"/>
      <c r="AL186" s="306"/>
    </row>
    <row r="187" s="254" customFormat="1" ht="18" customHeight="1" spans="1:38">
      <c r="A187" s="325">
        <v>28</v>
      </c>
      <c r="B187" s="317" t="s">
        <v>487</v>
      </c>
      <c r="C187" s="15" t="s">
        <v>487</v>
      </c>
      <c r="D187" s="272">
        <f t="shared" si="39"/>
        <v>0</v>
      </c>
      <c r="E187" s="291"/>
      <c r="F187" s="297">
        <v>0.1</v>
      </c>
      <c r="G187" s="275">
        <f t="shared" si="40"/>
        <v>0</v>
      </c>
      <c r="H187" s="276"/>
      <c r="I187" s="287"/>
      <c r="J187" s="288"/>
      <c r="K187" s="276"/>
      <c r="L187" s="287"/>
      <c r="M187" s="288"/>
      <c r="N187" s="276"/>
      <c r="O187" s="289">
        <f t="shared" si="63"/>
        <v>0</v>
      </c>
      <c r="P187" s="287"/>
      <c r="Q187" s="275">
        <f t="shared" si="64"/>
        <v>0</v>
      </c>
      <c r="R187" s="276"/>
      <c r="S187" s="297"/>
      <c r="T187" s="275">
        <f t="shared" si="56"/>
        <v>0</v>
      </c>
      <c r="U187" s="276"/>
      <c r="V187" s="297"/>
      <c r="W187" s="275">
        <f t="shared" si="57"/>
        <v>0</v>
      </c>
      <c r="X187" s="276"/>
      <c r="Y187" s="297"/>
      <c r="Z187" s="275">
        <f t="shared" si="58"/>
        <v>0</v>
      </c>
      <c r="AA187" s="276"/>
      <c r="AB187" s="297"/>
      <c r="AC187" s="275">
        <f t="shared" si="59"/>
        <v>0</v>
      </c>
      <c r="AD187" s="275"/>
      <c r="AE187" s="275"/>
      <c r="AF187" s="275">
        <f t="shared" si="46"/>
        <v>0</v>
      </c>
      <c r="AG187" s="303" t="s">
        <v>488</v>
      </c>
      <c r="AH187" s="303"/>
      <c r="AI187" s="275"/>
      <c r="AJ187" s="275"/>
      <c r="AK187" s="332"/>
      <c r="AL187" s="306"/>
    </row>
    <row r="188" s="254" customFormat="1" ht="18" customHeight="1" spans="1:38">
      <c r="A188" s="325">
        <v>14</v>
      </c>
      <c r="B188" s="282" t="s">
        <v>489</v>
      </c>
      <c r="C188" s="278" t="s">
        <v>490</v>
      </c>
      <c r="D188" s="272">
        <f t="shared" si="39"/>
        <v>0</v>
      </c>
      <c r="E188" s="320"/>
      <c r="F188" s="297">
        <v>0.15</v>
      </c>
      <c r="G188" s="275">
        <f t="shared" si="40"/>
        <v>0</v>
      </c>
      <c r="H188" s="276"/>
      <c r="I188" s="287"/>
      <c r="J188" s="288"/>
      <c r="K188" s="276"/>
      <c r="L188" s="287"/>
      <c r="M188" s="288"/>
      <c r="N188" s="276"/>
      <c r="O188" s="289">
        <f t="shared" si="63"/>
        <v>0</v>
      </c>
      <c r="P188" s="287"/>
      <c r="Q188" s="275">
        <f t="shared" si="64"/>
        <v>0</v>
      </c>
      <c r="R188" s="276"/>
      <c r="S188" s="297"/>
      <c r="T188" s="275">
        <f t="shared" si="56"/>
        <v>0</v>
      </c>
      <c r="U188" s="276"/>
      <c r="V188" s="297"/>
      <c r="W188" s="275">
        <f t="shared" si="57"/>
        <v>0</v>
      </c>
      <c r="X188" s="276"/>
      <c r="Y188" s="297"/>
      <c r="Z188" s="275">
        <f t="shared" si="58"/>
        <v>0</v>
      </c>
      <c r="AA188" s="276"/>
      <c r="AB188" s="297"/>
      <c r="AC188" s="275">
        <f t="shared" si="59"/>
        <v>0</v>
      </c>
      <c r="AD188" s="275"/>
      <c r="AE188" s="275"/>
      <c r="AF188" s="275">
        <f t="shared" si="46"/>
        <v>0</v>
      </c>
      <c r="AG188" s="337" t="s">
        <v>491</v>
      </c>
      <c r="AH188" s="337"/>
      <c r="AI188" s="275"/>
      <c r="AJ188" s="275"/>
      <c r="AK188" s="332"/>
      <c r="AL188" s="306"/>
    </row>
    <row r="189" s="254" customFormat="1" ht="18" customHeight="1" spans="1:38">
      <c r="A189" s="325">
        <v>30</v>
      </c>
      <c r="B189" s="271" t="s">
        <v>492</v>
      </c>
      <c r="C189" s="15" t="s">
        <v>493</v>
      </c>
      <c r="D189" s="272">
        <f t="shared" si="39"/>
        <v>0</v>
      </c>
      <c r="E189" s="291"/>
      <c r="F189" s="297">
        <v>0.1</v>
      </c>
      <c r="G189" s="275">
        <f t="shared" si="40"/>
        <v>0</v>
      </c>
      <c r="H189" s="276"/>
      <c r="I189" s="287"/>
      <c r="J189" s="288"/>
      <c r="K189" s="276"/>
      <c r="L189" s="287"/>
      <c r="M189" s="288"/>
      <c r="N189" s="276"/>
      <c r="O189" s="289">
        <f t="shared" si="63"/>
        <v>0</v>
      </c>
      <c r="P189" s="287"/>
      <c r="Q189" s="275">
        <f t="shared" si="64"/>
        <v>0</v>
      </c>
      <c r="R189" s="276"/>
      <c r="S189" s="297"/>
      <c r="T189" s="275">
        <f t="shared" si="56"/>
        <v>0</v>
      </c>
      <c r="U189" s="276"/>
      <c r="V189" s="297"/>
      <c r="W189" s="275">
        <f t="shared" si="57"/>
        <v>0</v>
      </c>
      <c r="X189" s="276"/>
      <c r="Y189" s="297"/>
      <c r="Z189" s="275">
        <f t="shared" si="58"/>
        <v>0</v>
      </c>
      <c r="AA189" s="276"/>
      <c r="AB189" s="297"/>
      <c r="AC189" s="275">
        <f t="shared" si="59"/>
        <v>0</v>
      </c>
      <c r="AD189" s="275"/>
      <c r="AE189" s="275"/>
      <c r="AF189" s="275">
        <f t="shared" si="46"/>
        <v>0</v>
      </c>
      <c r="AG189" s="303" t="s">
        <v>494</v>
      </c>
      <c r="AH189" s="303"/>
      <c r="AI189" s="275"/>
      <c r="AJ189" s="275"/>
      <c r="AK189" s="332"/>
      <c r="AL189" s="306"/>
    </row>
    <row r="190" s="254" customFormat="1" ht="18" customHeight="1" spans="1:38">
      <c r="A190" s="325">
        <v>32</v>
      </c>
      <c r="B190" s="271" t="s">
        <v>495</v>
      </c>
      <c r="C190" s="15" t="s">
        <v>496</v>
      </c>
      <c r="D190" s="272">
        <f t="shared" si="39"/>
        <v>0</v>
      </c>
      <c r="E190" s="291"/>
      <c r="F190" s="297">
        <v>0.1</v>
      </c>
      <c r="G190" s="275">
        <f t="shared" si="40"/>
        <v>0</v>
      </c>
      <c r="H190" s="276"/>
      <c r="I190" s="287"/>
      <c r="J190" s="288"/>
      <c r="K190" s="276"/>
      <c r="L190" s="287"/>
      <c r="M190" s="288"/>
      <c r="N190" s="276"/>
      <c r="O190" s="289">
        <f t="shared" si="63"/>
        <v>0</v>
      </c>
      <c r="P190" s="287"/>
      <c r="Q190" s="275">
        <f t="shared" si="64"/>
        <v>0</v>
      </c>
      <c r="R190" s="276"/>
      <c r="S190" s="297"/>
      <c r="T190" s="275">
        <f t="shared" si="56"/>
        <v>0</v>
      </c>
      <c r="U190" s="276"/>
      <c r="V190" s="297"/>
      <c r="W190" s="275">
        <f t="shared" si="57"/>
        <v>0</v>
      </c>
      <c r="X190" s="276"/>
      <c r="Y190" s="297"/>
      <c r="Z190" s="275">
        <f t="shared" si="58"/>
        <v>0</v>
      </c>
      <c r="AA190" s="276"/>
      <c r="AB190" s="297"/>
      <c r="AC190" s="275">
        <f t="shared" si="59"/>
        <v>0</v>
      </c>
      <c r="AD190" s="275"/>
      <c r="AE190" s="275"/>
      <c r="AF190" s="275">
        <f t="shared" si="46"/>
        <v>0</v>
      </c>
      <c r="AG190" s="303" t="s">
        <v>497</v>
      </c>
      <c r="AH190" s="303"/>
      <c r="AI190" s="275"/>
      <c r="AJ190" s="275"/>
      <c r="AK190" s="332"/>
      <c r="AL190" s="306"/>
    </row>
    <row r="191" s="254" customFormat="1" ht="18" customHeight="1" spans="1:38">
      <c r="A191" s="270">
        <v>35</v>
      </c>
      <c r="B191" s="271" t="s">
        <v>498</v>
      </c>
      <c r="C191" s="271" t="s">
        <v>499</v>
      </c>
      <c r="D191" s="272">
        <f t="shared" si="39"/>
        <v>0</v>
      </c>
      <c r="E191" s="291"/>
      <c r="F191" s="297">
        <v>0</v>
      </c>
      <c r="G191" s="275">
        <f t="shared" si="40"/>
        <v>0</v>
      </c>
      <c r="H191" s="276"/>
      <c r="I191" s="287"/>
      <c r="J191" s="288">
        <f t="shared" ref="J191:J196" si="65">ROUND(H191*I191,)</f>
        <v>0</v>
      </c>
      <c r="K191" s="276"/>
      <c r="L191" s="287"/>
      <c r="M191" s="288">
        <f t="shared" ref="M191:M196" si="66">ROUND(K191*L191,)</f>
        <v>0</v>
      </c>
      <c r="N191" s="276"/>
      <c r="O191" s="289">
        <f t="shared" si="63"/>
        <v>0</v>
      </c>
      <c r="P191" s="287"/>
      <c r="Q191" s="275">
        <f t="shared" si="64"/>
        <v>0</v>
      </c>
      <c r="R191" s="276"/>
      <c r="S191" s="297"/>
      <c r="T191" s="275">
        <f t="shared" si="56"/>
        <v>0</v>
      </c>
      <c r="U191" s="276"/>
      <c r="V191" s="297"/>
      <c r="W191" s="275">
        <f t="shared" si="57"/>
        <v>0</v>
      </c>
      <c r="X191" s="276"/>
      <c r="Y191" s="297"/>
      <c r="Z191" s="275">
        <f t="shared" si="58"/>
        <v>0</v>
      </c>
      <c r="AA191" s="276"/>
      <c r="AB191" s="297"/>
      <c r="AC191" s="275">
        <f t="shared" si="59"/>
        <v>0</v>
      </c>
      <c r="AD191" s="275"/>
      <c r="AE191" s="275"/>
      <c r="AF191" s="275">
        <f t="shared" si="46"/>
        <v>0</v>
      </c>
      <c r="AG191" s="303" t="s">
        <v>500</v>
      </c>
      <c r="AH191" s="303"/>
      <c r="AI191" s="275"/>
      <c r="AJ191" s="275"/>
      <c r="AK191" s="332"/>
      <c r="AL191" s="306"/>
    </row>
    <row r="192" s="254" customFormat="1" ht="18" customHeight="1" spans="1:38">
      <c r="A192" s="270">
        <v>37</v>
      </c>
      <c r="B192" s="271" t="s">
        <v>501</v>
      </c>
      <c r="C192" s="271" t="s">
        <v>501</v>
      </c>
      <c r="D192" s="272">
        <f t="shared" si="39"/>
        <v>0</v>
      </c>
      <c r="E192" s="291"/>
      <c r="F192" s="297">
        <v>0</v>
      </c>
      <c r="G192" s="275">
        <f t="shared" si="40"/>
        <v>0</v>
      </c>
      <c r="H192" s="276"/>
      <c r="I192" s="287"/>
      <c r="J192" s="288">
        <f t="shared" si="65"/>
        <v>0</v>
      </c>
      <c r="K192" s="276"/>
      <c r="L192" s="287"/>
      <c r="M192" s="288">
        <f t="shared" si="66"/>
        <v>0</v>
      </c>
      <c r="N192" s="276"/>
      <c r="O192" s="289">
        <f t="shared" si="63"/>
        <v>0</v>
      </c>
      <c r="P192" s="287"/>
      <c r="Q192" s="275">
        <f t="shared" si="64"/>
        <v>0</v>
      </c>
      <c r="R192" s="276"/>
      <c r="S192" s="297">
        <v>0.15</v>
      </c>
      <c r="T192" s="275">
        <f t="shared" si="56"/>
        <v>0</v>
      </c>
      <c r="U192" s="276"/>
      <c r="V192" s="297">
        <v>0.15</v>
      </c>
      <c r="W192" s="275">
        <f t="shared" si="57"/>
        <v>0</v>
      </c>
      <c r="X192" s="276"/>
      <c r="Y192" s="297">
        <v>0.15</v>
      </c>
      <c r="Z192" s="275">
        <f t="shared" si="58"/>
        <v>0</v>
      </c>
      <c r="AA192" s="276"/>
      <c r="AB192" s="297">
        <v>0.15</v>
      </c>
      <c r="AC192" s="275">
        <f t="shared" si="59"/>
        <v>0</v>
      </c>
      <c r="AD192" s="275"/>
      <c r="AE192" s="275"/>
      <c r="AF192" s="275">
        <f t="shared" si="46"/>
        <v>0</v>
      </c>
      <c r="AG192" s="303" t="s">
        <v>502</v>
      </c>
      <c r="AH192" s="303"/>
      <c r="AI192" s="275"/>
      <c r="AJ192" s="275"/>
      <c r="AK192" s="332"/>
      <c r="AL192" s="306"/>
    </row>
    <row r="193" s="254" customFormat="1" ht="18" customHeight="1" spans="1:38">
      <c r="A193" s="325">
        <v>40</v>
      </c>
      <c r="B193" s="322" t="s">
        <v>503</v>
      </c>
      <c r="C193" s="278" t="s">
        <v>504</v>
      </c>
      <c r="D193" s="272">
        <f t="shared" si="39"/>
        <v>0</v>
      </c>
      <c r="E193" s="320"/>
      <c r="F193" s="297">
        <v>0</v>
      </c>
      <c r="G193" s="275">
        <f t="shared" si="40"/>
        <v>0</v>
      </c>
      <c r="H193" s="276"/>
      <c r="I193" s="287"/>
      <c r="J193" s="288"/>
      <c r="K193" s="276"/>
      <c r="L193" s="287"/>
      <c r="M193" s="288"/>
      <c r="N193" s="276"/>
      <c r="O193" s="289">
        <f t="shared" si="63"/>
        <v>0</v>
      </c>
      <c r="P193" s="287">
        <v>0.1</v>
      </c>
      <c r="Q193" s="275">
        <f t="shared" si="64"/>
        <v>0</v>
      </c>
      <c r="R193" s="276"/>
      <c r="S193" s="297"/>
      <c r="T193" s="275">
        <f t="shared" si="56"/>
        <v>0</v>
      </c>
      <c r="U193" s="276"/>
      <c r="V193" s="297"/>
      <c r="W193" s="275">
        <f t="shared" si="57"/>
        <v>0</v>
      </c>
      <c r="X193" s="276"/>
      <c r="Y193" s="297"/>
      <c r="Z193" s="275">
        <f t="shared" si="58"/>
        <v>0</v>
      </c>
      <c r="AA193" s="276"/>
      <c r="AB193" s="297"/>
      <c r="AC193" s="275">
        <f t="shared" si="59"/>
        <v>0</v>
      </c>
      <c r="AD193" s="275"/>
      <c r="AE193" s="275"/>
      <c r="AF193" s="275">
        <f t="shared" si="46"/>
        <v>0</v>
      </c>
      <c r="AG193" s="303" t="s">
        <v>505</v>
      </c>
      <c r="AH193" s="303"/>
      <c r="AI193" s="275"/>
      <c r="AJ193" s="275"/>
      <c r="AK193" s="332"/>
      <c r="AL193" s="306"/>
    </row>
    <row r="194" s="254" customFormat="1" ht="18" customHeight="1" spans="1:38">
      <c r="A194" s="270">
        <v>31</v>
      </c>
      <c r="B194" s="271" t="s">
        <v>251</v>
      </c>
      <c r="C194" s="15" t="s">
        <v>506</v>
      </c>
      <c r="D194" s="272">
        <f t="shared" si="39"/>
        <v>0</v>
      </c>
      <c r="E194" s="291"/>
      <c r="F194" s="297">
        <v>0</v>
      </c>
      <c r="G194" s="275">
        <f t="shared" si="40"/>
        <v>0</v>
      </c>
      <c r="H194" s="276"/>
      <c r="I194" s="287"/>
      <c r="J194" s="288"/>
      <c r="K194" s="276"/>
      <c r="L194" s="287"/>
      <c r="M194" s="288"/>
      <c r="N194" s="276"/>
      <c r="O194" s="289">
        <f t="shared" si="63"/>
        <v>0</v>
      </c>
      <c r="P194" s="287">
        <v>0.1</v>
      </c>
      <c r="Q194" s="275">
        <f t="shared" si="64"/>
        <v>0</v>
      </c>
      <c r="R194" s="276"/>
      <c r="S194" s="297">
        <v>0</v>
      </c>
      <c r="T194" s="275">
        <f t="shared" si="56"/>
        <v>0</v>
      </c>
      <c r="U194" s="276"/>
      <c r="V194" s="297">
        <v>0</v>
      </c>
      <c r="W194" s="275">
        <f t="shared" si="57"/>
        <v>0</v>
      </c>
      <c r="X194" s="276"/>
      <c r="Y194" s="297">
        <v>0</v>
      </c>
      <c r="Z194" s="275">
        <f t="shared" si="58"/>
        <v>0</v>
      </c>
      <c r="AA194" s="276"/>
      <c r="AB194" s="297">
        <v>0</v>
      </c>
      <c r="AC194" s="275">
        <f t="shared" si="59"/>
        <v>0</v>
      </c>
      <c r="AD194" s="275"/>
      <c r="AE194" s="275"/>
      <c r="AF194" s="275">
        <f t="shared" si="46"/>
        <v>0</v>
      </c>
      <c r="AG194" s="337" t="s">
        <v>253</v>
      </c>
      <c r="AH194" s="337"/>
      <c r="AI194" s="275"/>
      <c r="AJ194" s="275"/>
      <c r="AK194" s="332"/>
      <c r="AL194" s="306"/>
    </row>
    <row r="195" s="254" customFormat="1" ht="18" customHeight="1" spans="1:38">
      <c r="A195" s="325">
        <v>8</v>
      </c>
      <c r="B195" s="271" t="s">
        <v>507</v>
      </c>
      <c r="C195" s="278" t="s">
        <v>508</v>
      </c>
      <c r="D195" s="272">
        <f t="shared" ref="D195:D211" si="67">E195+H195+O195</f>
        <v>0</v>
      </c>
      <c r="E195" s="291"/>
      <c r="F195" s="297">
        <v>0.18</v>
      </c>
      <c r="G195" s="275">
        <f t="shared" ref="G195:G210" si="68">ROUND(E195*F195,)</f>
        <v>0</v>
      </c>
      <c r="H195" s="276"/>
      <c r="I195" s="287"/>
      <c r="J195" s="288">
        <f t="shared" si="65"/>
        <v>0</v>
      </c>
      <c r="K195" s="276"/>
      <c r="L195" s="287"/>
      <c r="M195" s="288">
        <f t="shared" si="66"/>
        <v>0</v>
      </c>
      <c r="N195" s="276"/>
      <c r="O195" s="289">
        <f t="shared" si="63"/>
        <v>0</v>
      </c>
      <c r="P195" s="287">
        <v>0.1</v>
      </c>
      <c r="Q195" s="275">
        <f t="shared" si="64"/>
        <v>0</v>
      </c>
      <c r="R195" s="276"/>
      <c r="S195" s="297">
        <v>0.18</v>
      </c>
      <c r="T195" s="275">
        <f t="shared" si="56"/>
        <v>0</v>
      </c>
      <c r="U195" s="276"/>
      <c r="V195" s="297">
        <v>0.18</v>
      </c>
      <c r="W195" s="275">
        <f t="shared" si="57"/>
        <v>0</v>
      </c>
      <c r="X195" s="276"/>
      <c r="Y195" s="297">
        <v>0.18</v>
      </c>
      <c r="Z195" s="275">
        <f t="shared" si="58"/>
        <v>0</v>
      </c>
      <c r="AA195" s="276"/>
      <c r="AB195" s="297">
        <v>0.18</v>
      </c>
      <c r="AC195" s="275">
        <f t="shared" si="59"/>
        <v>0</v>
      </c>
      <c r="AD195" s="275"/>
      <c r="AE195" s="275"/>
      <c r="AF195" s="275">
        <f t="shared" ref="AF195:AF210" si="69">ROUND(G195+J195+M195+Q195+T195+W195+AC195+AD195+Z195+AE195,)</f>
        <v>0</v>
      </c>
      <c r="AG195" s="307" t="s">
        <v>509</v>
      </c>
      <c r="AH195" s="303"/>
      <c r="AI195" s="275"/>
      <c r="AJ195" s="275"/>
      <c r="AK195" s="332"/>
      <c r="AL195" s="306"/>
    </row>
    <row r="196" s="254" customFormat="1" ht="18" customHeight="1" spans="1:38">
      <c r="A196" s="325">
        <v>22</v>
      </c>
      <c r="B196" s="271" t="s">
        <v>510</v>
      </c>
      <c r="C196" s="15" t="s">
        <v>511</v>
      </c>
      <c r="D196" s="272">
        <f t="shared" si="67"/>
        <v>0</v>
      </c>
      <c r="E196" s="320"/>
      <c r="F196" s="297">
        <v>0.15</v>
      </c>
      <c r="G196" s="275">
        <f t="shared" si="68"/>
        <v>0</v>
      </c>
      <c r="H196" s="276"/>
      <c r="I196" s="287"/>
      <c r="J196" s="288">
        <f t="shared" si="65"/>
        <v>0</v>
      </c>
      <c r="K196" s="276"/>
      <c r="L196" s="287"/>
      <c r="M196" s="288">
        <f t="shared" si="66"/>
        <v>0</v>
      </c>
      <c r="N196" s="327"/>
      <c r="O196" s="289">
        <f t="shared" si="63"/>
        <v>0</v>
      </c>
      <c r="P196" s="287">
        <v>0.1</v>
      </c>
      <c r="Q196" s="275">
        <f t="shared" si="64"/>
        <v>0</v>
      </c>
      <c r="R196" s="281"/>
      <c r="S196" s="296"/>
      <c r="T196" s="275">
        <f t="shared" si="56"/>
        <v>0</v>
      </c>
      <c r="U196" s="281"/>
      <c r="V196" s="296"/>
      <c r="W196" s="275">
        <f t="shared" si="57"/>
        <v>0</v>
      </c>
      <c r="X196" s="281"/>
      <c r="Y196" s="296"/>
      <c r="Z196" s="275">
        <f t="shared" si="58"/>
        <v>0</v>
      </c>
      <c r="AA196" s="281"/>
      <c r="AB196" s="296"/>
      <c r="AC196" s="275">
        <f t="shared" si="59"/>
        <v>0</v>
      </c>
      <c r="AD196" s="299"/>
      <c r="AE196" s="299"/>
      <c r="AF196" s="275">
        <f t="shared" si="69"/>
        <v>0</v>
      </c>
      <c r="AG196" s="307" t="s">
        <v>512</v>
      </c>
      <c r="AH196" s="303"/>
      <c r="AI196" s="275"/>
      <c r="AJ196" s="275"/>
      <c r="AK196" s="311"/>
      <c r="AL196" s="306"/>
    </row>
    <row r="197" s="254" customFormat="1" ht="18" customHeight="1" spans="1:38">
      <c r="A197" s="325">
        <v>30</v>
      </c>
      <c r="B197" s="271" t="s">
        <v>513</v>
      </c>
      <c r="C197" s="278" t="s">
        <v>514</v>
      </c>
      <c r="D197" s="272">
        <f t="shared" si="67"/>
        <v>0</v>
      </c>
      <c r="E197" s="320"/>
      <c r="F197" s="297">
        <v>0.15</v>
      </c>
      <c r="G197" s="275">
        <f t="shared" si="68"/>
        <v>0</v>
      </c>
      <c r="H197" s="276"/>
      <c r="I197" s="287"/>
      <c r="J197" s="288"/>
      <c r="K197" s="276"/>
      <c r="L197" s="287"/>
      <c r="M197" s="288"/>
      <c r="N197" s="327"/>
      <c r="O197" s="289">
        <f t="shared" si="63"/>
        <v>0</v>
      </c>
      <c r="P197" s="287">
        <v>0.1</v>
      </c>
      <c r="Q197" s="275">
        <f t="shared" si="64"/>
        <v>0</v>
      </c>
      <c r="R197" s="276"/>
      <c r="S197" s="296"/>
      <c r="T197" s="275">
        <f t="shared" si="56"/>
        <v>0</v>
      </c>
      <c r="U197" s="276"/>
      <c r="V197" s="296"/>
      <c r="W197" s="275">
        <f t="shared" si="57"/>
        <v>0</v>
      </c>
      <c r="X197" s="276"/>
      <c r="Y197" s="296"/>
      <c r="Z197" s="275">
        <f t="shared" si="58"/>
        <v>0</v>
      </c>
      <c r="AA197" s="276"/>
      <c r="AB197" s="296"/>
      <c r="AC197" s="275">
        <f t="shared" si="59"/>
        <v>0</v>
      </c>
      <c r="AD197" s="275"/>
      <c r="AE197" s="275"/>
      <c r="AF197" s="275">
        <f t="shared" si="69"/>
        <v>0</v>
      </c>
      <c r="AG197" s="307" t="s">
        <v>515</v>
      </c>
      <c r="AH197" s="303"/>
      <c r="AI197" s="275"/>
      <c r="AJ197" s="275"/>
      <c r="AK197" s="311"/>
      <c r="AL197" s="306"/>
    </row>
    <row r="198" s="254" customFormat="1" ht="18" customHeight="1" spans="1:38">
      <c r="A198" s="325">
        <v>33</v>
      </c>
      <c r="B198" s="322" t="s">
        <v>516</v>
      </c>
      <c r="C198" s="339" t="s">
        <v>517</v>
      </c>
      <c r="D198" s="272">
        <f t="shared" si="67"/>
        <v>0</v>
      </c>
      <c r="E198" s="291"/>
      <c r="F198" s="297">
        <v>0.15</v>
      </c>
      <c r="G198" s="275">
        <f t="shared" si="68"/>
        <v>0</v>
      </c>
      <c r="H198" s="276"/>
      <c r="I198" s="287"/>
      <c r="J198" s="288">
        <f t="shared" ref="J198:J201" si="70">ROUND(H198*I198,)</f>
        <v>0</v>
      </c>
      <c r="K198" s="276"/>
      <c r="L198" s="287"/>
      <c r="M198" s="288">
        <f t="shared" ref="M198:M201" si="71">ROUND(K198*L198,)</f>
        <v>0</v>
      </c>
      <c r="N198" s="276"/>
      <c r="O198" s="289">
        <f t="shared" si="63"/>
        <v>0</v>
      </c>
      <c r="P198" s="287">
        <v>0.1</v>
      </c>
      <c r="Q198" s="275">
        <f t="shared" si="64"/>
        <v>0</v>
      </c>
      <c r="R198" s="276"/>
      <c r="S198" s="297">
        <v>0.15</v>
      </c>
      <c r="T198" s="275">
        <f t="shared" si="56"/>
        <v>0</v>
      </c>
      <c r="U198" s="276"/>
      <c r="V198" s="297">
        <v>0.15</v>
      </c>
      <c r="W198" s="275">
        <f t="shared" si="57"/>
        <v>0</v>
      </c>
      <c r="X198" s="276"/>
      <c r="Y198" s="297">
        <v>0.15</v>
      </c>
      <c r="Z198" s="275">
        <f t="shared" si="58"/>
        <v>0</v>
      </c>
      <c r="AA198" s="276"/>
      <c r="AB198" s="297">
        <v>0.15</v>
      </c>
      <c r="AC198" s="275">
        <f t="shared" si="59"/>
        <v>0</v>
      </c>
      <c r="AD198" s="275"/>
      <c r="AE198" s="275"/>
      <c r="AF198" s="275">
        <f t="shared" si="69"/>
        <v>0</v>
      </c>
      <c r="AG198" s="307" t="s">
        <v>518</v>
      </c>
      <c r="AH198" s="303"/>
      <c r="AI198" s="275"/>
      <c r="AJ198" s="275"/>
      <c r="AK198" s="332"/>
      <c r="AL198" s="306"/>
    </row>
    <row r="199" s="254" customFormat="1" ht="18" customHeight="1" spans="1:38">
      <c r="A199" s="325">
        <v>36</v>
      </c>
      <c r="B199" s="271" t="s">
        <v>519</v>
      </c>
      <c r="C199" s="317" t="s">
        <v>520</v>
      </c>
      <c r="D199" s="272">
        <f t="shared" si="67"/>
        <v>0</v>
      </c>
      <c r="E199" s="291"/>
      <c r="F199" s="297">
        <v>0.1</v>
      </c>
      <c r="G199" s="275">
        <f t="shared" si="68"/>
        <v>0</v>
      </c>
      <c r="H199" s="276"/>
      <c r="I199" s="287"/>
      <c r="J199" s="288">
        <f t="shared" si="70"/>
        <v>0</v>
      </c>
      <c r="K199" s="276"/>
      <c r="L199" s="287"/>
      <c r="M199" s="288">
        <f t="shared" si="71"/>
        <v>0</v>
      </c>
      <c r="N199" s="276"/>
      <c r="O199" s="289">
        <f t="shared" si="63"/>
        <v>0</v>
      </c>
      <c r="P199" s="287"/>
      <c r="Q199" s="275">
        <f t="shared" si="64"/>
        <v>0</v>
      </c>
      <c r="R199" s="276"/>
      <c r="S199" s="297"/>
      <c r="T199" s="275">
        <f t="shared" si="56"/>
        <v>0</v>
      </c>
      <c r="U199" s="276"/>
      <c r="V199" s="297"/>
      <c r="W199" s="275">
        <f t="shared" si="57"/>
        <v>0</v>
      </c>
      <c r="X199" s="276"/>
      <c r="Y199" s="297"/>
      <c r="Z199" s="275">
        <f t="shared" si="58"/>
        <v>0</v>
      </c>
      <c r="AA199" s="276"/>
      <c r="AB199" s="297"/>
      <c r="AC199" s="275">
        <f t="shared" si="59"/>
        <v>0</v>
      </c>
      <c r="AD199" s="275"/>
      <c r="AE199" s="275"/>
      <c r="AF199" s="275">
        <f t="shared" si="69"/>
        <v>0</v>
      </c>
      <c r="AG199" s="303" t="s">
        <v>521</v>
      </c>
      <c r="AH199" s="303"/>
      <c r="AI199" s="275"/>
      <c r="AJ199" s="275"/>
      <c r="AK199" s="332"/>
      <c r="AL199" s="306"/>
    </row>
    <row r="200" s="254" customFormat="1" ht="18" customHeight="1" spans="1:38">
      <c r="A200" s="325">
        <v>41</v>
      </c>
      <c r="B200" s="271" t="s">
        <v>522</v>
      </c>
      <c r="C200" s="278" t="s">
        <v>522</v>
      </c>
      <c r="D200" s="272">
        <f t="shared" si="67"/>
        <v>0</v>
      </c>
      <c r="E200" s="320"/>
      <c r="F200" s="297">
        <v>0.15</v>
      </c>
      <c r="G200" s="275">
        <f t="shared" si="68"/>
        <v>0</v>
      </c>
      <c r="H200" s="276"/>
      <c r="I200" s="287"/>
      <c r="J200" s="288">
        <f t="shared" si="70"/>
        <v>0</v>
      </c>
      <c r="K200" s="276"/>
      <c r="L200" s="287"/>
      <c r="M200" s="288">
        <f t="shared" si="71"/>
        <v>0</v>
      </c>
      <c r="N200" s="276"/>
      <c r="O200" s="289">
        <f t="shared" si="63"/>
        <v>0</v>
      </c>
      <c r="P200" s="287">
        <v>0.1</v>
      </c>
      <c r="Q200" s="275">
        <f t="shared" si="64"/>
        <v>0</v>
      </c>
      <c r="R200" s="276"/>
      <c r="S200" s="296"/>
      <c r="T200" s="275">
        <f t="shared" si="56"/>
        <v>0</v>
      </c>
      <c r="U200" s="276"/>
      <c r="V200" s="296"/>
      <c r="W200" s="275">
        <f t="shared" si="57"/>
        <v>0</v>
      </c>
      <c r="X200" s="276"/>
      <c r="Y200" s="296"/>
      <c r="Z200" s="275">
        <f t="shared" si="58"/>
        <v>0</v>
      </c>
      <c r="AA200" s="276"/>
      <c r="AB200" s="296"/>
      <c r="AC200" s="275">
        <f t="shared" si="59"/>
        <v>0</v>
      </c>
      <c r="AD200" s="275"/>
      <c r="AE200" s="275"/>
      <c r="AF200" s="275">
        <f t="shared" si="69"/>
        <v>0</v>
      </c>
      <c r="AG200" s="307" t="s">
        <v>523</v>
      </c>
      <c r="AH200" s="303"/>
      <c r="AI200" s="275"/>
      <c r="AJ200" s="275"/>
      <c r="AK200" s="315"/>
      <c r="AL200" s="306"/>
    </row>
    <row r="201" s="254" customFormat="1" ht="18" customHeight="1" spans="1:38">
      <c r="A201" s="325">
        <v>43</v>
      </c>
      <c r="B201" s="278" t="s">
        <v>101</v>
      </c>
      <c r="C201" s="278" t="s">
        <v>101</v>
      </c>
      <c r="D201" s="272">
        <f t="shared" si="67"/>
        <v>0</v>
      </c>
      <c r="E201" s="273"/>
      <c r="F201" s="297">
        <v>0</v>
      </c>
      <c r="G201" s="275">
        <f t="shared" si="68"/>
        <v>0</v>
      </c>
      <c r="H201" s="276"/>
      <c r="I201" s="287"/>
      <c r="J201" s="288">
        <f t="shared" si="70"/>
        <v>0</v>
      </c>
      <c r="K201" s="276"/>
      <c r="L201" s="287"/>
      <c r="M201" s="288">
        <f t="shared" si="71"/>
        <v>0</v>
      </c>
      <c r="N201" s="276"/>
      <c r="O201" s="289">
        <f t="shared" si="63"/>
        <v>0</v>
      </c>
      <c r="P201" s="287">
        <v>0.1</v>
      </c>
      <c r="Q201" s="275">
        <f t="shared" si="64"/>
        <v>0</v>
      </c>
      <c r="R201" s="276"/>
      <c r="S201" s="297">
        <v>0</v>
      </c>
      <c r="T201" s="275">
        <f t="shared" si="56"/>
        <v>0</v>
      </c>
      <c r="U201" s="276"/>
      <c r="V201" s="297">
        <v>0</v>
      </c>
      <c r="W201" s="275">
        <f t="shared" si="57"/>
        <v>0</v>
      </c>
      <c r="X201" s="276"/>
      <c r="Y201" s="297">
        <v>0</v>
      </c>
      <c r="Z201" s="275">
        <f t="shared" si="58"/>
        <v>0</v>
      </c>
      <c r="AA201" s="276"/>
      <c r="AB201" s="297">
        <v>0</v>
      </c>
      <c r="AC201" s="275">
        <f t="shared" si="59"/>
        <v>0</v>
      </c>
      <c r="AD201" s="275"/>
      <c r="AE201" s="275"/>
      <c r="AF201" s="275">
        <f t="shared" si="69"/>
        <v>0</v>
      </c>
      <c r="AG201" s="363">
        <v>6230200201707710</v>
      </c>
      <c r="AH201" s="364"/>
      <c r="AI201" s="275"/>
      <c r="AJ201" s="275"/>
      <c r="AK201" s="332"/>
      <c r="AL201" s="306"/>
    </row>
    <row r="202" s="254" customFormat="1" ht="18" customHeight="1" spans="1:38">
      <c r="A202" s="325">
        <v>46</v>
      </c>
      <c r="B202" s="340" t="s">
        <v>524</v>
      </c>
      <c r="C202" s="278" t="s">
        <v>525</v>
      </c>
      <c r="D202" s="272">
        <f t="shared" si="67"/>
        <v>0</v>
      </c>
      <c r="E202" s="281"/>
      <c r="F202" s="297">
        <v>0</v>
      </c>
      <c r="G202" s="275">
        <f t="shared" si="68"/>
        <v>0</v>
      </c>
      <c r="H202" s="276"/>
      <c r="I202" s="287"/>
      <c r="J202" s="288"/>
      <c r="K202" s="276"/>
      <c r="L202" s="287"/>
      <c r="M202" s="288"/>
      <c r="N202" s="327"/>
      <c r="O202" s="289">
        <f t="shared" si="63"/>
        <v>0</v>
      </c>
      <c r="P202" s="287">
        <v>0.1</v>
      </c>
      <c r="Q202" s="275">
        <f t="shared" si="64"/>
        <v>0</v>
      </c>
      <c r="R202" s="276"/>
      <c r="S202" s="296">
        <v>0</v>
      </c>
      <c r="T202" s="275">
        <f t="shared" si="56"/>
        <v>0</v>
      </c>
      <c r="U202" s="276"/>
      <c r="V202" s="296">
        <v>0</v>
      </c>
      <c r="W202" s="275">
        <f t="shared" si="57"/>
        <v>0</v>
      </c>
      <c r="X202" s="276"/>
      <c r="Y202" s="296">
        <v>0</v>
      </c>
      <c r="Z202" s="275">
        <f t="shared" si="58"/>
        <v>0</v>
      </c>
      <c r="AA202" s="276"/>
      <c r="AB202" s="296">
        <v>0</v>
      </c>
      <c r="AC202" s="275">
        <f t="shared" si="59"/>
        <v>0</v>
      </c>
      <c r="AD202" s="275"/>
      <c r="AE202" s="275"/>
      <c r="AF202" s="275">
        <f t="shared" si="69"/>
        <v>0</v>
      </c>
      <c r="AG202" s="307"/>
      <c r="AH202" s="303"/>
      <c r="AI202" s="275"/>
      <c r="AJ202" s="275"/>
      <c r="AK202" s="311"/>
      <c r="AL202" s="306"/>
    </row>
    <row r="203" s="254" customFormat="1" ht="18" customHeight="1" spans="1:38">
      <c r="A203" s="325">
        <v>47</v>
      </c>
      <c r="B203" s="322" t="s">
        <v>526</v>
      </c>
      <c r="C203" s="278" t="s">
        <v>526</v>
      </c>
      <c r="D203" s="272">
        <f t="shared" si="67"/>
        <v>0</v>
      </c>
      <c r="E203" s="320"/>
      <c r="F203" s="297">
        <v>0</v>
      </c>
      <c r="G203" s="275">
        <f t="shared" si="68"/>
        <v>0</v>
      </c>
      <c r="H203" s="276"/>
      <c r="I203" s="287"/>
      <c r="J203" s="288"/>
      <c r="K203" s="276"/>
      <c r="L203" s="287"/>
      <c r="M203" s="288"/>
      <c r="N203" s="327"/>
      <c r="O203" s="289">
        <f t="shared" si="63"/>
        <v>0</v>
      </c>
      <c r="P203" s="287">
        <v>0.1</v>
      </c>
      <c r="Q203" s="275">
        <f t="shared" si="64"/>
        <v>0</v>
      </c>
      <c r="R203" s="276"/>
      <c r="S203" s="296"/>
      <c r="T203" s="275">
        <f t="shared" si="56"/>
        <v>0</v>
      </c>
      <c r="U203" s="276"/>
      <c r="V203" s="296"/>
      <c r="W203" s="275">
        <f t="shared" si="57"/>
        <v>0</v>
      </c>
      <c r="X203" s="276"/>
      <c r="Y203" s="296"/>
      <c r="Z203" s="275">
        <f t="shared" si="58"/>
        <v>0</v>
      </c>
      <c r="AA203" s="276"/>
      <c r="AB203" s="296"/>
      <c r="AC203" s="275">
        <f t="shared" si="59"/>
        <v>0</v>
      </c>
      <c r="AD203" s="275"/>
      <c r="AE203" s="275"/>
      <c r="AF203" s="275">
        <f t="shared" si="69"/>
        <v>0</v>
      </c>
      <c r="AG203" s="307" t="s">
        <v>527</v>
      </c>
      <c r="AH203" s="303"/>
      <c r="AI203" s="275"/>
      <c r="AJ203" s="275"/>
      <c r="AK203" s="311"/>
      <c r="AL203" s="306"/>
    </row>
    <row r="204" s="254" customFormat="1" ht="18" customHeight="1" spans="1:38">
      <c r="A204" s="325">
        <v>48</v>
      </c>
      <c r="B204" s="271" t="s">
        <v>268</v>
      </c>
      <c r="C204" s="278" t="s">
        <v>268</v>
      </c>
      <c r="D204" s="272">
        <f t="shared" si="67"/>
        <v>0</v>
      </c>
      <c r="E204" s="273"/>
      <c r="F204" s="297">
        <v>0.15</v>
      </c>
      <c r="G204" s="275">
        <f t="shared" si="68"/>
        <v>0</v>
      </c>
      <c r="H204" s="276"/>
      <c r="I204" s="287"/>
      <c r="J204" s="288">
        <f t="shared" ref="J204:J207" si="72">ROUND(H204*I204,)</f>
        <v>0</v>
      </c>
      <c r="K204" s="276"/>
      <c r="L204" s="287"/>
      <c r="M204" s="288">
        <f t="shared" ref="M204:M207" si="73">ROUND(K204*L204,)</f>
        <v>0</v>
      </c>
      <c r="N204" s="327"/>
      <c r="O204" s="289">
        <f t="shared" si="63"/>
        <v>0</v>
      </c>
      <c r="P204" s="287">
        <v>0.1</v>
      </c>
      <c r="Q204" s="275">
        <f t="shared" si="64"/>
        <v>0</v>
      </c>
      <c r="R204" s="281"/>
      <c r="S204" s="296"/>
      <c r="T204" s="275">
        <f t="shared" si="56"/>
        <v>0</v>
      </c>
      <c r="U204" s="281"/>
      <c r="V204" s="296"/>
      <c r="W204" s="275">
        <f t="shared" si="57"/>
        <v>0</v>
      </c>
      <c r="X204" s="281"/>
      <c r="Y204" s="296"/>
      <c r="Z204" s="275">
        <f t="shared" si="58"/>
        <v>0</v>
      </c>
      <c r="AA204" s="281"/>
      <c r="AB204" s="296"/>
      <c r="AC204" s="275">
        <f t="shared" si="59"/>
        <v>0</v>
      </c>
      <c r="AD204" s="299"/>
      <c r="AE204" s="299"/>
      <c r="AF204" s="275">
        <f t="shared" si="69"/>
        <v>0</v>
      </c>
      <c r="AG204" s="307" t="s">
        <v>269</v>
      </c>
      <c r="AH204" s="303"/>
      <c r="AI204" s="275"/>
      <c r="AJ204" s="275"/>
      <c r="AK204" s="311"/>
      <c r="AL204" s="306"/>
    </row>
    <row r="205" s="254" customFormat="1" ht="18" customHeight="1" spans="1:38">
      <c r="A205" s="325">
        <v>50</v>
      </c>
      <c r="B205" s="271" t="s">
        <v>528</v>
      </c>
      <c r="C205" s="278" t="s">
        <v>529</v>
      </c>
      <c r="D205" s="272">
        <f t="shared" si="67"/>
        <v>0</v>
      </c>
      <c r="E205" s="273"/>
      <c r="F205" s="297">
        <v>0.15</v>
      </c>
      <c r="G205" s="275">
        <f t="shared" si="68"/>
        <v>0</v>
      </c>
      <c r="H205" s="276"/>
      <c r="I205" s="287"/>
      <c r="J205" s="288">
        <f t="shared" si="72"/>
        <v>0</v>
      </c>
      <c r="K205" s="276"/>
      <c r="L205" s="287"/>
      <c r="M205" s="288">
        <f t="shared" si="73"/>
        <v>0</v>
      </c>
      <c r="N205" s="276"/>
      <c r="O205" s="289">
        <f t="shared" si="63"/>
        <v>0</v>
      </c>
      <c r="P205" s="287">
        <v>0.1</v>
      </c>
      <c r="Q205" s="275">
        <f t="shared" si="64"/>
        <v>0</v>
      </c>
      <c r="R205" s="276"/>
      <c r="S205" s="297"/>
      <c r="T205" s="275">
        <f t="shared" si="56"/>
        <v>0</v>
      </c>
      <c r="U205" s="276"/>
      <c r="V205" s="297"/>
      <c r="W205" s="275">
        <f t="shared" si="57"/>
        <v>0</v>
      </c>
      <c r="X205" s="276"/>
      <c r="Y205" s="297"/>
      <c r="Z205" s="275">
        <f t="shared" si="58"/>
        <v>0</v>
      </c>
      <c r="AA205" s="276"/>
      <c r="AB205" s="297"/>
      <c r="AC205" s="275">
        <f t="shared" si="59"/>
        <v>0</v>
      </c>
      <c r="AD205" s="275"/>
      <c r="AE205" s="275"/>
      <c r="AF205" s="275">
        <f t="shared" si="69"/>
        <v>0</v>
      </c>
      <c r="AG205" s="307" t="s">
        <v>530</v>
      </c>
      <c r="AH205" s="303"/>
      <c r="AI205" s="275"/>
      <c r="AJ205" s="275"/>
      <c r="AK205" s="332"/>
      <c r="AL205" s="306"/>
    </row>
    <row r="206" s="254" customFormat="1" ht="18" customHeight="1" spans="1:38">
      <c r="A206" s="325">
        <v>21</v>
      </c>
      <c r="B206" s="271" t="s">
        <v>531</v>
      </c>
      <c r="C206" s="15" t="s">
        <v>532</v>
      </c>
      <c r="D206" s="272">
        <f t="shared" si="67"/>
        <v>0</v>
      </c>
      <c r="E206" s="321"/>
      <c r="F206" s="297">
        <v>0.2</v>
      </c>
      <c r="G206" s="275">
        <f t="shared" si="68"/>
        <v>0</v>
      </c>
      <c r="H206" s="276"/>
      <c r="I206" s="287"/>
      <c r="J206" s="288">
        <f t="shared" si="72"/>
        <v>0</v>
      </c>
      <c r="K206" s="276"/>
      <c r="L206" s="287"/>
      <c r="M206" s="288">
        <f t="shared" si="73"/>
        <v>0</v>
      </c>
      <c r="N206" s="276"/>
      <c r="O206" s="289">
        <f t="shared" si="63"/>
        <v>0</v>
      </c>
      <c r="P206" s="287">
        <v>0.1</v>
      </c>
      <c r="Q206" s="275">
        <f t="shared" si="64"/>
        <v>0</v>
      </c>
      <c r="R206" s="276"/>
      <c r="S206" s="297">
        <v>0.18</v>
      </c>
      <c r="T206" s="275">
        <f t="shared" si="56"/>
        <v>0</v>
      </c>
      <c r="U206" s="276"/>
      <c r="V206" s="297">
        <v>0.18</v>
      </c>
      <c r="W206" s="275">
        <f t="shared" si="57"/>
        <v>0</v>
      </c>
      <c r="X206" s="276"/>
      <c r="Y206" s="297">
        <v>0.18</v>
      </c>
      <c r="Z206" s="275">
        <f t="shared" si="58"/>
        <v>0</v>
      </c>
      <c r="AA206" s="276"/>
      <c r="AB206" s="297">
        <v>0.18</v>
      </c>
      <c r="AC206" s="275">
        <f t="shared" si="59"/>
        <v>0</v>
      </c>
      <c r="AD206" s="275"/>
      <c r="AE206" s="275"/>
      <c r="AF206" s="275">
        <f t="shared" si="69"/>
        <v>0</v>
      </c>
      <c r="AG206" s="307" t="s">
        <v>533</v>
      </c>
      <c r="AH206" s="303"/>
      <c r="AI206" s="275"/>
      <c r="AJ206" s="275"/>
      <c r="AK206" s="332"/>
      <c r="AL206" s="306"/>
    </row>
    <row r="207" s="254" customFormat="1" ht="18" customHeight="1" spans="1:38">
      <c r="A207" s="325">
        <v>31</v>
      </c>
      <c r="B207" s="282" t="s">
        <v>534</v>
      </c>
      <c r="C207" s="278" t="s">
        <v>535</v>
      </c>
      <c r="D207" s="272">
        <f t="shared" si="67"/>
        <v>0</v>
      </c>
      <c r="E207" s="320"/>
      <c r="F207" s="297">
        <v>0</v>
      </c>
      <c r="G207" s="275">
        <f t="shared" si="68"/>
        <v>0</v>
      </c>
      <c r="H207" s="276"/>
      <c r="I207" s="287"/>
      <c r="J207" s="288">
        <f t="shared" si="72"/>
        <v>0</v>
      </c>
      <c r="K207" s="276"/>
      <c r="L207" s="287"/>
      <c r="M207" s="288">
        <f t="shared" si="73"/>
        <v>0</v>
      </c>
      <c r="N207" s="276"/>
      <c r="O207" s="289">
        <f t="shared" si="63"/>
        <v>0</v>
      </c>
      <c r="P207" s="287">
        <v>0.1</v>
      </c>
      <c r="Q207" s="275">
        <f t="shared" si="64"/>
        <v>0</v>
      </c>
      <c r="R207" s="276"/>
      <c r="S207" s="297"/>
      <c r="T207" s="275">
        <f t="shared" si="56"/>
        <v>0</v>
      </c>
      <c r="U207" s="276"/>
      <c r="V207" s="297"/>
      <c r="W207" s="275">
        <f t="shared" si="57"/>
        <v>0</v>
      </c>
      <c r="X207" s="276"/>
      <c r="Y207" s="297"/>
      <c r="Z207" s="275">
        <f t="shared" si="58"/>
        <v>0</v>
      </c>
      <c r="AA207" s="276"/>
      <c r="AB207" s="297"/>
      <c r="AC207" s="275">
        <f t="shared" si="59"/>
        <v>0</v>
      </c>
      <c r="AD207" s="275"/>
      <c r="AE207" s="275"/>
      <c r="AF207" s="275">
        <f t="shared" si="69"/>
        <v>0</v>
      </c>
      <c r="AG207" s="307" t="s">
        <v>536</v>
      </c>
      <c r="AH207" s="303"/>
      <c r="AI207" s="275"/>
      <c r="AJ207" s="275"/>
      <c r="AK207" s="332"/>
      <c r="AL207" s="306"/>
    </row>
    <row r="208" s="254" customFormat="1" ht="18" customHeight="1" spans="1:38">
      <c r="A208" s="325">
        <v>32</v>
      </c>
      <c r="B208" s="271" t="s">
        <v>537</v>
      </c>
      <c r="C208" s="323" t="s">
        <v>538</v>
      </c>
      <c r="D208" s="272">
        <f t="shared" si="67"/>
        <v>0</v>
      </c>
      <c r="E208" s="320"/>
      <c r="F208" s="297">
        <v>0.1</v>
      </c>
      <c r="G208" s="275">
        <f t="shared" si="68"/>
        <v>0</v>
      </c>
      <c r="H208" s="276"/>
      <c r="I208" s="287"/>
      <c r="J208" s="288"/>
      <c r="K208" s="276"/>
      <c r="L208" s="287"/>
      <c r="M208" s="288"/>
      <c r="N208" s="276"/>
      <c r="O208" s="289"/>
      <c r="P208" s="287"/>
      <c r="Q208" s="275">
        <f t="shared" si="64"/>
        <v>0</v>
      </c>
      <c r="R208" s="276"/>
      <c r="S208" s="297"/>
      <c r="T208" s="275">
        <f t="shared" si="56"/>
        <v>0</v>
      </c>
      <c r="U208" s="276"/>
      <c r="V208" s="297"/>
      <c r="W208" s="275">
        <f t="shared" si="57"/>
        <v>0</v>
      </c>
      <c r="X208" s="276"/>
      <c r="Y208" s="297"/>
      <c r="Z208" s="275">
        <f t="shared" si="58"/>
        <v>0</v>
      </c>
      <c r="AA208" s="276"/>
      <c r="AB208" s="297"/>
      <c r="AC208" s="275">
        <f t="shared" si="59"/>
        <v>0</v>
      </c>
      <c r="AD208" s="275"/>
      <c r="AE208" s="275"/>
      <c r="AF208" s="275">
        <f t="shared" si="69"/>
        <v>0</v>
      </c>
      <c r="AG208" s="303" t="s">
        <v>539</v>
      </c>
      <c r="AH208" s="303"/>
      <c r="AI208" s="275"/>
      <c r="AJ208" s="275"/>
      <c r="AK208" s="332"/>
      <c r="AL208" s="306"/>
    </row>
    <row r="209" s="254" customFormat="1" ht="18" customHeight="1" spans="1:38">
      <c r="A209" s="325">
        <v>33</v>
      </c>
      <c r="B209" s="271" t="s">
        <v>540</v>
      </c>
      <c r="C209" s="341" t="s">
        <v>540</v>
      </c>
      <c r="D209" s="272">
        <f t="shared" si="67"/>
        <v>0</v>
      </c>
      <c r="E209" s="291"/>
      <c r="F209" s="297">
        <v>0</v>
      </c>
      <c r="G209" s="275">
        <f t="shared" si="68"/>
        <v>0</v>
      </c>
      <c r="H209" s="276"/>
      <c r="I209" s="287"/>
      <c r="J209" s="288">
        <f>ROUND(H209*I209,)</f>
        <v>0</v>
      </c>
      <c r="K209" s="276"/>
      <c r="L209" s="287"/>
      <c r="M209" s="288">
        <f>ROUND(K209*L209,)</f>
        <v>0</v>
      </c>
      <c r="N209" s="276"/>
      <c r="O209" s="289">
        <f>N209*0.83</f>
        <v>0</v>
      </c>
      <c r="P209" s="287">
        <v>0.1</v>
      </c>
      <c r="Q209" s="275">
        <f t="shared" si="64"/>
        <v>0</v>
      </c>
      <c r="R209" s="276"/>
      <c r="S209" s="297"/>
      <c r="T209" s="275">
        <f t="shared" si="56"/>
        <v>0</v>
      </c>
      <c r="U209" s="276"/>
      <c r="V209" s="297"/>
      <c r="W209" s="275">
        <f t="shared" si="57"/>
        <v>0</v>
      </c>
      <c r="X209" s="276"/>
      <c r="Y209" s="297"/>
      <c r="Z209" s="275">
        <f t="shared" si="58"/>
        <v>0</v>
      </c>
      <c r="AA209" s="276"/>
      <c r="AB209" s="297"/>
      <c r="AC209" s="275">
        <f t="shared" si="59"/>
        <v>0</v>
      </c>
      <c r="AD209" s="275"/>
      <c r="AE209" s="275"/>
      <c r="AF209" s="275">
        <f t="shared" si="69"/>
        <v>0</v>
      </c>
      <c r="AG209" s="303" t="s">
        <v>541</v>
      </c>
      <c r="AH209" s="303"/>
      <c r="AI209" s="275"/>
      <c r="AJ209" s="275"/>
      <c r="AK209" s="332"/>
      <c r="AL209" s="306"/>
    </row>
    <row r="210" s="254" customFormat="1" ht="18" customHeight="1" spans="1:38">
      <c r="A210" s="325">
        <v>34</v>
      </c>
      <c r="B210" s="271" t="s">
        <v>542</v>
      </c>
      <c r="C210" s="342" t="s">
        <v>542</v>
      </c>
      <c r="D210" s="272">
        <f t="shared" si="67"/>
        <v>0</v>
      </c>
      <c r="E210" s="324"/>
      <c r="F210" s="297">
        <v>0.1</v>
      </c>
      <c r="G210" s="275">
        <f t="shared" si="68"/>
        <v>0</v>
      </c>
      <c r="H210" s="276"/>
      <c r="I210" s="287"/>
      <c r="J210" s="288">
        <f>ROUND(H210*I210,)</f>
        <v>0</v>
      </c>
      <c r="K210" s="276"/>
      <c r="L210" s="287"/>
      <c r="M210" s="288">
        <f>ROUND(K210*L210,)</f>
        <v>0</v>
      </c>
      <c r="N210" s="327"/>
      <c r="O210" s="289">
        <f>N210*0.83</f>
        <v>0</v>
      </c>
      <c r="P210" s="287"/>
      <c r="Q210" s="275"/>
      <c r="R210" s="276"/>
      <c r="S210" s="296"/>
      <c r="T210" s="275">
        <f t="shared" si="56"/>
        <v>0</v>
      </c>
      <c r="U210" s="276"/>
      <c r="V210" s="296"/>
      <c r="W210" s="275">
        <f t="shared" si="57"/>
        <v>0</v>
      </c>
      <c r="X210" s="276"/>
      <c r="Y210" s="296"/>
      <c r="Z210" s="275">
        <f t="shared" si="58"/>
        <v>0</v>
      </c>
      <c r="AA210" s="276"/>
      <c r="AB210" s="296"/>
      <c r="AC210" s="275">
        <f t="shared" si="59"/>
        <v>0</v>
      </c>
      <c r="AD210" s="275"/>
      <c r="AE210" s="275"/>
      <c r="AF210" s="275">
        <f t="shared" si="69"/>
        <v>0</v>
      </c>
      <c r="AG210" s="303" t="s">
        <v>543</v>
      </c>
      <c r="AH210" s="303"/>
      <c r="AI210" s="275"/>
      <c r="AJ210" s="275"/>
      <c r="AK210" s="311"/>
      <c r="AL210" s="306"/>
    </row>
    <row r="211" s="254" customFormat="1" ht="15" customHeight="1" spans="1:38">
      <c r="A211" s="343">
        <v>37</v>
      </c>
      <c r="B211" s="344" t="s">
        <v>16</v>
      </c>
      <c r="C211" s="345"/>
      <c r="D211" s="345">
        <f t="shared" si="67"/>
        <v>1160925.06</v>
      </c>
      <c r="E211" s="346">
        <f t="shared" ref="E211:H211" si="74">SUM(E3:E210)</f>
        <v>1099258</v>
      </c>
      <c r="F211" s="346"/>
      <c r="G211" s="346">
        <f t="shared" si="74"/>
        <v>274821</v>
      </c>
      <c r="H211" s="346">
        <f t="shared" si="74"/>
        <v>32394</v>
      </c>
      <c r="I211" s="346"/>
      <c r="J211" s="346">
        <f t="shared" ref="J211:O211" si="75">SUM(J3:J210)</f>
        <v>0</v>
      </c>
      <c r="K211" s="346">
        <f t="shared" si="75"/>
        <v>649500</v>
      </c>
      <c r="L211" s="346"/>
      <c r="M211" s="346">
        <f t="shared" si="75"/>
        <v>32476</v>
      </c>
      <c r="N211" s="346">
        <f t="shared" si="75"/>
        <v>34246</v>
      </c>
      <c r="O211" s="361">
        <f t="shared" si="75"/>
        <v>29273.06</v>
      </c>
      <c r="P211" s="346"/>
      <c r="Q211" s="361">
        <f t="shared" ref="Q211:U211" si="76">SUM(Q3:Q210)</f>
        <v>1024.14</v>
      </c>
      <c r="R211" s="346">
        <f t="shared" si="76"/>
        <v>0</v>
      </c>
      <c r="S211" s="346"/>
      <c r="T211" s="361">
        <f t="shared" si="76"/>
        <v>0</v>
      </c>
      <c r="U211" s="346">
        <f t="shared" si="76"/>
        <v>0</v>
      </c>
      <c r="V211" s="346"/>
      <c r="W211" s="361">
        <f t="shared" ref="W211:AA211" si="77">SUM(W3:W210)</f>
        <v>0</v>
      </c>
      <c r="X211" s="346">
        <f t="shared" si="77"/>
        <v>0</v>
      </c>
      <c r="Y211" s="346"/>
      <c r="Z211" s="361">
        <f t="shared" si="77"/>
        <v>0</v>
      </c>
      <c r="AA211" s="346">
        <f t="shared" si="77"/>
        <v>0</v>
      </c>
      <c r="AB211" s="346"/>
      <c r="AC211" s="361">
        <f t="shared" ref="AC211:AF211" si="78">SUM(AC3:AC210)</f>
        <v>0</v>
      </c>
      <c r="AD211" s="346">
        <f t="shared" si="78"/>
        <v>15500</v>
      </c>
      <c r="AE211" s="346">
        <f t="shared" si="78"/>
        <v>0</v>
      </c>
      <c r="AF211" s="362">
        <f t="shared" si="78"/>
        <v>323821</v>
      </c>
      <c r="AG211" s="365"/>
      <c r="AH211" s="366"/>
      <c r="AI211" s="365"/>
      <c r="AJ211" s="365"/>
      <c r="AK211" s="367"/>
      <c r="AL211" s="306"/>
    </row>
    <row r="212" s="254" customFormat="1" ht="13" customHeight="1" spans="1:38">
      <c r="A212" s="347" t="s">
        <v>544</v>
      </c>
      <c r="B212" s="348"/>
      <c r="C212" s="348"/>
      <c r="D212" s="348"/>
      <c r="E212" s="348"/>
      <c r="F212" s="348"/>
      <c r="G212" s="348"/>
      <c r="H212" s="348"/>
      <c r="I212" s="348"/>
      <c r="J212" s="348"/>
      <c r="K212" s="348"/>
      <c r="L212" s="348"/>
      <c r="M212" s="348"/>
      <c r="N212" s="348"/>
      <c r="O212" s="348"/>
      <c r="P212" s="348"/>
      <c r="Q212" s="348"/>
      <c r="R212" s="348"/>
      <c r="S212" s="348"/>
      <c r="T212" s="348"/>
      <c r="U212" s="348"/>
      <c r="V212" s="348"/>
      <c r="W212" s="348"/>
      <c r="X212" s="348"/>
      <c r="Y212" s="348"/>
      <c r="Z212" s="348"/>
      <c r="AA212" s="348"/>
      <c r="AB212" s="348"/>
      <c r="AC212" s="348"/>
      <c r="AD212" s="348"/>
      <c r="AE212" s="348"/>
      <c r="AF212" s="348"/>
      <c r="AG212" s="348"/>
      <c r="AH212" s="348"/>
      <c r="AI212" s="348"/>
      <c r="AJ212" s="348"/>
      <c r="AK212" s="348"/>
      <c r="AL212" s="368"/>
    </row>
    <row r="213" s="254" customFormat="1" spans="1:38">
      <c r="A213" s="349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  <c r="AA213" s="350"/>
      <c r="AB213" s="350"/>
      <c r="AC213" s="350"/>
      <c r="AD213" s="350"/>
      <c r="AE213" s="350"/>
      <c r="AF213" s="350"/>
      <c r="AG213" s="350"/>
      <c r="AH213" s="350"/>
      <c r="AI213" s="350"/>
      <c r="AJ213" s="350"/>
      <c r="AK213" s="350"/>
      <c r="AL213" s="369"/>
    </row>
    <row r="215" spans="1:37">
      <c r="A215" s="351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352"/>
      <c r="T215" s="352"/>
      <c r="U215" s="352"/>
      <c r="V215" s="352"/>
      <c r="W215" s="352"/>
      <c r="X215" s="352"/>
      <c r="Y215" s="352"/>
      <c r="Z215" s="352"/>
      <c r="AA215" s="352"/>
      <c r="AB215" s="352"/>
      <c r="AC215" s="352"/>
      <c r="AD215" s="352"/>
      <c r="AE215" s="352"/>
      <c r="AF215" s="352"/>
      <c r="AG215" s="352"/>
      <c r="AH215" s="370"/>
      <c r="AI215" s="371"/>
      <c r="AJ215" s="371"/>
      <c r="AK215" s="352"/>
    </row>
    <row r="216" ht="72" customHeight="1" spans="1:37">
      <c r="A216" s="353" t="s">
        <v>545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  <c r="Z216" s="354"/>
      <c r="AA216" s="354"/>
      <c r="AB216" s="354"/>
      <c r="AC216" s="354"/>
      <c r="AD216" s="354"/>
      <c r="AE216" s="354"/>
      <c r="AF216" s="354"/>
      <c r="AG216" s="354"/>
      <c r="AH216" s="372"/>
      <c r="AK216" s="108"/>
    </row>
    <row r="217" spans="1:37">
      <c r="A217" s="355"/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5"/>
      <c r="N217" s="355"/>
      <c r="O217" s="355"/>
      <c r="P217" s="355"/>
      <c r="Q217" s="355"/>
      <c r="R217" s="355"/>
      <c r="S217" s="355"/>
      <c r="T217" s="355"/>
      <c r="U217" s="355"/>
      <c r="V217" s="355"/>
      <c r="W217" s="355"/>
      <c r="X217" s="355"/>
      <c r="Y217" s="355"/>
      <c r="Z217" s="355"/>
      <c r="AA217" s="355"/>
      <c r="AB217" s="355"/>
      <c r="AC217" s="355"/>
      <c r="AD217" s="355"/>
      <c r="AE217" s="355"/>
      <c r="AF217" s="355"/>
      <c r="AG217" s="355"/>
      <c r="AH217" s="373"/>
      <c r="AI217" s="374"/>
      <c r="AJ217" s="374"/>
      <c r="AK217" s="355"/>
    </row>
    <row r="218" spans="1:37">
      <c r="A218" s="356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57"/>
      <c r="Z218" s="357"/>
      <c r="AA218" s="357"/>
      <c r="AB218" s="357"/>
      <c r="AC218" s="357"/>
      <c r="AD218" s="357"/>
      <c r="AE218" s="357"/>
      <c r="AF218" s="357"/>
      <c r="AG218" s="357"/>
      <c r="AH218" s="375"/>
      <c r="AI218" s="357"/>
      <c r="AJ218" s="357"/>
      <c r="AK218" s="357"/>
    </row>
    <row r="219" spans="4:4">
      <c r="D219" s="203" t="s">
        <v>546</v>
      </c>
    </row>
    <row r="220" spans="4:4">
      <c r="D220" s="203"/>
    </row>
    <row r="223" spans="3:3">
      <c r="C223" s="358"/>
    </row>
    <row r="224" spans="3:4">
      <c r="C224" s="359" t="s">
        <v>547</v>
      </c>
      <c r="D224" s="203" t="s">
        <v>548</v>
      </c>
    </row>
    <row r="225" spans="4:4">
      <c r="D225" s="203" t="s">
        <v>549</v>
      </c>
    </row>
    <row r="226" spans="4:4">
      <c r="D226" s="360" t="s">
        <v>550</v>
      </c>
    </row>
  </sheetData>
  <autoFilter ref="A2:IR226">
    <extLst/>
  </autoFilter>
  <mergeCells count="6">
    <mergeCell ref="A1:AL1"/>
    <mergeCell ref="A215:AK215"/>
    <mergeCell ref="A216:AG216"/>
    <mergeCell ref="A217:AK217"/>
    <mergeCell ref="A218:AK218"/>
    <mergeCell ref="A212:AL213"/>
  </mergeCells>
  <hyperlinks>
    <hyperlink ref="AD217" r:id="rId3"/>
  </hyperlinks>
  <pageMargins left="0.75" right="0.75" top="1" bottom="1" header="0.51" footer="0.51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65"/>
  <sheetViews>
    <sheetView zoomScale="75" zoomScaleNormal="75" zoomScaleSheetLayoutView="60" workbookViewId="0">
      <pane xSplit="11" ySplit="4" topLeftCell="L5" activePane="bottomRight" state="frozen"/>
      <selection/>
      <selection pane="topRight"/>
      <selection pane="bottomLeft"/>
      <selection pane="bottomRight" activeCell="F3" sqref="F$1:N$1048576"/>
    </sheetView>
  </sheetViews>
  <sheetFormatPr defaultColWidth="9" defaultRowHeight="31.5" customHeight="1"/>
  <cols>
    <col min="1" max="1" width="5" style="135" customWidth="1"/>
    <col min="2" max="2" width="7.33333333333333" style="135" customWidth="1"/>
    <col min="3" max="3" width="11.4" style="132" customWidth="1"/>
    <col min="4" max="4" width="12.65" style="132" hidden="1" customWidth="1"/>
    <col min="5" max="5" width="24.525" style="132" hidden="1" customWidth="1"/>
    <col min="6" max="8" width="8.9" style="132" hidden="1" customWidth="1"/>
    <col min="9" max="9" width="10.7833333333333" style="132" hidden="1" customWidth="1"/>
    <col min="10" max="10" width="11.875" style="135" hidden="1" customWidth="1"/>
    <col min="11" max="11" width="78.9166666666667" style="136" hidden="1" customWidth="1"/>
    <col min="12" max="13" width="10" style="136" hidden="1" customWidth="1"/>
    <col min="14" max="14" width="11.875" style="136" hidden="1" customWidth="1"/>
    <col min="15" max="17" width="10" style="136" hidden="1" customWidth="1"/>
    <col min="18" max="18" width="12.1833333333333" style="136" hidden="1" customWidth="1"/>
    <col min="19" max="19" width="10.7083333333333" style="136" hidden="1" customWidth="1"/>
    <col min="20" max="23" width="10" style="136" hidden="1" customWidth="1"/>
    <col min="24" max="24" width="16.6083333333333" style="137" customWidth="1"/>
    <col min="25" max="25" width="11.8666666666667" style="138" hidden="1" customWidth="1"/>
    <col min="26" max="26" width="10.3083333333333" style="138" hidden="1" customWidth="1"/>
    <col min="27" max="27" width="13.5916666666667" style="137" customWidth="1"/>
    <col min="28" max="28" width="6.71666666666667" style="132" customWidth="1"/>
    <col min="29" max="29" width="12.3416666666667" style="137" customWidth="1"/>
    <col min="30" max="30" width="8.74166666666667" style="137" customWidth="1"/>
    <col min="31" max="31" width="6.71666666666667" style="132" customWidth="1"/>
    <col min="32" max="32" width="12.3416666666667" style="137" customWidth="1"/>
    <col min="33" max="34" width="9.68333333333333" style="137" customWidth="1"/>
    <col min="35" max="35" width="9.525" style="139" customWidth="1"/>
    <col min="36" max="36" width="9.83333333333333" style="137" customWidth="1"/>
    <col min="37" max="38" width="9.68333333333333" style="137" customWidth="1"/>
    <col min="39" max="39" width="8.25" style="139" customWidth="1"/>
    <col min="40" max="41" width="9.83333333333333" style="137" customWidth="1"/>
    <col min="42" max="42" width="9.83333333333333" style="140" customWidth="1"/>
    <col min="43" max="43" width="9.83333333333333" style="137" customWidth="1"/>
    <col min="44" max="44" width="12.025" style="137" customWidth="1"/>
    <col min="45" max="45" width="9.83333333333333" style="141" customWidth="1"/>
    <col min="46" max="46" width="9.83333333333333" style="137" customWidth="1"/>
    <col min="47" max="47" width="10" style="142" customWidth="1"/>
    <col min="48" max="48" width="8.75" style="142" customWidth="1"/>
    <col min="49" max="49" width="12.4916666666667" style="142" customWidth="1"/>
    <col min="50" max="50" width="8.74166666666667" style="137" hidden="1" customWidth="1"/>
    <col min="51" max="51" width="6.1" style="139" hidden="1" customWidth="1"/>
    <col min="52" max="53" width="11.25" style="137" hidden="1" customWidth="1"/>
    <col min="54" max="54" width="13.4416666666667" style="137" customWidth="1"/>
    <col min="55" max="55" width="70.3083333333333" style="143" hidden="1" customWidth="1"/>
    <col min="56" max="56" width="24.8333333333333" style="144" customWidth="1"/>
    <col min="57" max="57" width="23.2833333333333" style="132" customWidth="1"/>
    <col min="58" max="16384" width="9" style="132"/>
  </cols>
  <sheetData>
    <row r="1" s="132" customFormat="1" customHeight="1" spans="1:56">
      <c r="A1" s="145" t="s">
        <v>551</v>
      </c>
      <c r="B1" s="145"/>
      <c r="C1" s="145"/>
      <c r="D1" s="146"/>
      <c r="E1" s="146"/>
      <c r="F1" s="146"/>
      <c r="G1" s="146"/>
      <c r="H1" s="146"/>
      <c r="I1" s="146"/>
      <c r="J1" s="146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87"/>
      <c r="Y1" s="146"/>
      <c r="Z1" s="146"/>
      <c r="AA1" s="146"/>
      <c r="AB1" s="145"/>
      <c r="AC1" s="146"/>
      <c r="AD1" s="146"/>
      <c r="AE1" s="145"/>
      <c r="AF1" s="146"/>
      <c r="AG1" s="146"/>
      <c r="AH1" s="146"/>
      <c r="AI1" s="145"/>
      <c r="AJ1" s="146"/>
      <c r="AK1" s="146"/>
      <c r="AL1" s="146"/>
      <c r="AM1" s="145"/>
      <c r="AN1" s="146"/>
      <c r="AO1" s="146"/>
      <c r="AP1" s="212"/>
      <c r="AQ1" s="146"/>
      <c r="AR1" s="146"/>
      <c r="AS1" s="213"/>
      <c r="AT1" s="146"/>
      <c r="AU1" s="146"/>
      <c r="AV1" s="146"/>
      <c r="AW1" s="146"/>
      <c r="AX1" s="146"/>
      <c r="AY1" s="146"/>
      <c r="AZ1" s="146"/>
      <c r="BA1" s="146"/>
      <c r="BB1" s="146"/>
      <c r="BC1" s="226"/>
      <c r="BD1" s="227"/>
    </row>
    <row r="2" s="132" customFormat="1" customHeight="1" spans="1:57">
      <c r="A2" s="15" t="s">
        <v>1</v>
      </c>
      <c r="B2" s="147" t="s">
        <v>552</v>
      </c>
      <c r="C2" s="15" t="s">
        <v>553</v>
      </c>
      <c r="D2" s="15" t="s">
        <v>554</v>
      </c>
      <c r="E2" s="15" t="s">
        <v>555</v>
      </c>
      <c r="F2" s="15"/>
      <c r="G2" s="15"/>
      <c r="H2" s="15"/>
      <c r="I2" s="15"/>
      <c r="J2" s="15"/>
      <c r="K2" s="171"/>
      <c r="L2" s="172" t="s">
        <v>556</v>
      </c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50" t="s">
        <v>557</v>
      </c>
      <c r="Y2" s="56" t="s">
        <v>4</v>
      </c>
      <c r="Z2" s="56" t="s">
        <v>558</v>
      </c>
      <c r="AA2" s="191" t="s">
        <v>559</v>
      </c>
      <c r="AB2" s="192"/>
      <c r="AC2" s="193"/>
      <c r="AD2" s="191"/>
      <c r="AE2" s="192"/>
      <c r="AF2" s="193"/>
      <c r="AG2" s="193"/>
      <c r="AH2" s="193"/>
      <c r="AI2" s="192"/>
      <c r="AJ2" s="193"/>
      <c r="AK2" s="193"/>
      <c r="AL2" s="193"/>
      <c r="AM2" s="192"/>
      <c r="AN2" s="193"/>
      <c r="AO2" s="193"/>
      <c r="AP2" s="214"/>
      <c r="AQ2" s="193"/>
      <c r="AR2" s="193"/>
      <c r="AS2" s="215"/>
      <c r="AT2" s="193"/>
      <c r="AU2" s="193"/>
      <c r="AV2" s="193"/>
      <c r="AW2" s="228"/>
      <c r="AX2" s="191" t="s">
        <v>560</v>
      </c>
      <c r="AY2" s="192"/>
      <c r="AZ2" s="193"/>
      <c r="BA2" s="228"/>
      <c r="BB2" s="229" t="s">
        <v>561</v>
      </c>
      <c r="BC2" s="230"/>
      <c r="BD2" s="15" t="s">
        <v>562</v>
      </c>
      <c r="BE2" s="15" t="s">
        <v>563</v>
      </c>
    </row>
    <row r="3" s="132" customFormat="1" ht="39" customHeight="1" spans="1:57">
      <c r="A3" s="15"/>
      <c r="B3" s="148"/>
      <c r="C3" s="15"/>
      <c r="D3" s="15"/>
      <c r="E3" s="15" t="s">
        <v>564</v>
      </c>
      <c r="F3" s="149" t="s">
        <v>565</v>
      </c>
      <c r="G3" s="149" t="s">
        <v>566</v>
      </c>
      <c r="H3" s="149" t="s">
        <v>567</v>
      </c>
      <c r="I3" s="149" t="s">
        <v>568</v>
      </c>
      <c r="J3" s="149" t="s">
        <v>569</v>
      </c>
      <c r="K3" s="171" t="s">
        <v>570</v>
      </c>
      <c r="L3" s="172" t="s">
        <v>571</v>
      </c>
      <c r="M3" s="172" t="s">
        <v>572</v>
      </c>
      <c r="N3" s="172" t="s">
        <v>573</v>
      </c>
      <c r="O3" s="172" t="s">
        <v>574</v>
      </c>
      <c r="P3" s="172" t="s">
        <v>575</v>
      </c>
      <c r="Q3" s="172" t="s">
        <v>576</v>
      </c>
      <c r="R3" s="172" t="s">
        <v>577</v>
      </c>
      <c r="S3" s="172" t="s">
        <v>578</v>
      </c>
      <c r="T3" s="172" t="s">
        <v>579</v>
      </c>
      <c r="U3" s="172" t="s">
        <v>580</v>
      </c>
      <c r="V3" s="172" t="s">
        <v>581</v>
      </c>
      <c r="W3" s="172" t="s">
        <v>582</v>
      </c>
      <c r="X3" s="50"/>
      <c r="Y3" s="69"/>
      <c r="Z3" s="57"/>
      <c r="AA3" s="194" t="s">
        <v>5</v>
      </c>
      <c r="AB3" s="195" t="s">
        <v>583</v>
      </c>
      <c r="AC3" s="50" t="s">
        <v>584</v>
      </c>
      <c r="AD3" s="194" t="s">
        <v>585</v>
      </c>
      <c r="AE3" s="195" t="s">
        <v>583</v>
      </c>
      <c r="AF3" s="50" t="s">
        <v>584</v>
      </c>
      <c r="AG3" s="204" t="s">
        <v>586</v>
      </c>
      <c r="AH3" s="204" t="s">
        <v>587</v>
      </c>
      <c r="AI3" s="196" t="s">
        <v>583</v>
      </c>
      <c r="AJ3" s="50" t="s">
        <v>584</v>
      </c>
      <c r="AK3" s="204" t="s">
        <v>586</v>
      </c>
      <c r="AL3" s="204" t="s">
        <v>587</v>
      </c>
      <c r="AM3" s="196" t="s">
        <v>583</v>
      </c>
      <c r="AN3" s="50" t="s">
        <v>584</v>
      </c>
      <c r="AO3" s="204" t="s">
        <v>588</v>
      </c>
      <c r="AP3" s="216" t="s">
        <v>583</v>
      </c>
      <c r="AQ3" s="50" t="s">
        <v>584</v>
      </c>
      <c r="AR3" s="217" t="s">
        <v>589</v>
      </c>
      <c r="AS3" s="218" t="s">
        <v>583</v>
      </c>
      <c r="AT3" s="10" t="s">
        <v>584</v>
      </c>
      <c r="AU3" s="50" t="s">
        <v>590</v>
      </c>
      <c r="AV3" s="50" t="s">
        <v>14</v>
      </c>
      <c r="AW3" s="194" t="s">
        <v>591</v>
      </c>
      <c r="AX3" s="185" t="s">
        <v>592</v>
      </c>
      <c r="AY3" s="231" t="s">
        <v>583</v>
      </c>
      <c r="AZ3" s="50" t="s">
        <v>584</v>
      </c>
      <c r="BA3" s="194" t="s">
        <v>591</v>
      </c>
      <c r="BB3" s="232"/>
      <c r="BC3" s="15" t="s">
        <v>570</v>
      </c>
      <c r="BD3" s="15"/>
      <c r="BE3" s="15"/>
    </row>
    <row r="4" s="133" customFormat="1" ht="29" hidden="1" customHeight="1" spans="1:57">
      <c r="A4" s="150">
        <v>1</v>
      </c>
      <c r="B4" s="151" t="s">
        <v>593</v>
      </c>
      <c r="C4" s="150" t="s">
        <v>594</v>
      </c>
      <c r="D4" s="15" t="s">
        <v>595</v>
      </c>
      <c r="E4" s="152" t="s">
        <v>596</v>
      </c>
      <c r="F4" s="152">
        <v>18</v>
      </c>
      <c r="G4" s="152">
        <v>18</v>
      </c>
      <c r="H4" s="152"/>
      <c r="I4" s="152">
        <v>600</v>
      </c>
      <c r="J4" s="152">
        <v>600</v>
      </c>
      <c r="K4" s="173" t="s">
        <v>597</v>
      </c>
      <c r="L4" s="50"/>
      <c r="M4" s="50"/>
      <c r="N4" s="50"/>
      <c r="O4" s="173"/>
      <c r="P4" s="173"/>
      <c r="Q4" s="173"/>
      <c r="R4" s="173"/>
      <c r="S4" s="173"/>
      <c r="T4" s="173"/>
      <c r="U4" s="173"/>
      <c r="V4" s="173"/>
      <c r="W4" s="173"/>
      <c r="X4" s="50">
        <f>AA4+AX4+AH4+AL4+AR4</f>
        <v>0</v>
      </c>
      <c r="Y4" s="49">
        <f>AA4+AH4+AL4+AX4</f>
        <v>0</v>
      </c>
      <c r="Z4" s="49">
        <f>AA4+AG4+AK4+AR4</f>
        <v>0</v>
      </c>
      <c r="AA4" s="194"/>
      <c r="AB4" s="196">
        <v>0.25</v>
      </c>
      <c r="AC4" s="57">
        <f t="shared" ref="AC4:AC46" si="0">ROUND(AA4*AB4,)</f>
        <v>0</v>
      </c>
      <c r="AD4" s="194"/>
      <c r="AE4" s="196">
        <v>0.25</v>
      </c>
      <c r="AF4" s="57">
        <f t="shared" ref="AF4:AF46" si="1">ROUND(AD4*AE4,)</f>
        <v>0</v>
      </c>
      <c r="AG4" s="194"/>
      <c r="AH4" s="194">
        <f>AG4*0.77</f>
        <v>0</v>
      </c>
      <c r="AI4" s="205">
        <v>0.13</v>
      </c>
      <c r="AJ4" s="50">
        <f t="shared" ref="AJ4:AJ28" si="2">AH4*AI4</f>
        <v>0</v>
      </c>
      <c r="AK4" s="194"/>
      <c r="AL4" s="206">
        <f>AK4*0.8</f>
        <v>0</v>
      </c>
      <c r="AM4" s="205"/>
      <c r="AN4" s="50">
        <f t="shared" ref="AN4:AN54" si="3">AL4*AM4</f>
        <v>0</v>
      </c>
      <c r="AO4" s="50"/>
      <c r="AP4" s="216"/>
      <c r="AQ4" s="50"/>
      <c r="AR4" s="10"/>
      <c r="AS4" s="218"/>
      <c r="AT4" s="219">
        <f t="shared" ref="AT4:AT46" si="4">AS4*AR4</f>
        <v>0</v>
      </c>
      <c r="AU4" s="50"/>
      <c r="AV4" s="50"/>
      <c r="AW4" s="194">
        <f t="shared" ref="AW4:AW53" si="5">ROUND(AC4+AJ4+AN4+AQ4+AT4-AU4+AV4,)</f>
        <v>0</v>
      </c>
      <c r="AX4" s="57"/>
      <c r="AY4" s="233">
        <v>0.3</v>
      </c>
      <c r="AZ4" s="57">
        <f>AX4*AY4</f>
        <v>0</v>
      </c>
      <c r="BA4" s="206">
        <f t="shared" ref="BA4:BA46" si="6">AZ4</f>
        <v>0</v>
      </c>
      <c r="BB4" s="50">
        <f t="shared" ref="BB4:BB53" si="7">ROUND(AW4+BA4,)</f>
        <v>0</v>
      </c>
      <c r="BC4" s="234" t="s">
        <v>598</v>
      </c>
      <c r="BD4" s="380" t="s">
        <v>599</v>
      </c>
      <c r="BE4" s="150"/>
    </row>
    <row r="5" s="133" customFormat="1" ht="29" customHeight="1" spans="1:57">
      <c r="A5" s="150">
        <v>1</v>
      </c>
      <c r="B5" s="151" t="s">
        <v>593</v>
      </c>
      <c r="C5" s="150" t="s">
        <v>594</v>
      </c>
      <c r="D5" s="15" t="s">
        <v>595</v>
      </c>
      <c r="E5" s="152" t="s">
        <v>600</v>
      </c>
      <c r="F5" s="152">
        <v>24</v>
      </c>
      <c r="G5" s="152">
        <v>12</v>
      </c>
      <c r="H5" s="152"/>
      <c r="I5" s="152">
        <v>480</v>
      </c>
      <c r="J5" s="152">
        <f>29.52+24.94+13.92+12.87+22.06+29.76</f>
        <v>133.07</v>
      </c>
      <c r="K5" s="173" t="s">
        <v>601</v>
      </c>
      <c r="L5" s="50">
        <v>139221</v>
      </c>
      <c r="M5" s="50">
        <v>128674</v>
      </c>
      <c r="N5" s="50">
        <v>220611</v>
      </c>
      <c r="O5" s="50"/>
      <c r="P5" s="50"/>
      <c r="Q5" s="50"/>
      <c r="R5" s="50"/>
      <c r="S5" s="50"/>
      <c r="T5" s="50"/>
      <c r="U5" s="50"/>
      <c r="V5" s="50"/>
      <c r="W5" s="50"/>
      <c r="X5" s="50">
        <f t="shared" ref="X5:X34" si="8">AA5+AD5+AX5+AH5+AL5</f>
        <v>297575</v>
      </c>
      <c r="Y5" s="49">
        <f t="shared" ref="Y5:Y34" si="9">AA5+AD5+AH5+AL5+AX5</f>
        <v>297575</v>
      </c>
      <c r="Z5" s="49">
        <f t="shared" ref="Z5:Z53" si="10">AA5+AD5+AG5+AK5</f>
        <v>297575</v>
      </c>
      <c r="AA5" s="194">
        <v>297575</v>
      </c>
      <c r="AB5" s="196">
        <v>0.25</v>
      </c>
      <c r="AC5" s="57">
        <f t="shared" si="0"/>
        <v>74394</v>
      </c>
      <c r="AD5" s="194"/>
      <c r="AE5" s="196">
        <v>0</v>
      </c>
      <c r="AF5" s="57">
        <f t="shared" si="1"/>
        <v>0</v>
      </c>
      <c r="AG5" s="194"/>
      <c r="AH5" s="194">
        <f>AG5*0.8</f>
        <v>0</v>
      </c>
      <c r="AI5" s="205"/>
      <c r="AJ5" s="50">
        <f t="shared" si="2"/>
        <v>0</v>
      </c>
      <c r="AK5" s="194"/>
      <c r="AL5" s="206">
        <f>AK5*0.77</f>
        <v>0</v>
      </c>
      <c r="AM5" s="205"/>
      <c r="AN5" s="50">
        <f t="shared" si="3"/>
        <v>0</v>
      </c>
      <c r="AO5" s="62">
        <v>75536</v>
      </c>
      <c r="AP5" s="216">
        <v>0.05</v>
      </c>
      <c r="AQ5" s="50">
        <f t="shared" ref="AQ5:AQ7" si="11">AO5*AP5</f>
        <v>3776.8</v>
      </c>
      <c r="AR5" s="62"/>
      <c r="AS5" s="218">
        <v>0.03</v>
      </c>
      <c r="AT5" s="219">
        <f t="shared" si="4"/>
        <v>0</v>
      </c>
      <c r="AU5" s="50">
        <f>(Z5*0.04-3825)*0.2</f>
        <v>1615.6</v>
      </c>
      <c r="AV5" s="50"/>
      <c r="AW5" s="194">
        <f t="shared" si="5"/>
        <v>76555</v>
      </c>
      <c r="AX5" s="57"/>
      <c r="AY5" s="233">
        <v>0.3</v>
      </c>
      <c r="AZ5" s="57">
        <f>AX5*AY5</f>
        <v>0</v>
      </c>
      <c r="BA5" s="206">
        <f t="shared" si="6"/>
        <v>0</v>
      </c>
      <c r="BB5" s="50">
        <f t="shared" si="7"/>
        <v>76555</v>
      </c>
      <c r="BC5" s="234" t="s">
        <v>598</v>
      </c>
      <c r="BD5" s="380" t="s">
        <v>602</v>
      </c>
      <c r="BE5" s="15"/>
    </row>
    <row r="6" s="133" customFormat="1" ht="29" hidden="1" customHeight="1" spans="1:57">
      <c r="A6" s="150">
        <v>2</v>
      </c>
      <c r="B6" s="153" t="s">
        <v>603</v>
      </c>
      <c r="C6" s="154" t="s">
        <v>604</v>
      </c>
      <c r="D6" s="15" t="s">
        <v>595</v>
      </c>
      <c r="E6" s="152" t="s">
        <v>605</v>
      </c>
      <c r="F6" s="152">
        <v>15</v>
      </c>
      <c r="G6" s="152">
        <v>15</v>
      </c>
      <c r="H6" s="152"/>
      <c r="I6" s="152">
        <v>300</v>
      </c>
      <c r="J6" s="152">
        <v>300</v>
      </c>
      <c r="K6" s="173" t="s">
        <v>606</v>
      </c>
      <c r="L6" s="50">
        <v>0</v>
      </c>
      <c r="M6" s="50">
        <v>0</v>
      </c>
      <c r="N6" s="50">
        <v>0</v>
      </c>
      <c r="O6" s="50"/>
      <c r="P6" s="50"/>
      <c r="Q6" s="50"/>
      <c r="R6" s="50"/>
      <c r="S6" s="50"/>
      <c r="T6" s="50"/>
      <c r="U6" s="50"/>
      <c r="V6" s="50"/>
      <c r="W6" s="50"/>
      <c r="X6" s="50">
        <f t="shared" si="8"/>
        <v>0</v>
      </c>
      <c r="Y6" s="49">
        <f t="shared" si="9"/>
        <v>0</v>
      </c>
      <c r="Z6" s="49">
        <f>AA6+AG6+AK6+AR6</f>
        <v>0</v>
      </c>
      <c r="AA6" s="194"/>
      <c r="AB6" s="196">
        <v>0.23</v>
      </c>
      <c r="AC6" s="57">
        <f t="shared" si="0"/>
        <v>0</v>
      </c>
      <c r="AD6" s="194"/>
      <c r="AE6" s="196"/>
      <c r="AF6" s="57">
        <f t="shared" si="1"/>
        <v>0</v>
      </c>
      <c r="AG6" s="194"/>
      <c r="AH6" s="206">
        <f t="shared" ref="AH6:AH12" si="12">AG6*0.83</f>
        <v>0</v>
      </c>
      <c r="AI6" s="205"/>
      <c r="AJ6" s="50">
        <f t="shared" si="2"/>
        <v>0</v>
      </c>
      <c r="AK6" s="194"/>
      <c r="AL6" s="206">
        <f t="shared" ref="AL6:AL8" si="13">AK6*0.83</f>
        <v>0</v>
      </c>
      <c r="AM6" s="205"/>
      <c r="AN6" s="50">
        <f t="shared" si="3"/>
        <v>0</v>
      </c>
      <c r="AO6" s="50"/>
      <c r="AP6" s="216"/>
      <c r="AQ6" s="50">
        <f t="shared" si="11"/>
        <v>0</v>
      </c>
      <c r="AR6" s="10"/>
      <c r="AS6" s="218"/>
      <c r="AT6" s="10">
        <f t="shared" si="4"/>
        <v>0</v>
      </c>
      <c r="AU6" s="50"/>
      <c r="AV6" s="50"/>
      <c r="AW6" s="194">
        <f t="shared" si="5"/>
        <v>0</v>
      </c>
      <c r="AX6" s="57"/>
      <c r="AY6" s="233">
        <v>0.3</v>
      </c>
      <c r="AZ6" s="57">
        <f t="shared" ref="AZ6:AZ27" si="14">ROUND(AY6*AX6,)</f>
        <v>0</v>
      </c>
      <c r="BA6" s="206">
        <f t="shared" si="6"/>
        <v>0</v>
      </c>
      <c r="BB6" s="50">
        <f t="shared" si="7"/>
        <v>0</v>
      </c>
      <c r="BC6" s="234" t="s">
        <v>607</v>
      </c>
      <c r="BD6" s="380" t="s">
        <v>608</v>
      </c>
      <c r="BE6" s="150"/>
    </row>
    <row r="7" s="133" customFormat="1" ht="29" customHeight="1" spans="1:57">
      <c r="A7" s="150">
        <v>2</v>
      </c>
      <c r="B7" s="153" t="s">
        <v>603</v>
      </c>
      <c r="C7" s="154" t="s">
        <v>604</v>
      </c>
      <c r="D7" s="15" t="s">
        <v>595</v>
      </c>
      <c r="E7" s="152" t="s">
        <v>609</v>
      </c>
      <c r="F7" s="152">
        <v>15</v>
      </c>
      <c r="G7" s="152">
        <v>7.5</v>
      </c>
      <c r="H7" s="152"/>
      <c r="I7" s="152">
        <v>300</v>
      </c>
      <c r="J7" s="152">
        <f>17.62+13.2+23.65+5.99+12.84+17.48+14.44+18.7+16.04+12+0.58+20.83+12.47</f>
        <v>185.84</v>
      </c>
      <c r="K7" s="173" t="s">
        <v>610</v>
      </c>
      <c r="L7" s="50">
        <v>120034</v>
      </c>
      <c r="M7" s="50">
        <v>5804</v>
      </c>
      <c r="N7" s="50">
        <v>208346</v>
      </c>
      <c r="O7" s="50"/>
      <c r="P7" s="50"/>
      <c r="Q7" s="50"/>
      <c r="R7" s="50"/>
      <c r="S7" s="50"/>
      <c r="T7" s="50"/>
      <c r="U7" s="50"/>
      <c r="V7" s="50"/>
      <c r="W7" s="50"/>
      <c r="X7" s="50">
        <f t="shared" si="8"/>
        <v>124735</v>
      </c>
      <c r="Y7" s="49">
        <f t="shared" si="9"/>
        <v>124735</v>
      </c>
      <c r="Z7" s="49">
        <f t="shared" si="10"/>
        <v>124735</v>
      </c>
      <c r="AA7" s="194">
        <v>124735</v>
      </c>
      <c r="AB7" s="196">
        <v>0.3</v>
      </c>
      <c r="AC7" s="57">
        <f t="shared" si="0"/>
        <v>37421</v>
      </c>
      <c r="AD7" s="194"/>
      <c r="AE7" s="196">
        <v>0</v>
      </c>
      <c r="AF7" s="57">
        <f t="shared" si="1"/>
        <v>0</v>
      </c>
      <c r="AG7" s="194"/>
      <c r="AH7" s="206">
        <f t="shared" ref="AH7:AH9" si="15">AG7*0.91</f>
        <v>0</v>
      </c>
      <c r="AI7" s="205">
        <v>0</v>
      </c>
      <c r="AJ7" s="50">
        <f t="shared" si="2"/>
        <v>0</v>
      </c>
      <c r="AK7" s="194"/>
      <c r="AL7" s="206">
        <f t="shared" si="13"/>
        <v>0</v>
      </c>
      <c r="AM7" s="205"/>
      <c r="AN7" s="50">
        <f t="shared" si="3"/>
        <v>0</v>
      </c>
      <c r="AO7" s="62">
        <v>45996</v>
      </c>
      <c r="AP7" s="216">
        <v>0.05</v>
      </c>
      <c r="AQ7" s="50">
        <f t="shared" si="11"/>
        <v>2299.8</v>
      </c>
      <c r="AR7" s="62"/>
      <c r="AS7" s="218">
        <v>0.05</v>
      </c>
      <c r="AT7" s="10">
        <f t="shared" si="4"/>
        <v>0</v>
      </c>
      <c r="AU7" s="50">
        <f>(Z7*0.04-3317)*0.2</f>
        <v>334.48</v>
      </c>
      <c r="AV7" s="50"/>
      <c r="AW7" s="194">
        <f t="shared" si="5"/>
        <v>39386</v>
      </c>
      <c r="AX7" s="57"/>
      <c r="AY7" s="233">
        <v>0.3</v>
      </c>
      <c r="AZ7" s="57">
        <f t="shared" si="14"/>
        <v>0</v>
      </c>
      <c r="BA7" s="206">
        <f t="shared" si="6"/>
        <v>0</v>
      </c>
      <c r="BB7" s="50">
        <f t="shared" si="7"/>
        <v>39386</v>
      </c>
      <c r="BC7" s="234" t="s">
        <v>607</v>
      </c>
      <c r="BD7" s="380" t="s">
        <v>608</v>
      </c>
      <c r="BE7" s="150"/>
    </row>
    <row r="8" s="133" customFormat="1" ht="29" hidden="1" customHeight="1" spans="1:57">
      <c r="A8" s="150">
        <v>3</v>
      </c>
      <c r="B8" s="153" t="s">
        <v>611</v>
      </c>
      <c r="C8" s="147" t="s">
        <v>612</v>
      </c>
      <c r="D8" s="147" t="s">
        <v>595</v>
      </c>
      <c r="E8" s="155" t="s">
        <v>613</v>
      </c>
      <c r="F8" s="155">
        <v>63</v>
      </c>
      <c r="G8" s="155">
        <v>33</v>
      </c>
      <c r="H8" s="155"/>
      <c r="I8" s="155">
        <v>900</v>
      </c>
      <c r="J8" s="155">
        <v>900</v>
      </c>
      <c r="K8" s="174" t="s">
        <v>614</v>
      </c>
      <c r="L8" s="50">
        <v>0</v>
      </c>
      <c r="M8" s="50">
        <v>0</v>
      </c>
      <c r="N8" s="50">
        <v>0</v>
      </c>
      <c r="O8" s="50"/>
      <c r="P8" s="50"/>
      <c r="Q8" s="50"/>
      <c r="R8" s="50"/>
      <c r="S8" s="50"/>
      <c r="T8" s="50"/>
      <c r="U8" s="50"/>
      <c r="V8" s="50"/>
      <c r="W8" s="50"/>
      <c r="X8" s="50">
        <f t="shared" si="8"/>
        <v>0</v>
      </c>
      <c r="Y8" s="49">
        <f t="shared" si="9"/>
        <v>0</v>
      </c>
      <c r="Z8" s="68">
        <f t="shared" si="10"/>
        <v>0</v>
      </c>
      <c r="AA8" s="197"/>
      <c r="AB8" s="196">
        <v>0.3</v>
      </c>
      <c r="AC8" s="57">
        <f t="shared" si="0"/>
        <v>0</v>
      </c>
      <c r="AD8" s="197"/>
      <c r="AE8" s="196"/>
      <c r="AF8" s="57">
        <f t="shared" si="1"/>
        <v>0</v>
      </c>
      <c r="AG8" s="194"/>
      <c r="AH8" s="206">
        <f t="shared" si="15"/>
        <v>0</v>
      </c>
      <c r="AI8" s="205"/>
      <c r="AJ8" s="50">
        <f t="shared" si="2"/>
        <v>0</v>
      </c>
      <c r="AK8" s="194"/>
      <c r="AL8" s="206">
        <f t="shared" si="13"/>
        <v>0</v>
      </c>
      <c r="AM8" s="205">
        <v>0.13</v>
      </c>
      <c r="AN8" s="50">
        <f t="shared" si="3"/>
        <v>0</v>
      </c>
      <c r="AO8" s="50"/>
      <c r="AP8" s="216"/>
      <c r="AQ8" s="50"/>
      <c r="AR8" s="10"/>
      <c r="AS8" s="218"/>
      <c r="AT8" s="10">
        <f t="shared" si="4"/>
        <v>0</v>
      </c>
      <c r="AU8" s="50"/>
      <c r="AV8" s="50"/>
      <c r="AW8" s="194">
        <f t="shared" si="5"/>
        <v>0</v>
      </c>
      <c r="AX8" s="57"/>
      <c r="AY8" s="233">
        <v>0.3</v>
      </c>
      <c r="AZ8" s="57">
        <f t="shared" si="14"/>
        <v>0</v>
      </c>
      <c r="BA8" s="206">
        <f t="shared" si="6"/>
        <v>0</v>
      </c>
      <c r="BB8" s="50">
        <f t="shared" si="7"/>
        <v>0</v>
      </c>
      <c r="BC8" s="236" t="s">
        <v>615</v>
      </c>
      <c r="BD8" s="381" t="s">
        <v>616</v>
      </c>
      <c r="BE8" s="253"/>
    </row>
    <row r="9" s="133" customFormat="1" ht="29" customHeight="1" spans="1:57">
      <c r="A9" s="150">
        <v>3</v>
      </c>
      <c r="B9" s="153" t="s">
        <v>611</v>
      </c>
      <c r="C9" s="147" t="s">
        <v>612</v>
      </c>
      <c r="D9" s="147" t="s">
        <v>595</v>
      </c>
      <c r="E9" s="155" t="s">
        <v>600</v>
      </c>
      <c r="F9" s="155">
        <v>72</v>
      </c>
      <c r="G9" s="155">
        <v>36</v>
      </c>
      <c r="H9" s="155">
        <f>18+18</f>
        <v>36</v>
      </c>
      <c r="I9" s="155">
        <v>900</v>
      </c>
      <c r="J9" s="155">
        <f>170.81+140.1+145.08+124.27+67.08+143.48+93.36</f>
        <v>884.18</v>
      </c>
      <c r="K9" s="174" t="s">
        <v>617</v>
      </c>
      <c r="L9" s="50">
        <v>1242683.91</v>
      </c>
      <c r="M9" s="50">
        <v>670838.06</v>
      </c>
      <c r="N9" s="50">
        <v>1434829</v>
      </c>
      <c r="O9" s="50"/>
      <c r="P9" s="50"/>
      <c r="Q9" s="50"/>
      <c r="R9" s="50"/>
      <c r="S9" s="50"/>
      <c r="T9" s="50"/>
      <c r="U9" s="50"/>
      <c r="V9" s="50"/>
      <c r="W9" s="50"/>
      <c r="X9" s="50">
        <f t="shared" si="8"/>
        <v>966662.91</v>
      </c>
      <c r="Y9" s="49">
        <f t="shared" si="9"/>
        <v>966662.91</v>
      </c>
      <c r="Z9" s="68">
        <f t="shared" si="10"/>
        <v>967176</v>
      </c>
      <c r="AA9" s="197">
        <f>944454-8990-1880</f>
        <v>933584</v>
      </c>
      <c r="AB9" s="196">
        <v>0.3</v>
      </c>
      <c r="AC9" s="57">
        <f t="shared" si="0"/>
        <v>280075</v>
      </c>
      <c r="AD9" s="197">
        <v>1592</v>
      </c>
      <c r="AE9" s="196">
        <v>0</v>
      </c>
      <c r="AF9" s="57">
        <f t="shared" si="1"/>
        <v>0</v>
      </c>
      <c r="AG9" s="194">
        <v>5701</v>
      </c>
      <c r="AH9" s="206">
        <f t="shared" si="15"/>
        <v>5187.91</v>
      </c>
      <c r="AI9" s="205">
        <v>0</v>
      </c>
      <c r="AJ9" s="50">
        <f t="shared" si="2"/>
        <v>0</v>
      </c>
      <c r="AK9" s="13">
        <f>17309+8990</f>
        <v>26299</v>
      </c>
      <c r="AL9" s="206">
        <f>AK9*1</f>
        <v>26299</v>
      </c>
      <c r="AM9" s="205">
        <v>0.2</v>
      </c>
      <c r="AN9" s="50">
        <f t="shared" si="3"/>
        <v>5259.8</v>
      </c>
      <c r="AO9" s="50"/>
      <c r="AP9" s="216"/>
      <c r="AQ9" s="50"/>
      <c r="AR9" s="10"/>
      <c r="AS9" s="218"/>
      <c r="AT9" s="10">
        <f t="shared" si="4"/>
        <v>0</v>
      </c>
      <c r="AU9" s="50"/>
      <c r="AV9" s="50"/>
      <c r="AW9" s="194">
        <f t="shared" si="5"/>
        <v>285335</v>
      </c>
      <c r="AX9" s="57"/>
      <c r="AY9" s="233">
        <v>0.3</v>
      </c>
      <c r="AZ9" s="57">
        <f t="shared" si="14"/>
        <v>0</v>
      </c>
      <c r="BA9" s="206">
        <f t="shared" si="6"/>
        <v>0</v>
      </c>
      <c r="BB9" s="50">
        <f t="shared" si="7"/>
        <v>285335</v>
      </c>
      <c r="BC9" s="236" t="s">
        <v>615</v>
      </c>
      <c r="BD9" s="381" t="s">
        <v>616</v>
      </c>
      <c r="BE9" s="253"/>
    </row>
    <row r="10" s="133" customFormat="1" ht="29" hidden="1" customHeight="1" spans="1:57">
      <c r="A10" s="150">
        <v>4</v>
      </c>
      <c r="B10" s="151" t="s">
        <v>618</v>
      </c>
      <c r="C10" s="15" t="s">
        <v>619</v>
      </c>
      <c r="D10" s="15" t="s">
        <v>595</v>
      </c>
      <c r="E10" s="152" t="s">
        <v>620</v>
      </c>
      <c r="F10" s="152">
        <v>18</v>
      </c>
      <c r="G10" s="152">
        <v>18</v>
      </c>
      <c r="H10" s="152"/>
      <c r="I10" s="175">
        <v>600</v>
      </c>
      <c r="J10" s="152">
        <f>430.9+16.66+23.56+31.71+16.32+19.73+15.33+13.38+10.49+19.13</f>
        <v>597.21</v>
      </c>
      <c r="K10" s="173" t="s">
        <v>621</v>
      </c>
      <c r="L10" s="50">
        <v>0</v>
      </c>
      <c r="M10" s="50">
        <v>0</v>
      </c>
      <c r="N10" s="50">
        <v>0</v>
      </c>
      <c r="O10" s="50"/>
      <c r="P10" s="50"/>
      <c r="Q10" s="50"/>
      <c r="R10" s="50"/>
      <c r="S10" s="50"/>
      <c r="T10" s="50"/>
      <c r="U10" s="50"/>
      <c r="V10" s="50"/>
      <c r="W10" s="50"/>
      <c r="X10" s="50">
        <f t="shared" si="8"/>
        <v>0</v>
      </c>
      <c r="Y10" s="49">
        <f t="shared" si="9"/>
        <v>0</v>
      </c>
      <c r="Z10" s="49">
        <f t="shared" si="10"/>
        <v>0</v>
      </c>
      <c r="AA10" s="194"/>
      <c r="AB10" s="196">
        <v>0.25</v>
      </c>
      <c r="AC10" s="57">
        <f t="shared" si="0"/>
        <v>0</v>
      </c>
      <c r="AD10" s="194"/>
      <c r="AE10" s="196"/>
      <c r="AF10" s="57">
        <f t="shared" si="1"/>
        <v>0</v>
      </c>
      <c r="AG10" s="194"/>
      <c r="AH10" s="206">
        <f t="shared" si="12"/>
        <v>0</v>
      </c>
      <c r="AI10" s="205"/>
      <c r="AJ10" s="50">
        <f t="shared" si="2"/>
        <v>0</v>
      </c>
      <c r="AK10" s="194"/>
      <c r="AL10" s="206">
        <f t="shared" ref="AL10:AL13" si="16">AK10*0.83</f>
        <v>0</v>
      </c>
      <c r="AM10" s="205">
        <v>0.13</v>
      </c>
      <c r="AN10" s="50">
        <f t="shared" si="3"/>
        <v>0</v>
      </c>
      <c r="AO10" s="62"/>
      <c r="AP10" s="216">
        <v>0.05</v>
      </c>
      <c r="AQ10" s="50">
        <f t="shared" ref="AQ10:AQ13" si="17">AO10*AP10</f>
        <v>0</v>
      </c>
      <c r="AR10" s="10"/>
      <c r="AS10" s="218"/>
      <c r="AT10" s="10">
        <f t="shared" si="4"/>
        <v>0</v>
      </c>
      <c r="AU10" s="50"/>
      <c r="AV10" s="50"/>
      <c r="AW10" s="194">
        <f t="shared" si="5"/>
        <v>0</v>
      </c>
      <c r="AX10" s="57"/>
      <c r="AY10" s="233">
        <v>0.3</v>
      </c>
      <c r="AZ10" s="57">
        <f t="shared" si="14"/>
        <v>0</v>
      </c>
      <c r="BA10" s="206">
        <f t="shared" si="6"/>
        <v>0</v>
      </c>
      <c r="BB10" s="50">
        <f t="shared" si="7"/>
        <v>0</v>
      </c>
      <c r="BC10" s="234" t="s">
        <v>622</v>
      </c>
      <c r="BD10" s="235" t="s">
        <v>623</v>
      </c>
      <c r="BE10" s="150"/>
    </row>
    <row r="11" s="133" customFormat="1" ht="29" customHeight="1" spans="1:57">
      <c r="A11" s="150">
        <v>4</v>
      </c>
      <c r="B11" s="151" t="s">
        <v>618</v>
      </c>
      <c r="C11" s="15" t="s">
        <v>619</v>
      </c>
      <c r="D11" s="15" t="s">
        <v>595</v>
      </c>
      <c r="E11" s="152" t="s">
        <v>624</v>
      </c>
      <c r="F11" s="152">
        <v>20</v>
      </c>
      <c r="G11" s="152">
        <v>10</v>
      </c>
      <c r="H11" s="152"/>
      <c r="I11" s="175">
        <v>400</v>
      </c>
      <c r="J11" s="152">
        <f>-2.8+12.32+18.91+17.43+18.66+9.15+6.56+9.44</f>
        <v>89.67</v>
      </c>
      <c r="K11" s="173" t="s">
        <v>625</v>
      </c>
      <c r="L11" s="50">
        <v>186558</v>
      </c>
      <c r="M11" s="50">
        <v>91469</v>
      </c>
      <c r="N11" s="50">
        <v>65573</v>
      </c>
      <c r="O11" s="50"/>
      <c r="P11" s="50"/>
      <c r="Q11" s="50"/>
      <c r="R11" s="50"/>
      <c r="S11" s="50"/>
      <c r="T11" s="50"/>
      <c r="U11" s="50"/>
      <c r="V11" s="50"/>
      <c r="W11" s="50"/>
      <c r="X11" s="50">
        <f t="shared" si="8"/>
        <v>94408</v>
      </c>
      <c r="Y11" s="49">
        <f t="shared" si="9"/>
        <v>94408</v>
      </c>
      <c r="Z11" s="49">
        <f t="shared" si="10"/>
        <v>94408</v>
      </c>
      <c r="AA11" s="194">
        <v>94408</v>
      </c>
      <c r="AB11" s="196">
        <v>0.25</v>
      </c>
      <c r="AC11" s="57">
        <f t="shared" si="0"/>
        <v>23602</v>
      </c>
      <c r="AD11" s="194"/>
      <c r="AE11" s="196">
        <v>0</v>
      </c>
      <c r="AF11" s="57">
        <f t="shared" si="1"/>
        <v>0</v>
      </c>
      <c r="AG11" s="194"/>
      <c r="AH11" s="206">
        <f t="shared" si="12"/>
        <v>0</v>
      </c>
      <c r="AI11" s="205"/>
      <c r="AJ11" s="50">
        <f t="shared" si="2"/>
        <v>0</v>
      </c>
      <c r="AK11" s="194"/>
      <c r="AL11" s="206">
        <f t="shared" si="16"/>
        <v>0</v>
      </c>
      <c r="AM11" s="205"/>
      <c r="AN11" s="50">
        <f t="shared" si="3"/>
        <v>0</v>
      </c>
      <c r="AO11" s="62">
        <v>38139</v>
      </c>
      <c r="AP11" s="216">
        <v>0.05</v>
      </c>
      <c r="AQ11" s="50">
        <f t="shared" si="17"/>
        <v>1906.95</v>
      </c>
      <c r="AR11" s="62"/>
      <c r="AS11" s="218">
        <v>0.04</v>
      </c>
      <c r="AT11" s="10">
        <f t="shared" si="4"/>
        <v>0</v>
      </c>
      <c r="AU11" s="50">
        <f>(Z11*0.04-1032)*0.2</f>
        <v>548.864</v>
      </c>
      <c r="AV11" s="50"/>
      <c r="AW11" s="194">
        <f t="shared" si="5"/>
        <v>24960</v>
      </c>
      <c r="AX11" s="57"/>
      <c r="AY11" s="233">
        <v>0.3</v>
      </c>
      <c r="AZ11" s="57">
        <f t="shared" si="14"/>
        <v>0</v>
      </c>
      <c r="BA11" s="206">
        <f t="shared" si="6"/>
        <v>0</v>
      </c>
      <c r="BB11" s="50">
        <f t="shared" si="7"/>
        <v>24960</v>
      </c>
      <c r="BC11" s="234" t="s">
        <v>622</v>
      </c>
      <c r="BD11" s="235" t="s">
        <v>623</v>
      </c>
      <c r="BE11" s="150"/>
    </row>
    <row r="12" s="133" customFormat="1" ht="29" hidden="1" customHeight="1" spans="1:57">
      <c r="A12" s="150">
        <v>5</v>
      </c>
      <c r="B12" s="151" t="s">
        <v>189</v>
      </c>
      <c r="C12" s="15" t="s">
        <v>626</v>
      </c>
      <c r="D12" s="15" t="s">
        <v>595</v>
      </c>
      <c r="E12" s="152" t="s">
        <v>627</v>
      </c>
      <c r="F12" s="152">
        <v>15</v>
      </c>
      <c r="G12" s="152">
        <v>7.5</v>
      </c>
      <c r="H12" s="152">
        <v>7.5</v>
      </c>
      <c r="I12" s="152">
        <v>300</v>
      </c>
      <c r="J12" s="152">
        <f>162.2+23.31+23+19.63+28.74+24.1+17.29+9.9</f>
        <v>308.17</v>
      </c>
      <c r="K12" s="173" t="s">
        <v>628</v>
      </c>
      <c r="L12" s="50">
        <v>0</v>
      </c>
      <c r="M12" s="50">
        <v>0</v>
      </c>
      <c r="N12" s="50">
        <v>0</v>
      </c>
      <c r="O12" s="50"/>
      <c r="P12" s="50"/>
      <c r="Q12" s="50"/>
      <c r="R12" s="50"/>
      <c r="S12" s="50"/>
      <c r="T12" s="50"/>
      <c r="U12" s="50"/>
      <c r="V12" s="50"/>
      <c r="W12" s="50"/>
      <c r="X12" s="50">
        <f t="shared" si="8"/>
        <v>0</v>
      </c>
      <c r="Y12" s="49">
        <f t="shared" si="9"/>
        <v>0</v>
      </c>
      <c r="Z12" s="49">
        <f t="shared" si="10"/>
        <v>0</v>
      </c>
      <c r="AA12" s="194"/>
      <c r="AB12" s="196">
        <v>0.25</v>
      </c>
      <c r="AC12" s="57">
        <f t="shared" si="0"/>
        <v>0</v>
      </c>
      <c r="AD12" s="194"/>
      <c r="AE12" s="196"/>
      <c r="AF12" s="57">
        <f t="shared" si="1"/>
        <v>0</v>
      </c>
      <c r="AG12" s="194"/>
      <c r="AH12" s="206">
        <f t="shared" si="12"/>
        <v>0</v>
      </c>
      <c r="AI12" s="205"/>
      <c r="AJ12" s="50">
        <f t="shared" si="2"/>
        <v>0</v>
      </c>
      <c r="AK12" s="194"/>
      <c r="AL12" s="206">
        <f t="shared" si="16"/>
        <v>0</v>
      </c>
      <c r="AM12" s="205"/>
      <c r="AN12" s="50">
        <f t="shared" si="3"/>
        <v>0</v>
      </c>
      <c r="AO12" s="50"/>
      <c r="AP12" s="216"/>
      <c r="AQ12" s="50">
        <f t="shared" si="17"/>
        <v>0</v>
      </c>
      <c r="AR12" s="10"/>
      <c r="AS12" s="218"/>
      <c r="AT12" s="10">
        <f t="shared" si="4"/>
        <v>0</v>
      </c>
      <c r="AU12" s="50"/>
      <c r="AV12" s="50"/>
      <c r="AW12" s="194">
        <f t="shared" si="5"/>
        <v>0</v>
      </c>
      <c r="AX12" s="57"/>
      <c r="AY12" s="233">
        <v>0.3</v>
      </c>
      <c r="AZ12" s="57">
        <f t="shared" si="14"/>
        <v>0</v>
      </c>
      <c r="BA12" s="206">
        <f t="shared" si="6"/>
        <v>0</v>
      </c>
      <c r="BB12" s="50">
        <f t="shared" si="7"/>
        <v>0</v>
      </c>
      <c r="BC12" s="234" t="s">
        <v>629</v>
      </c>
      <c r="BD12" s="380" t="s">
        <v>630</v>
      </c>
      <c r="BE12" s="150"/>
    </row>
    <row r="13" s="133" customFormat="1" ht="29" customHeight="1" spans="1:57">
      <c r="A13" s="150">
        <v>5</v>
      </c>
      <c r="B13" s="151" t="s">
        <v>189</v>
      </c>
      <c r="C13" s="15" t="s">
        <v>626</v>
      </c>
      <c r="D13" s="15" t="s">
        <v>595</v>
      </c>
      <c r="E13" s="152" t="s">
        <v>627</v>
      </c>
      <c r="F13" s="152">
        <v>15</v>
      </c>
      <c r="G13" s="152">
        <v>7.5</v>
      </c>
      <c r="H13" s="152">
        <v>7.5</v>
      </c>
      <c r="I13" s="152">
        <v>300</v>
      </c>
      <c r="J13" s="152">
        <f>8.17+28.64+20.02+20.59+26.71+35.1+39.56+16.1+27.31+26.88</f>
        <v>249.08</v>
      </c>
      <c r="K13" s="173" t="s">
        <v>631</v>
      </c>
      <c r="L13" s="50">
        <v>395578.49</v>
      </c>
      <c r="M13" s="50">
        <v>150987</v>
      </c>
      <c r="N13" s="50">
        <v>273078</v>
      </c>
      <c r="O13" s="50"/>
      <c r="P13" s="50"/>
      <c r="Q13" s="50"/>
      <c r="R13" s="50"/>
      <c r="S13" s="50"/>
      <c r="T13" s="50"/>
      <c r="U13" s="50"/>
      <c r="V13" s="50"/>
      <c r="W13" s="50"/>
      <c r="X13" s="50">
        <f t="shared" si="8"/>
        <v>268798.8</v>
      </c>
      <c r="Y13" s="49">
        <f t="shared" si="9"/>
        <v>268798.8</v>
      </c>
      <c r="Z13" s="49">
        <f t="shared" si="10"/>
        <v>274805</v>
      </c>
      <c r="AA13" s="194">
        <v>244774</v>
      </c>
      <c r="AB13" s="196">
        <v>0.25</v>
      </c>
      <c r="AC13" s="57">
        <f t="shared" si="0"/>
        <v>61194</v>
      </c>
      <c r="AD13" s="194"/>
      <c r="AE13" s="196">
        <v>0</v>
      </c>
      <c r="AF13" s="57">
        <f t="shared" si="1"/>
        <v>0</v>
      </c>
      <c r="AG13" s="194">
        <v>30031</v>
      </c>
      <c r="AH13" s="206">
        <f>AG13*0.8</f>
        <v>24024.8</v>
      </c>
      <c r="AI13" s="205">
        <v>0</v>
      </c>
      <c r="AJ13" s="50">
        <f t="shared" si="2"/>
        <v>0</v>
      </c>
      <c r="AK13" s="194"/>
      <c r="AL13" s="206">
        <f t="shared" si="16"/>
        <v>0</v>
      </c>
      <c r="AM13" s="205"/>
      <c r="AN13" s="50">
        <f t="shared" si="3"/>
        <v>0</v>
      </c>
      <c r="AO13" s="62">
        <v>121859</v>
      </c>
      <c r="AP13" s="216">
        <v>0.05</v>
      </c>
      <c r="AQ13" s="50">
        <f t="shared" si="17"/>
        <v>6092.95</v>
      </c>
      <c r="AR13" s="62">
        <v>41230</v>
      </c>
      <c r="AS13" s="218">
        <v>0.05</v>
      </c>
      <c r="AT13" s="10">
        <f t="shared" si="4"/>
        <v>2061.5</v>
      </c>
      <c r="AU13" s="50">
        <f>(Z13*0.04-5824)*0.2</f>
        <v>1033.64</v>
      </c>
      <c r="AV13" s="50"/>
      <c r="AW13" s="194">
        <f t="shared" si="5"/>
        <v>68315</v>
      </c>
      <c r="AX13" s="57"/>
      <c r="AY13" s="233">
        <v>0.3</v>
      </c>
      <c r="AZ13" s="57">
        <f t="shared" si="14"/>
        <v>0</v>
      </c>
      <c r="BA13" s="206">
        <f t="shared" si="6"/>
        <v>0</v>
      </c>
      <c r="BB13" s="50">
        <f t="shared" si="7"/>
        <v>68315</v>
      </c>
      <c r="BC13" s="234" t="s">
        <v>629</v>
      </c>
      <c r="BD13" s="380" t="s">
        <v>630</v>
      </c>
      <c r="BE13" s="150"/>
    </row>
    <row r="14" s="133" customFormat="1" ht="29" customHeight="1" spans="1:57">
      <c r="A14" s="150">
        <v>6</v>
      </c>
      <c r="B14" s="153" t="s">
        <v>632</v>
      </c>
      <c r="C14" s="147" t="s">
        <v>633</v>
      </c>
      <c r="D14" s="15" t="s">
        <v>595</v>
      </c>
      <c r="E14" s="152" t="s">
        <v>627</v>
      </c>
      <c r="F14" s="152">
        <v>30</v>
      </c>
      <c r="G14" s="152">
        <v>15</v>
      </c>
      <c r="H14" s="152">
        <v>15</v>
      </c>
      <c r="I14" s="152">
        <v>600</v>
      </c>
      <c r="J14" s="152">
        <f>239.47+15.33+29.19+24.95+17.66+25.1+20.33+11.74+24.37+12.89+20.47+23.01+12.64+20.64+7.35+18.79+20.52</f>
        <v>544.45</v>
      </c>
      <c r="K14" s="173" t="s">
        <v>634</v>
      </c>
      <c r="L14" s="50">
        <v>206381</v>
      </c>
      <c r="M14" s="50">
        <v>73489</v>
      </c>
      <c r="N14" s="50">
        <v>187856.15</v>
      </c>
      <c r="O14" s="50"/>
      <c r="P14" s="50"/>
      <c r="Q14" s="50"/>
      <c r="R14" s="50"/>
      <c r="S14" s="50"/>
      <c r="T14" s="50"/>
      <c r="U14" s="50"/>
      <c r="V14" s="50"/>
      <c r="W14" s="50"/>
      <c r="X14" s="50">
        <f t="shared" si="8"/>
        <v>205169.52</v>
      </c>
      <c r="Y14" s="49">
        <f t="shared" si="9"/>
        <v>205169.52</v>
      </c>
      <c r="Z14" s="49">
        <f t="shared" si="10"/>
        <v>207132</v>
      </c>
      <c r="AA14" s="194">
        <v>195588</v>
      </c>
      <c r="AB14" s="196">
        <v>0.25</v>
      </c>
      <c r="AC14" s="57">
        <f t="shared" si="0"/>
        <v>48897</v>
      </c>
      <c r="AD14" s="194"/>
      <c r="AE14" s="196">
        <v>0</v>
      </c>
      <c r="AF14" s="57">
        <f t="shared" si="1"/>
        <v>0</v>
      </c>
      <c r="AG14" s="194">
        <v>11544</v>
      </c>
      <c r="AH14" s="206">
        <f t="shared" ref="AH14:AH17" si="18">AG14*0.83</f>
        <v>9581.52</v>
      </c>
      <c r="AI14" s="205">
        <v>0.13</v>
      </c>
      <c r="AJ14" s="50">
        <f t="shared" si="2"/>
        <v>1245.5976</v>
      </c>
      <c r="AK14" s="194"/>
      <c r="AL14" s="206">
        <f>AK14*1</f>
        <v>0</v>
      </c>
      <c r="AM14" s="205">
        <v>0.2</v>
      </c>
      <c r="AN14" s="50">
        <f t="shared" si="3"/>
        <v>0</v>
      </c>
      <c r="AO14" s="50"/>
      <c r="AP14" s="216"/>
      <c r="AQ14" s="50"/>
      <c r="AR14" s="10"/>
      <c r="AS14" s="218"/>
      <c r="AT14" s="10">
        <f t="shared" si="4"/>
        <v>0</v>
      </c>
      <c r="AU14" s="50">
        <f>(Z14*0.04-3095)*0.2</f>
        <v>1038.056</v>
      </c>
      <c r="AV14" s="50"/>
      <c r="AW14" s="194">
        <f t="shared" si="5"/>
        <v>49105</v>
      </c>
      <c r="AX14" s="57"/>
      <c r="AY14" s="233">
        <v>0.3</v>
      </c>
      <c r="AZ14" s="57">
        <f t="shared" si="14"/>
        <v>0</v>
      </c>
      <c r="BA14" s="206">
        <f t="shared" si="6"/>
        <v>0</v>
      </c>
      <c r="BB14" s="50">
        <f t="shared" si="7"/>
        <v>49105</v>
      </c>
      <c r="BC14" s="234" t="s">
        <v>635</v>
      </c>
      <c r="BD14" s="380" t="s">
        <v>636</v>
      </c>
      <c r="BE14" s="150"/>
    </row>
    <row r="15" s="133" customFormat="1" ht="29" hidden="1" customHeight="1" spans="1:57">
      <c r="A15" s="150">
        <v>7</v>
      </c>
      <c r="B15" s="153" t="s">
        <v>637</v>
      </c>
      <c r="C15" s="15" t="s">
        <v>638</v>
      </c>
      <c r="D15" s="15" t="s">
        <v>595</v>
      </c>
      <c r="E15" s="152" t="s">
        <v>639</v>
      </c>
      <c r="F15" s="152">
        <v>36</v>
      </c>
      <c r="G15" s="152">
        <v>18</v>
      </c>
      <c r="H15" s="152">
        <f>180000-25063</f>
        <v>154937</v>
      </c>
      <c r="I15" s="152">
        <v>720</v>
      </c>
      <c r="J15" s="152">
        <f>63.91+68.71+76.07+60.63+71.84+33.31+21.43+42.6+58.31+37.84+33.62+41.56+21.74+16.14+22.15</f>
        <v>669.86</v>
      </c>
      <c r="K15" s="173" t="s">
        <v>640</v>
      </c>
      <c r="L15" s="50">
        <v>217426</v>
      </c>
      <c r="M15" s="50">
        <v>161408</v>
      </c>
      <c r="N15" s="50">
        <v>221461.57</v>
      </c>
      <c r="O15" s="50"/>
      <c r="P15" s="50"/>
      <c r="Q15" s="50"/>
      <c r="R15" s="50"/>
      <c r="S15" s="50"/>
      <c r="T15" s="50"/>
      <c r="U15" s="50"/>
      <c r="V15" s="50"/>
      <c r="W15" s="50"/>
      <c r="X15" s="50">
        <f t="shared" si="8"/>
        <v>0</v>
      </c>
      <c r="Y15" s="49">
        <f t="shared" si="9"/>
        <v>0</v>
      </c>
      <c r="Z15" s="49">
        <f t="shared" si="10"/>
        <v>0</v>
      </c>
      <c r="AA15" s="194"/>
      <c r="AB15" s="196">
        <v>0.27</v>
      </c>
      <c r="AC15" s="57">
        <f t="shared" si="0"/>
        <v>0</v>
      </c>
      <c r="AD15" s="194"/>
      <c r="AE15" s="196">
        <v>0</v>
      </c>
      <c r="AF15" s="57">
        <f t="shared" si="1"/>
        <v>0</v>
      </c>
      <c r="AG15" s="194"/>
      <c r="AH15" s="206">
        <f t="shared" si="18"/>
        <v>0</v>
      </c>
      <c r="AI15" s="205">
        <v>0</v>
      </c>
      <c r="AJ15" s="50">
        <f t="shared" si="2"/>
        <v>0</v>
      </c>
      <c r="AK15" s="194"/>
      <c r="AL15" s="206">
        <f>AK15*0.8</f>
        <v>0</v>
      </c>
      <c r="AM15" s="205"/>
      <c r="AN15" s="50">
        <f t="shared" si="3"/>
        <v>0</v>
      </c>
      <c r="AO15" s="50"/>
      <c r="AP15" s="216"/>
      <c r="AQ15" s="50"/>
      <c r="AR15" s="10"/>
      <c r="AS15" s="218"/>
      <c r="AT15" s="10">
        <f t="shared" si="4"/>
        <v>0</v>
      </c>
      <c r="AU15" s="50"/>
      <c r="AV15" s="62"/>
      <c r="AW15" s="194">
        <f t="shared" si="5"/>
        <v>0</v>
      </c>
      <c r="AX15" s="57"/>
      <c r="AY15" s="233">
        <v>0.3</v>
      </c>
      <c r="AZ15" s="57">
        <f t="shared" si="14"/>
        <v>0</v>
      </c>
      <c r="BA15" s="206">
        <f t="shared" si="6"/>
        <v>0</v>
      </c>
      <c r="BB15" s="50">
        <f t="shared" si="7"/>
        <v>0</v>
      </c>
      <c r="BC15" s="234" t="s">
        <v>641</v>
      </c>
      <c r="BD15" s="380" t="s">
        <v>642</v>
      </c>
      <c r="BE15" s="150"/>
    </row>
    <row r="16" s="133" customFormat="1" ht="29" customHeight="1" spans="1:57">
      <c r="A16" s="150">
        <v>7</v>
      </c>
      <c r="B16" s="153" t="s">
        <v>637</v>
      </c>
      <c r="C16" s="15" t="s">
        <v>638</v>
      </c>
      <c r="D16" s="15" t="s">
        <v>595</v>
      </c>
      <c r="E16" s="152" t="s">
        <v>643</v>
      </c>
      <c r="F16" s="152">
        <v>18</v>
      </c>
      <c r="G16" s="152">
        <v>9</v>
      </c>
      <c r="H16" s="152"/>
      <c r="I16" s="152">
        <v>360</v>
      </c>
      <c r="J16" s="152">
        <f>24.8</f>
        <v>24.8</v>
      </c>
      <c r="K16" s="173" t="s">
        <v>644</v>
      </c>
      <c r="L16" s="50">
        <v>217426</v>
      </c>
      <c r="M16" s="50">
        <v>161408</v>
      </c>
      <c r="N16" s="50">
        <v>221461.57</v>
      </c>
      <c r="O16" s="50"/>
      <c r="P16" s="50"/>
      <c r="Q16" s="50"/>
      <c r="R16" s="50"/>
      <c r="S16" s="50"/>
      <c r="T16" s="50"/>
      <c r="U16" s="50"/>
      <c r="V16" s="50"/>
      <c r="W16" s="50"/>
      <c r="X16" s="50">
        <f t="shared" si="8"/>
        <v>247965.2</v>
      </c>
      <c r="Y16" s="49">
        <f t="shared" si="9"/>
        <v>247965.2</v>
      </c>
      <c r="Z16" s="49">
        <f t="shared" si="10"/>
        <v>251607</v>
      </c>
      <c r="AA16" s="194">
        <v>233398</v>
      </c>
      <c r="AB16" s="196">
        <v>0.3</v>
      </c>
      <c r="AC16" s="57">
        <f t="shared" si="0"/>
        <v>70019</v>
      </c>
      <c r="AD16" s="194"/>
      <c r="AE16" s="196">
        <v>0</v>
      </c>
      <c r="AF16" s="57">
        <f t="shared" si="1"/>
        <v>0</v>
      </c>
      <c r="AG16" s="194">
        <v>18209</v>
      </c>
      <c r="AH16" s="206">
        <f>AG16*0.8</f>
        <v>14567.2</v>
      </c>
      <c r="AI16" s="205">
        <v>0</v>
      </c>
      <c r="AJ16" s="50">
        <f t="shared" si="2"/>
        <v>0</v>
      </c>
      <c r="AK16" s="194"/>
      <c r="AL16" s="206">
        <f>AK16*0.8</f>
        <v>0</v>
      </c>
      <c r="AM16" s="205"/>
      <c r="AN16" s="50">
        <f t="shared" si="3"/>
        <v>0</v>
      </c>
      <c r="AO16" s="50"/>
      <c r="AP16" s="216"/>
      <c r="AQ16" s="50"/>
      <c r="AR16" s="10"/>
      <c r="AS16" s="218"/>
      <c r="AT16" s="10">
        <f t="shared" si="4"/>
        <v>0</v>
      </c>
      <c r="AU16" s="50">
        <f>(Z16*0.04-7810)*0.2</f>
        <v>450.856</v>
      </c>
      <c r="AV16" s="50"/>
      <c r="AW16" s="194">
        <f t="shared" si="5"/>
        <v>69568</v>
      </c>
      <c r="AX16" s="57"/>
      <c r="AY16" s="233">
        <v>0.3</v>
      </c>
      <c r="AZ16" s="57">
        <f t="shared" si="14"/>
        <v>0</v>
      </c>
      <c r="BA16" s="206">
        <f t="shared" si="6"/>
        <v>0</v>
      </c>
      <c r="BB16" s="50">
        <f t="shared" si="7"/>
        <v>69568</v>
      </c>
      <c r="BC16" s="234" t="s">
        <v>641</v>
      </c>
      <c r="BD16" s="380" t="s">
        <v>642</v>
      </c>
      <c r="BE16" s="150"/>
    </row>
    <row r="17" s="133" customFormat="1" ht="29" hidden="1" customHeight="1" spans="1:57">
      <c r="A17" s="150">
        <v>8</v>
      </c>
      <c r="B17" s="151" t="s">
        <v>645</v>
      </c>
      <c r="C17" s="15" t="s">
        <v>646</v>
      </c>
      <c r="D17" s="15" t="s">
        <v>595</v>
      </c>
      <c r="E17" s="152" t="s">
        <v>647</v>
      </c>
      <c r="F17" s="152">
        <v>15</v>
      </c>
      <c r="G17" s="152">
        <v>7.5</v>
      </c>
      <c r="H17" s="152"/>
      <c r="I17" s="152">
        <v>300</v>
      </c>
      <c r="J17" s="152">
        <v>300</v>
      </c>
      <c r="K17" s="173" t="s">
        <v>648</v>
      </c>
      <c r="L17" s="50">
        <v>0</v>
      </c>
      <c r="M17" s="50">
        <v>0</v>
      </c>
      <c r="N17" s="50">
        <v>0</v>
      </c>
      <c r="O17" s="50"/>
      <c r="P17" s="50"/>
      <c r="Q17" s="50"/>
      <c r="R17" s="50"/>
      <c r="S17" s="50"/>
      <c r="T17" s="50"/>
      <c r="U17" s="50"/>
      <c r="V17" s="50"/>
      <c r="W17" s="50"/>
      <c r="X17" s="50">
        <f t="shared" si="8"/>
        <v>0</v>
      </c>
      <c r="Y17" s="49">
        <f t="shared" si="9"/>
        <v>0</v>
      </c>
      <c r="Z17" s="49">
        <f t="shared" si="10"/>
        <v>0</v>
      </c>
      <c r="AA17" s="194"/>
      <c r="AB17" s="196">
        <v>0.25</v>
      </c>
      <c r="AC17" s="57">
        <f t="shared" si="0"/>
        <v>0</v>
      </c>
      <c r="AD17" s="194"/>
      <c r="AE17" s="196"/>
      <c r="AF17" s="57">
        <f t="shared" si="1"/>
        <v>0</v>
      </c>
      <c r="AG17" s="194"/>
      <c r="AH17" s="206">
        <f t="shared" si="18"/>
        <v>0</v>
      </c>
      <c r="AI17" s="205"/>
      <c r="AJ17" s="50">
        <f t="shared" si="2"/>
        <v>0</v>
      </c>
      <c r="AK17" s="194"/>
      <c r="AL17" s="206">
        <f t="shared" ref="AL17:AL21" si="19">AK17*0.83</f>
        <v>0</v>
      </c>
      <c r="AM17" s="205"/>
      <c r="AN17" s="50">
        <f t="shared" si="3"/>
        <v>0</v>
      </c>
      <c r="AO17" s="50"/>
      <c r="AP17" s="216"/>
      <c r="AQ17" s="50"/>
      <c r="AR17" s="10"/>
      <c r="AS17" s="218"/>
      <c r="AT17" s="10">
        <f t="shared" si="4"/>
        <v>0</v>
      </c>
      <c r="AU17" s="50"/>
      <c r="AV17" s="50"/>
      <c r="AW17" s="194">
        <f t="shared" si="5"/>
        <v>0</v>
      </c>
      <c r="AX17" s="57"/>
      <c r="AY17" s="233">
        <v>0.3</v>
      </c>
      <c r="AZ17" s="57">
        <f t="shared" si="14"/>
        <v>0</v>
      </c>
      <c r="BA17" s="206">
        <f t="shared" si="6"/>
        <v>0</v>
      </c>
      <c r="BB17" s="50">
        <f t="shared" si="7"/>
        <v>0</v>
      </c>
      <c r="BC17" s="234" t="s">
        <v>649</v>
      </c>
      <c r="BD17" s="381" t="s">
        <v>650</v>
      </c>
      <c r="BE17" s="150"/>
    </row>
    <row r="18" s="133" customFormat="1" ht="29" customHeight="1" spans="1:57">
      <c r="A18" s="150">
        <v>8</v>
      </c>
      <c r="B18" s="151" t="s">
        <v>645</v>
      </c>
      <c r="C18" s="15" t="s">
        <v>646</v>
      </c>
      <c r="D18" s="15" t="s">
        <v>595</v>
      </c>
      <c r="E18" s="152" t="s">
        <v>600</v>
      </c>
      <c r="F18" s="152">
        <v>15</v>
      </c>
      <c r="G18" s="152">
        <v>7.5</v>
      </c>
      <c r="H18" s="152">
        <v>7.5</v>
      </c>
      <c r="I18" s="152">
        <v>300</v>
      </c>
      <c r="J18" s="152">
        <f>12.06+21.41+31.09+29.93+19.01+36.55+33.95</f>
        <v>184</v>
      </c>
      <c r="K18" s="173" t="s">
        <v>651</v>
      </c>
      <c r="L18" s="50">
        <v>299340</v>
      </c>
      <c r="M18" s="50">
        <v>190055</v>
      </c>
      <c r="N18" s="50">
        <v>365468</v>
      </c>
      <c r="O18" s="50"/>
      <c r="P18" s="50"/>
      <c r="Q18" s="50"/>
      <c r="R18" s="50"/>
      <c r="S18" s="50"/>
      <c r="T18" s="50"/>
      <c r="U18" s="50"/>
      <c r="V18" s="50"/>
      <c r="W18" s="50"/>
      <c r="X18" s="50">
        <f t="shared" si="8"/>
        <v>339537</v>
      </c>
      <c r="Y18" s="49">
        <f t="shared" si="9"/>
        <v>339537</v>
      </c>
      <c r="Z18" s="49">
        <f t="shared" si="10"/>
        <v>339537</v>
      </c>
      <c r="AA18" s="194">
        <v>338205</v>
      </c>
      <c r="AB18" s="196">
        <v>0.25</v>
      </c>
      <c r="AC18" s="57">
        <f t="shared" si="0"/>
        <v>84551</v>
      </c>
      <c r="AD18" s="13">
        <v>1332</v>
      </c>
      <c r="AE18" s="196">
        <v>0</v>
      </c>
      <c r="AF18" s="57">
        <f t="shared" si="1"/>
        <v>0</v>
      </c>
      <c r="AG18" s="194"/>
      <c r="AH18" s="206">
        <f>AG18*1</f>
        <v>0</v>
      </c>
      <c r="AI18" s="205"/>
      <c r="AJ18" s="50">
        <f t="shared" si="2"/>
        <v>0</v>
      </c>
      <c r="AK18" s="194"/>
      <c r="AL18" s="206">
        <f t="shared" si="19"/>
        <v>0</v>
      </c>
      <c r="AM18" s="205"/>
      <c r="AN18" s="50">
        <f t="shared" si="3"/>
        <v>0</v>
      </c>
      <c r="AO18" s="62">
        <v>106488</v>
      </c>
      <c r="AP18" s="216">
        <v>0.05</v>
      </c>
      <c r="AQ18" s="50">
        <f t="shared" ref="AQ18:AQ22" si="20">AO18*AP18</f>
        <v>5324.4</v>
      </c>
      <c r="AR18" s="62">
        <v>119090</v>
      </c>
      <c r="AS18" s="218">
        <v>0.05</v>
      </c>
      <c r="AT18" s="10">
        <f t="shared" si="4"/>
        <v>5954.5</v>
      </c>
      <c r="AU18" s="50">
        <f>(Z18*0.04-8742)*0.2</f>
        <v>967.896</v>
      </c>
      <c r="AV18" s="50"/>
      <c r="AW18" s="194">
        <f t="shared" si="5"/>
        <v>94862</v>
      </c>
      <c r="AX18" s="57"/>
      <c r="AY18" s="233">
        <v>0.3</v>
      </c>
      <c r="AZ18" s="57">
        <f t="shared" si="14"/>
        <v>0</v>
      </c>
      <c r="BA18" s="206">
        <f t="shared" si="6"/>
        <v>0</v>
      </c>
      <c r="BB18" s="50">
        <f t="shared" si="7"/>
        <v>94862</v>
      </c>
      <c r="BC18" s="234" t="s">
        <v>649</v>
      </c>
      <c r="BD18" s="381" t="s">
        <v>650</v>
      </c>
      <c r="BE18" s="15"/>
    </row>
    <row r="19" s="133" customFormat="1" ht="29" hidden="1" customHeight="1" spans="1:57">
      <c r="A19" s="150">
        <v>9</v>
      </c>
      <c r="B19" s="151" t="s">
        <v>652</v>
      </c>
      <c r="C19" s="15" t="s">
        <v>653</v>
      </c>
      <c r="D19" s="15" t="s">
        <v>595</v>
      </c>
      <c r="E19" s="152" t="s">
        <v>654</v>
      </c>
      <c r="F19" s="152">
        <v>20</v>
      </c>
      <c r="G19" s="152">
        <v>20</v>
      </c>
      <c r="H19" s="152"/>
      <c r="I19" s="152">
        <v>500</v>
      </c>
      <c r="J19" s="152">
        <f>218.01+6.7+6.57+7.73+15.09+28.3+9.56+5.09+6.74+35.54</f>
        <v>339.33</v>
      </c>
      <c r="K19" s="173" t="s">
        <v>655</v>
      </c>
      <c r="L19" s="50">
        <v>0</v>
      </c>
      <c r="M19" s="50">
        <v>0</v>
      </c>
      <c r="N19" s="50">
        <v>0</v>
      </c>
      <c r="O19" s="50"/>
      <c r="P19" s="50"/>
      <c r="Q19" s="50"/>
      <c r="R19" s="50"/>
      <c r="S19" s="50"/>
      <c r="T19" s="50"/>
      <c r="U19" s="50"/>
      <c r="V19" s="50"/>
      <c r="W19" s="50"/>
      <c r="X19" s="50">
        <f t="shared" si="8"/>
        <v>0</v>
      </c>
      <c r="Y19" s="49">
        <f t="shared" si="9"/>
        <v>0</v>
      </c>
      <c r="Z19" s="49">
        <f t="shared" si="10"/>
        <v>0</v>
      </c>
      <c r="AA19" s="194"/>
      <c r="AB19" s="196">
        <v>0.25</v>
      </c>
      <c r="AC19" s="57">
        <f t="shared" si="0"/>
        <v>0</v>
      </c>
      <c r="AD19" s="194"/>
      <c r="AE19" s="196"/>
      <c r="AF19" s="57">
        <f t="shared" si="1"/>
        <v>0</v>
      </c>
      <c r="AG19" s="194"/>
      <c r="AH19" s="206">
        <f t="shared" ref="AH19:AH21" si="21">AG19*0.83</f>
        <v>0</v>
      </c>
      <c r="AI19" s="205"/>
      <c r="AJ19" s="50">
        <f t="shared" si="2"/>
        <v>0</v>
      </c>
      <c r="AK19" s="194"/>
      <c r="AL19" s="206">
        <f t="shared" si="19"/>
        <v>0</v>
      </c>
      <c r="AM19" s="205"/>
      <c r="AN19" s="50">
        <f t="shared" si="3"/>
        <v>0</v>
      </c>
      <c r="AO19" s="62"/>
      <c r="AP19" s="216">
        <v>0.05</v>
      </c>
      <c r="AQ19" s="50"/>
      <c r="AR19" s="10"/>
      <c r="AS19" s="218"/>
      <c r="AT19" s="10">
        <f t="shared" si="4"/>
        <v>0</v>
      </c>
      <c r="AU19" s="50"/>
      <c r="AV19" s="50"/>
      <c r="AW19" s="194">
        <f t="shared" si="5"/>
        <v>0</v>
      </c>
      <c r="AX19" s="57"/>
      <c r="AY19" s="233">
        <v>0.3</v>
      </c>
      <c r="AZ19" s="57">
        <f t="shared" si="14"/>
        <v>0</v>
      </c>
      <c r="BA19" s="206">
        <f t="shared" si="6"/>
        <v>0</v>
      </c>
      <c r="BB19" s="50">
        <f t="shared" si="7"/>
        <v>0</v>
      </c>
      <c r="BC19" s="234" t="s">
        <v>656</v>
      </c>
      <c r="BD19" s="237" t="s">
        <v>657</v>
      </c>
      <c r="BE19" s="150"/>
    </row>
    <row r="20" s="133" customFormat="1" ht="29" customHeight="1" spans="1:57">
      <c r="A20" s="150">
        <v>9</v>
      </c>
      <c r="B20" s="151" t="s">
        <v>652</v>
      </c>
      <c r="C20" s="15" t="s">
        <v>653</v>
      </c>
      <c r="D20" s="15" t="s">
        <v>595</v>
      </c>
      <c r="E20" s="152" t="s">
        <v>624</v>
      </c>
      <c r="F20" s="152">
        <v>24</v>
      </c>
      <c r="G20" s="152">
        <v>12</v>
      </c>
      <c r="H20" s="152">
        <v>12</v>
      </c>
      <c r="I20" s="152">
        <v>480</v>
      </c>
      <c r="J20" s="152">
        <f>21.84+19.55+44.26+22.88+22.39+44.78+17.32</f>
        <v>193.02</v>
      </c>
      <c r="K20" s="173" t="s">
        <v>658</v>
      </c>
      <c r="L20" s="50">
        <v>228788</v>
      </c>
      <c r="M20" s="50">
        <v>223859</v>
      </c>
      <c r="N20" s="50">
        <v>447812</v>
      </c>
      <c r="O20" s="50"/>
      <c r="P20" s="50"/>
      <c r="Q20" s="50"/>
      <c r="R20" s="50"/>
      <c r="S20" s="50"/>
      <c r="T20" s="50"/>
      <c r="U20" s="50"/>
      <c r="V20" s="50"/>
      <c r="W20" s="50"/>
      <c r="X20" s="50">
        <f t="shared" si="8"/>
        <v>173169</v>
      </c>
      <c r="Y20" s="49">
        <f t="shared" si="9"/>
        <v>173169</v>
      </c>
      <c r="Z20" s="49">
        <f t="shared" si="10"/>
        <v>173169</v>
      </c>
      <c r="AA20" s="194">
        <v>173169</v>
      </c>
      <c r="AB20" s="196">
        <v>0.25</v>
      </c>
      <c r="AC20" s="57">
        <f t="shared" si="0"/>
        <v>43292</v>
      </c>
      <c r="AD20" s="194"/>
      <c r="AE20" s="196">
        <v>0</v>
      </c>
      <c r="AF20" s="57">
        <f t="shared" si="1"/>
        <v>0</v>
      </c>
      <c r="AG20" s="194"/>
      <c r="AH20" s="206">
        <f t="shared" si="21"/>
        <v>0</v>
      </c>
      <c r="AI20" s="205"/>
      <c r="AJ20" s="50">
        <f t="shared" si="2"/>
        <v>0</v>
      </c>
      <c r="AK20" s="194"/>
      <c r="AL20" s="206">
        <f t="shared" si="19"/>
        <v>0</v>
      </c>
      <c r="AM20" s="205">
        <v>0.13</v>
      </c>
      <c r="AN20" s="50">
        <f t="shared" si="3"/>
        <v>0</v>
      </c>
      <c r="AO20" s="62">
        <f>63589+2080</f>
        <v>65669</v>
      </c>
      <c r="AP20" s="216">
        <v>0.05</v>
      </c>
      <c r="AQ20" s="50">
        <f t="shared" si="20"/>
        <v>3283.45</v>
      </c>
      <c r="AR20" s="62"/>
      <c r="AS20" s="218">
        <v>0.05</v>
      </c>
      <c r="AT20" s="10">
        <f t="shared" si="4"/>
        <v>0</v>
      </c>
      <c r="AU20" s="50">
        <f>(Z20*0.04-4018)*0.2</f>
        <v>581.752</v>
      </c>
      <c r="AV20" s="50"/>
      <c r="AW20" s="194">
        <f t="shared" si="5"/>
        <v>45994</v>
      </c>
      <c r="AX20" s="57"/>
      <c r="AY20" s="233">
        <v>0.3</v>
      </c>
      <c r="AZ20" s="57">
        <f t="shared" si="14"/>
        <v>0</v>
      </c>
      <c r="BA20" s="206">
        <f t="shared" si="6"/>
        <v>0</v>
      </c>
      <c r="BB20" s="50">
        <f t="shared" si="7"/>
        <v>45994</v>
      </c>
      <c r="BC20" s="234" t="s">
        <v>656</v>
      </c>
      <c r="BD20" s="381" t="s">
        <v>657</v>
      </c>
      <c r="BE20" s="150"/>
    </row>
    <row r="21" s="133" customFormat="1" ht="29" hidden="1" customHeight="1" spans="1:57">
      <c r="A21" s="150">
        <v>10</v>
      </c>
      <c r="B21" s="151"/>
      <c r="C21" s="15" t="s">
        <v>659</v>
      </c>
      <c r="D21" s="15" t="s">
        <v>595</v>
      </c>
      <c r="E21" s="155" t="s">
        <v>605</v>
      </c>
      <c r="F21" s="155">
        <v>30</v>
      </c>
      <c r="G21" s="155">
        <v>15</v>
      </c>
      <c r="H21" s="155">
        <v>15</v>
      </c>
      <c r="I21" s="155">
        <v>600</v>
      </c>
      <c r="J21" s="152">
        <f>414.97+35.81+43.01+43.16+52.33+60.56</f>
        <v>649.84</v>
      </c>
      <c r="K21" s="173" t="s">
        <v>660</v>
      </c>
      <c r="L21" s="50">
        <v>0</v>
      </c>
      <c r="M21" s="50">
        <v>0</v>
      </c>
      <c r="N21" s="50">
        <v>0</v>
      </c>
      <c r="O21" s="50"/>
      <c r="P21" s="50"/>
      <c r="Q21" s="50"/>
      <c r="R21" s="50"/>
      <c r="S21" s="50"/>
      <c r="T21" s="50"/>
      <c r="U21" s="50"/>
      <c r="V21" s="50"/>
      <c r="W21" s="50"/>
      <c r="X21" s="50">
        <f t="shared" si="8"/>
        <v>0</v>
      </c>
      <c r="Y21" s="49">
        <f t="shared" si="9"/>
        <v>0</v>
      </c>
      <c r="Z21" s="49">
        <f t="shared" si="10"/>
        <v>0</v>
      </c>
      <c r="AA21" s="194"/>
      <c r="AB21" s="196">
        <v>0.25</v>
      </c>
      <c r="AC21" s="57">
        <f t="shared" si="0"/>
        <v>0</v>
      </c>
      <c r="AD21" s="194"/>
      <c r="AE21" s="196"/>
      <c r="AF21" s="57">
        <f t="shared" si="1"/>
        <v>0</v>
      </c>
      <c r="AG21" s="194"/>
      <c r="AH21" s="206">
        <f t="shared" si="21"/>
        <v>0</v>
      </c>
      <c r="AI21" s="205"/>
      <c r="AJ21" s="50">
        <f t="shared" si="2"/>
        <v>0</v>
      </c>
      <c r="AK21" s="194"/>
      <c r="AL21" s="206">
        <f t="shared" si="19"/>
        <v>0</v>
      </c>
      <c r="AM21" s="205"/>
      <c r="AN21" s="50">
        <f t="shared" si="3"/>
        <v>0</v>
      </c>
      <c r="AO21" s="50"/>
      <c r="AP21" s="216"/>
      <c r="AQ21" s="50"/>
      <c r="AR21" s="10"/>
      <c r="AS21" s="218"/>
      <c r="AT21" s="10">
        <f t="shared" si="4"/>
        <v>0</v>
      </c>
      <c r="AU21" s="50"/>
      <c r="AV21" s="50"/>
      <c r="AW21" s="194">
        <f t="shared" si="5"/>
        <v>0</v>
      </c>
      <c r="AX21" s="57"/>
      <c r="AY21" s="233">
        <v>0.3</v>
      </c>
      <c r="AZ21" s="57">
        <f t="shared" si="14"/>
        <v>0</v>
      </c>
      <c r="BA21" s="206">
        <f t="shared" si="6"/>
        <v>0</v>
      </c>
      <c r="BB21" s="50">
        <f t="shared" si="7"/>
        <v>0</v>
      </c>
      <c r="BC21" s="234" t="s">
        <v>661</v>
      </c>
      <c r="BD21" s="235"/>
      <c r="BE21" s="150"/>
    </row>
    <row r="22" s="133" customFormat="1" ht="29" customHeight="1" spans="1:57">
      <c r="A22" s="150">
        <v>10</v>
      </c>
      <c r="B22" s="151" t="s">
        <v>662</v>
      </c>
      <c r="C22" s="15" t="s">
        <v>659</v>
      </c>
      <c r="D22" s="15" t="s">
        <v>595</v>
      </c>
      <c r="E22" s="155" t="s">
        <v>663</v>
      </c>
      <c r="F22" s="155">
        <v>36</v>
      </c>
      <c r="G22" s="155">
        <v>18</v>
      </c>
      <c r="H22" s="155">
        <v>18</v>
      </c>
      <c r="I22" s="155">
        <v>720</v>
      </c>
      <c r="J22" s="152">
        <f>46.15+24.6+28.78+48.96+71.24+54.47+55.78+55.13+34.51+74.3+51.34</f>
        <v>545.26</v>
      </c>
      <c r="K22" s="173" t="s">
        <v>664</v>
      </c>
      <c r="L22" s="50">
        <v>551275</v>
      </c>
      <c r="M22" s="50">
        <v>345146</v>
      </c>
      <c r="N22" s="50">
        <v>742997</v>
      </c>
      <c r="O22" s="50"/>
      <c r="P22" s="50"/>
      <c r="Q22" s="50"/>
      <c r="R22" s="50"/>
      <c r="S22" s="50"/>
      <c r="T22" s="50"/>
      <c r="U22" s="50"/>
      <c r="V22" s="50"/>
      <c r="W22" s="50"/>
      <c r="X22" s="50">
        <f t="shared" si="8"/>
        <v>513378</v>
      </c>
      <c r="Y22" s="49">
        <f t="shared" si="9"/>
        <v>513378</v>
      </c>
      <c r="Z22" s="49">
        <f t="shared" si="10"/>
        <v>513378</v>
      </c>
      <c r="AA22" s="194">
        <f>510080-54950</f>
        <v>455130</v>
      </c>
      <c r="AB22" s="196">
        <v>0.25</v>
      </c>
      <c r="AC22" s="57">
        <f t="shared" si="0"/>
        <v>113783</v>
      </c>
      <c r="AD22" s="194">
        <v>398</v>
      </c>
      <c r="AE22" s="196">
        <v>0</v>
      </c>
      <c r="AF22" s="57">
        <f t="shared" si="1"/>
        <v>0</v>
      </c>
      <c r="AG22" s="13">
        <v>2900</v>
      </c>
      <c r="AH22" s="206">
        <f>AG22*1</f>
        <v>2900</v>
      </c>
      <c r="AI22" s="205">
        <v>0.15</v>
      </c>
      <c r="AJ22" s="50">
        <f t="shared" si="2"/>
        <v>435</v>
      </c>
      <c r="AK22" s="13">
        <v>54950</v>
      </c>
      <c r="AL22" s="206">
        <f>AK22*1</f>
        <v>54950</v>
      </c>
      <c r="AM22" s="205">
        <v>0.2</v>
      </c>
      <c r="AN22" s="50">
        <f t="shared" si="3"/>
        <v>10990</v>
      </c>
      <c r="AO22" s="62">
        <v>177903</v>
      </c>
      <c r="AP22" s="216">
        <v>0.05</v>
      </c>
      <c r="AQ22" s="50">
        <f t="shared" si="20"/>
        <v>8895.15</v>
      </c>
      <c r="AR22" s="10"/>
      <c r="AS22" s="218"/>
      <c r="AT22" s="10">
        <f t="shared" si="4"/>
        <v>0</v>
      </c>
      <c r="AU22" s="50">
        <f>(Z22*0.04-12062)*0.2</f>
        <v>1694.624</v>
      </c>
      <c r="AV22" s="50"/>
      <c r="AW22" s="194">
        <f t="shared" si="5"/>
        <v>132409</v>
      </c>
      <c r="AX22" s="57"/>
      <c r="AY22" s="233">
        <v>0.3</v>
      </c>
      <c r="AZ22" s="57">
        <f t="shared" si="14"/>
        <v>0</v>
      </c>
      <c r="BA22" s="206">
        <f t="shared" si="6"/>
        <v>0</v>
      </c>
      <c r="BB22" s="50">
        <f t="shared" si="7"/>
        <v>132409</v>
      </c>
      <c r="BC22" s="234" t="s">
        <v>661</v>
      </c>
      <c r="BD22" s="380" t="s">
        <v>665</v>
      </c>
      <c r="BE22" s="15" t="s">
        <v>52</v>
      </c>
    </row>
    <row r="23" s="133" customFormat="1" ht="29" hidden="1" customHeight="1" spans="1:57">
      <c r="A23" s="150">
        <v>11</v>
      </c>
      <c r="B23" s="151" t="s">
        <v>666</v>
      </c>
      <c r="C23" s="15" t="s">
        <v>667</v>
      </c>
      <c r="D23" s="15" t="s">
        <v>595</v>
      </c>
      <c r="E23" s="152" t="s">
        <v>668</v>
      </c>
      <c r="F23" s="152">
        <v>10</v>
      </c>
      <c r="G23" s="152">
        <v>5</v>
      </c>
      <c r="H23" s="152">
        <f>5-0.88</f>
        <v>4.12</v>
      </c>
      <c r="I23" s="152">
        <v>200</v>
      </c>
      <c r="J23" s="152">
        <v>182.47</v>
      </c>
      <c r="K23" s="173" t="s">
        <v>669</v>
      </c>
      <c r="L23" s="50">
        <v>0</v>
      </c>
      <c r="M23" s="50">
        <v>0</v>
      </c>
      <c r="N23" s="50">
        <v>0</v>
      </c>
      <c r="O23" s="50"/>
      <c r="P23" s="50"/>
      <c r="Q23" s="50"/>
      <c r="R23" s="50"/>
      <c r="S23" s="50"/>
      <c r="T23" s="50"/>
      <c r="U23" s="50"/>
      <c r="V23" s="50"/>
      <c r="W23" s="50"/>
      <c r="X23" s="50">
        <f t="shared" si="8"/>
        <v>0</v>
      </c>
      <c r="Y23" s="49">
        <f t="shared" si="9"/>
        <v>0</v>
      </c>
      <c r="Z23" s="49">
        <f t="shared" si="10"/>
        <v>0</v>
      </c>
      <c r="AA23" s="194"/>
      <c r="AB23" s="196">
        <v>0.2</v>
      </c>
      <c r="AC23" s="57">
        <f t="shared" si="0"/>
        <v>0</v>
      </c>
      <c r="AD23" s="194"/>
      <c r="AE23" s="196"/>
      <c r="AF23" s="57">
        <f t="shared" si="1"/>
        <v>0</v>
      </c>
      <c r="AG23" s="194"/>
      <c r="AH23" s="206">
        <f t="shared" ref="AH23:AH26" si="22">AG23*0.83</f>
        <v>0</v>
      </c>
      <c r="AI23" s="205"/>
      <c r="AJ23" s="50">
        <f t="shared" si="2"/>
        <v>0</v>
      </c>
      <c r="AK23" s="194"/>
      <c r="AL23" s="206">
        <f t="shared" ref="AL23:AL29" si="23">AK23*0.83</f>
        <v>0</v>
      </c>
      <c r="AM23" s="205"/>
      <c r="AN23" s="50">
        <f t="shared" si="3"/>
        <v>0</v>
      </c>
      <c r="AO23" s="50"/>
      <c r="AP23" s="216"/>
      <c r="AQ23" s="50"/>
      <c r="AR23" s="10"/>
      <c r="AS23" s="218"/>
      <c r="AT23" s="10">
        <f t="shared" si="4"/>
        <v>0</v>
      </c>
      <c r="AU23" s="50"/>
      <c r="AV23" s="50"/>
      <c r="AW23" s="194">
        <f t="shared" si="5"/>
        <v>0</v>
      </c>
      <c r="AX23" s="57"/>
      <c r="AY23" s="233">
        <v>0.3</v>
      </c>
      <c r="AZ23" s="57">
        <f t="shared" si="14"/>
        <v>0</v>
      </c>
      <c r="BA23" s="206">
        <f t="shared" si="6"/>
        <v>0</v>
      </c>
      <c r="BB23" s="50">
        <f t="shared" si="7"/>
        <v>0</v>
      </c>
      <c r="BC23" s="234" t="s">
        <v>670</v>
      </c>
      <c r="BD23" s="380" t="s">
        <v>671</v>
      </c>
      <c r="BE23" s="150"/>
    </row>
    <row r="24" s="133" customFormat="1" ht="29" hidden="1" customHeight="1" spans="1:57">
      <c r="A24" s="150">
        <v>12</v>
      </c>
      <c r="B24" s="151" t="s">
        <v>672</v>
      </c>
      <c r="C24" s="15" t="s">
        <v>673</v>
      </c>
      <c r="D24" s="15" t="s">
        <v>595</v>
      </c>
      <c r="E24" s="152" t="s">
        <v>674</v>
      </c>
      <c r="F24" s="152">
        <v>40</v>
      </c>
      <c r="G24" s="152">
        <v>20</v>
      </c>
      <c r="H24" s="152">
        <v>20</v>
      </c>
      <c r="I24" s="152">
        <v>800</v>
      </c>
      <c r="J24" s="152">
        <f>299.75+41.6+62.38+47.68+32.93+35.2+27.94+11.43+54.49+29.2+4.75</f>
        <v>647.35</v>
      </c>
      <c r="K24" s="173" t="s">
        <v>675</v>
      </c>
      <c r="L24" s="50">
        <v>0</v>
      </c>
      <c r="M24" s="50">
        <v>0</v>
      </c>
      <c r="N24" s="50">
        <v>0</v>
      </c>
      <c r="O24" s="50"/>
      <c r="P24" s="50"/>
      <c r="Q24" s="50"/>
      <c r="R24" s="50"/>
      <c r="S24" s="50"/>
      <c r="T24" s="50"/>
      <c r="U24" s="50"/>
      <c r="V24" s="50"/>
      <c r="W24" s="50"/>
      <c r="X24" s="50">
        <f t="shared" si="8"/>
        <v>0</v>
      </c>
      <c r="Y24" s="49">
        <f t="shared" si="9"/>
        <v>0</v>
      </c>
      <c r="Z24" s="49">
        <f t="shared" si="10"/>
        <v>0</v>
      </c>
      <c r="AA24" s="194"/>
      <c r="AB24" s="196">
        <v>0.25</v>
      </c>
      <c r="AC24" s="57">
        <f t="shared" si="0"/>
        <v>0</v>
      </c>
      <c r="AD24" s="194"/>
      <c r="AE24" s="196"/>
      <c r="AF24" s="57">
        <f t="shared" si="1"/>
        <v>0</v>
      </c>
      <c r="AG24" s="194"/>
      <c r="AH24" s="206">
        <f>AG24*0.8</f>
        <v>0</v>
      </c>
      <c r="AI24" s="205"/>
      <c r="AJ24" s="50">
        <f t="shared" si="2"/>
        <v>0</v>
      </c>
      <c r="AK24" s="194"/>
      <c r="AL24" s="206">
        <f t="shared" si="23"/>
        <v>0</v>
      </c>
      <c r="AM24" s="205"/>
      <c r="AN24" s="50">
        <f t="shared" si="3"/>
        <v>0</v>
      </c>
      <c r="AO24" s="50"/>
      <c r="AP24" s="216"/>
      <c r="AQ24" s="50"/>
      <c r="AR24" s="10"/>
      <c r="AS24" s="218"/>
      <c r="AT24" s="10">
        <f t="shared" si="4"/>
        <v>0</v>
      </c>
      <c r="AU24" s="50"/>
      <c r="AV24" s="50"/>
      <c r="AW24" s="194">
        <f t="shared" si="5"/>
        <v>0</v>
      </c>
      <c r="AX24" s="57"/>
      <c r="AY24" s="233">
        <v>0.3</v>
      </c>
      <c r="AZ24" s="57">
        <f t="shared" si="14"/>
        <v>0</v>
      </c>
      <c r="BA24" s="206">
        <f t="shared" si="6"/>
        <v>0</v>
      </c>
      <c r="BB24" s="50">
        <f t="shared" si="7"/>
        <v>0</v>
      </c>
      <c r="BC24" s="234" t="s">
        <v>676</v>
      </c>
      <c r="BD24" s="381" t="s">
        <v>677</v>
      </c>
      <c r="BE24" s="150"/>
    </row>
    <row r="25" s="133" customFormat="1" ht="29" hidden="1" customHeight="1" spans="1:57">
      <c r="A25" s="150">
        <v>12</v>
      </c>
      <c r="B25" s="151" t="s">
        <v>678</v>
      </c>
      <c r="C25" s="15" t="s">
        <v>679</v>
      </c>
      <c r="D25" s="15" t="s">
        <v>595</v>
      </c>
      <c r="E25" s="152" t="s">
        <v>680</v>
      </c>
      <c r="F25" s="152">
        <v>10</v>
      </c>
      <c r="G25" s="152">
        <f>2.5+2.5</f>
        <v>5</v>
      </c>
      <c r="H25" s="152"/>
      <c r="I25" s="152">
        <v>200</v>
      </c>
      <c r="J25" s="152">
        <f>136.2</f>
        <v>136.2</v>
      </c>
      <c r="K25" s="173" t="s">
        <v>681</v>
      </c>
      <c r="L25" s="50">
        <v>0</v>
      </c>
      <c r="M25" s="50">
        <v>0</v>
      </c>
      <c r="N25" s="50">
        <v>0</v>
      </c>
      <c r="O25" s="50"/>
      <c r="P25" s="50"/>
      <c r="Q25" s="50"/>
      <c r="R25" s="50"/>
      <c r="S25" s="50"/>
      <c r="T25" s="50"/>
      <c r="U25" s="50"/>
      <c r="V25" s="50"/>
      <c r="W25" s="50"/>
      <c r="X25" s="50">
        <f t="shared" si="8"/>
        <v>0</v>
      </c>
      <c r="Y25" s="49">
        <f t="shared" si="9"/>
        <v>0</v>
      </c>
      <c r="Z25" s="49">
        <f t="shared" si="10"/>
        <v>0</v>
      </c>
      <c r="AA25" s="194"/>
      <c r="AB25" s="196">
        <v>0.2</v>
      </c>
      <c r="AC25" s="57">
        <f t="shared" si="0"/>
        <v>0</v>
      </c>
      <c r="AD25" s="194"/>
      <c r="AE25" s="196"/>
      <c r="AF25" s="57">
        <f t="shared" si="1"/>
        <v>0</v>
      </c>
      <c r="AG25" s="194"/>
      <c r="AH25" s="206">
        <f t="shared" si="22"/>
        <v>0</v>
      </c>
      <c r="AI25" s="205"/>
      <c r="AJ25" s="50">
        <f t="shared" si="2"/>
        <v>0</v>
      </c>
      <c r="AK25" s="194"/>
      <c r="AL25" s="206">
        <f t="shared" si="23"/>
        <v>0</v>
      </c>
      <c r="AM25" s="205"/>
      <c r="AN25" s="50">
        <f t="shared" si="3"/>
        <v>0</v>
      </c>
      <c r="AO25" s="50"/>
      <c r="AP25" s="216"/>
      <c r="AQ25" s="50"/>
      <c r="AR25" s="10"/>
      <c r="AS25" s="218"/>
      <c r="AT25" s="10">
        <f t="shared" si="4"/>
        <v>0</v>
      </c>
      <c r="AU25" s="50"/>
      <c r="AV25" s="50"/>
      <c r="AW25" s="194">
        <f t="shared" si="5"/>
        <v>0</v>
      </c>
      <c r="AX25" s="57"/>
      <c r="AY25" s="233">
        <v>0.3</v>
      </c>
      <c r="AZ25" s="57">
        <f t="shared" si="14"/>
        <v>0</v>
      </c>
      <c r="BA25" s="206">
        <f t="shared" si="6"/>
        <v>0</v>
      </c>
      <c r="BB25" s="50">
        <f t="shared" si="7"/>
        <v>0</v>
      </c>
      <c r="BC25" s="234" t="s">
        <v>681</v>
      </c>
      <c r="BD25" s="380" t="s">
        <v>682</v>
      </c>
      <c r="BE25" s="150"/>
    </row>
    <row r="26" s="133" customFormat="1" ht="29" customHeight="1" spans="1:57">
      <c r="A26" s="150">
        <v>11</v>
      </c>
      <c r="B26" s="153" t="s">
        <v>683</v>
      </c>
      <c r="C26" s="147" t="s">
        <v>684</v>
      </c>
      <c r="D26" s="147" t="s">
        <v>595</v>
      </c>
      <c r="E26" s="15">
        <v>2024.04</v>
      </c>
      <c r="F26" s="15"/>
      <c r="G26" s="15"/>
      <c r="H26" s="15"/>
      <c r="I26" s="15">
        <v>120</v>
      </c>
      <c r="J26" s="15">
        <f>0+1.16+0+8.17+2.91+3.11+1.41+1.58+0.88+1.13+0.73+3.15</f>
        <v>24.23</v>
      </c>
      <c r="K26" s="176" t="s">
        <v>685</v>
      </c>
      <c r="L26" s="50">
        <v>0</v>
      </c>
      <c r="M26" s="50">
        <v>0</v>
      </c>
      <c r="N26" s="50">
        <v>31472</v>
      </c>
      <c r="O26" s="50"/>
      <c r="P26" s="50"/>
      <c r="Q26" s="50"/>
      <c r="R26" s="50"/>
      <c r="S26" s="50"/>
      <c r="T26" s="50"/>
      <c r="U26" s="50"/>
      <c r="V26" s="50"/>
      <c r="W26" s="50"/>
      <c r="X26" s="50">
        <f t="shared" si="8"/>
        <v>31572</v>
      </c>
      <c r="Y26" s="49">
        <f t="shared" si="9"/>
        <v>31572</v>
      </c>
      <c r="Z26" s="49">
        <f t="shared" si="10"/>
        <v>31572</v>
      </c>
      <c r="AA26" s="194">
        <v>31572</v>
      </c>
      <c r="AB26" s="196">
        <v>0.3</v>
      </c>
      <c r="AC26" s="57">
        <f t="shared" si="0"/>
        <v>9472</v>
      </c>
      <c r="AD26" s="194"/>
      <c r="AE26" s="196"/>
      <c r="AF26" s="57">
        <f t="shared" si="1"/>
        <v>0</v>
      </c>
      <c r="AG26" s="194"/>
      <c r="AH26" s="206">
        <f t="shared" si="22"/>
        <v>0</v>
      </c>
      <c r="AI26" s="205"/>
      <c r="AJ26" s="50">
        <f t="shared" si="2"/>
        <v>0</v>
      </c>
      <c r="AK26" s="194"/>
      <c r="AL26" s="206">
        <f t="shared" si="23"/>
        <v>0</v>
      </c>
      <c r="AM26" s="205"/>
      <c r="AN26" s="50">
        <f t="shared" si="3"/>
        <v>0</v>
      </c>
      <c r="AO26" s="62">
        <v>19239</v>
      </c>
      <c r="AP26" s="216">
        <v>0.05</v>
      </c>
      <c r="AQ26" s="50">
        <f t="shared" ref="AQ26:AQ31" si="24">AO26*AP26</f>
        <v>961.95</v>
      </c>
      <c r="AR26" s="62"/>
      <c r="AS26" s="218">
        <v>0.05</v>
      </c>
      <c r="AT26" s="10">
        <f t="shared" si="4"/>
        <v>0</v>
      </c>
      <c r="AU26" s="50"/>
      <c r="AV26" s="50"/>
      <c r="AW26" s="194">
        <f t="shared" si="5"/>
        <v>10434</v>
      </c>
      <c r="AX26" s="57"/>
      <c r="AY26" s="233">
        <v>0.3</v>
      </c>
      <c r="AZ26" s="57">
        <f t="shared" si="14"/>
        <v>0</v>
      </c>
      <c r="BA26" s="206">
        <f t="shared" si="6"/>
        <v>0</v>
      </c>
      <c r="BB26" s="50">
        <f t="shared" si="7"/>
        <v>10434</v>
      </c>
      <c r="BC26" s="238" t="s">
        <v>686</v>
      </c>
      <c r="BD26" s="380" t="s">
        <v>687</v>
      </c>
      <c r="BE26" s="150"/>
    </row>
    <row r="27" s="133" customFormat="1" ht="29" customHeight="1" spans="1:57">
      <c r="A27" s="150">
        <v>12</v>
      </c>
      <c r="B27" s="153" t="s">
        <v>688</v>
      </c>
      <c r="C27" s="147" t="s">
        <v>689</v>
      </c>
      <c r="D27" s="147" t="s">
        <v>595</v>
      </c>
      <c r="E27" s="15"/>
      <c r="F27" s="15"/>
      <c r="G27" s="15"/>
      <c r="H27" s="15"/>
      <c r="I27" s="15"/>
      <c r="J27" s="177">
        <f>15.76+25.25+24.26+22.27+24.3+14.41+4.26+23.28+19.5+6.74+18.04+10.08+12.19+7.19+6.7+10.47</f>
        <v>244.7</v>
      </c>
      <c r="K27" s="176" t="s">
        <v>690</v>
      </c>
      <c r="L27" s="50">
        <v>121946</v>
      </c>
      <c r="M27" s="50">
        <v>71903</v>
      </c>
      <c r="N27" s="50">
        <v>67020</v>
      </c>
      <c r="O27" s="50"/>
      <c r="P27" s="50"/>
      <c r="Q27" s="50"/>
      <c r="R27" s="50"/>
      <c r="S27" s="50"/>
      <c r="T27" s="50"/>
      <c r="U27" s="50"/>
      <c r="V27" s="50"/>
      <c r="W27" s="50"/>
      <c r="X27" s="50">
        <f t="shared" si="8"/>
        <v>104741</v>
      </c>
      <c r="Y27" s="49">
        <f t="shared" si="9"/>
        <v>104741</v>
      </c>
      <c r="Z27" s="49">
        <f t="shared" si="10"/>
        <v>104741</v>
      </c>
      <c r="AA27" s="197">
        <v>104741</v>
      </c>
      <c r="AB27" s="198">
        <v>0.3</v>
      </c>
      <c r="AC27" s="57">
        <f t="shared" si="0"/>
        <v>31422</v>
      </c>
      <c r="AD27" s="197"/>
      <c r="AE27" s="196">
        <v>0</v>
      </c>
      <c r="AF27" s="57">
        <f t="shared" si="1"/>
        <v>0</v>
      </c>
      <c r="AG27" s="194"/>
      <c r="AH27" s="206">
        <f>AG27*1</f>
        <v>0</v>
      </c>
      <c r="AI27" s="205"/>
      <c r="AJ27" s="50">
        <f t="shared" si="2"/>
        <v>0</v>
      </c>
      <c r="AK27" s="194"/>
      <c r="AL27" s="206">
        <f t="shared" si="23"/>
        <v>0</v>
      </c>
      <c r="AM27" s="205"/>
      <c r="AN27" s="50">
        <f t="shared" si="3"/>
        <v>0</v>
      </c>
      <c r="AO27" s="62">
        <v>38694</v>
      </c>
      <c r="AP27" s="216">
        <v>0.05</v>
      </c>
      <c r="AQ27" s="50">
        <f t="shared" si="24"/>
        <v>1934.7</v>
      </c>
      <c r="AR27" s="10"/>
      <c r="AS27" s="218"/>
      <c r="AT27" s="10">
        <f t="shared" si="4"/>
        <v>0</v>
      </c>
      <c r="AU27" s="50">
        <f>(Z27*0.04-1299)*0.2</f>
        <v>578.128</v>
      </c>
      <c r="AV27" s="56"/>
      <c r="AW27" s="194">
        <f t="shared" si="5"/>
        <v>32779</v>
      </c>
      <c r="AX27" s="57"/>
      <c r="AY27" s="233">
        <v>0.3</v>
      </c>
      <c r="AZ27" s="57">
        <f t="shared" si="14"/>
        <v>0</v>
      </c>
      <c r="BA27" s="206">
        <f t="shared" si="6"/>
        <v>0</v>
      </c>
      <c r="BB27" s="50">
        <f t="shared" si="7"/>
        <v>32779</v>
      </c>
      <c r="BC27" s="238" t="s">
        <v>691</v>
      </c>
      <c r="BD27" s="381" t="s">
        <v>692</v>
      </c>
      <c r="BE27" s="150"/>
    </row>
    <row r="28" s="133" customFormat="1" ht="29" hidden="1" customHeight="1" spans="1:57">
      <c r="A28" s="150">
        <v>16</v>
      </c>
      <c r="B28" s="156" t="s">
        <v>404</v>
      </c>
      <c r="C28" s="147" t="s">
        <v>693</v>
      </c>
      <c r="D28" s="15">
        <v>2021.3</v>
      </c>
      <c r="E28" s="15" t="s">
        <v>694</v>
      </c>
      <c r="F28" s="15">
        <v>25</v>
      </c>
      <c r="G28" s="15">
        <v>12.5</v>
      </c>
      <c r="H28" s="15">
        <v>12.5</v>
      </c>
      <c r="I28" s="15">
        <v>500</v>
      </c>
      <c r="J28" s="177">
        <v>500</v>
      </c>
      <c r="K28" s="173" t="s">
        <v>695</v>
      </c>
      <c r="L28" s="50">
        <v>0</v>
      </c>
      <c r="M28" s="50">
        <v>0</v>
      </c>
      <c r="N28" s="50">
        <v>0</v>
      </c>
      <c r="O28" s="50"/>
      <c r="P28" s="50"/>
      <c r="Q28" s="50"/>
      <c r="R28" s="50"/>
      <c r="S28" s="50"/>
      <c r="T28" s="50"/>
      <c r="U28" s="50"/>
      <c r="V28" s="50"/>
      <c r="W28" s="50"/>
      <c r="X28" s="50">
        <f t="shared" si="8"/>
        <v>0</v>
      </c>
      <c r="Y28" s="49">
        <f t="shared" si="9"/>
        <v>0</v>
      </c>
      <c r="Z28" s="49">
        <f t="shared" si="10"/>
        <v>0</v>
      </c>
      <c r="AA28" s="194"/>
      <c r="AB28" s="196">
        <v>0.25</v>
      </c>
      <c r="AC28" s="57">
        <f t="shared" si="0"/>
        <v>0</v>
      </c>
      <c r="AD28" s="194"/>
      <c r="AE28" s="196"/>
      <c r="AF28" s="57">
        <f t="shared" si="1"/>
        <v>0</v>
      </c>
      <c r="AG28" s="194"/>
      <c r="AH28" s="206">
        <f>AG28*0.8</f>
        <v>0</v>
      </c>
      <c r="AI28" s="205">
        <v>0</v>
      </c>
      <c r="AJ28" s="50">
        <f t="shared" si="2"/>
        <v>0</v>
      </c>
      <c r="AK28" s="194"/>
      <c r="AL28" s="206">
        <f t="shared" si="23"/>
        <v>0</v>
      </c>
      <c r="AM28" s="205">
        <v>0</v>
      </c>
      <c r="AN28" s="50">
        <f t="shared" si="3"/>
        <v>0</v>
      </c>
      <c r="AO28" s="62"/>
      <c r="AP28" s="216"/>
      <c r="AQ28" s="50">
        <f t="shared" si="24"/>
        <v>0</v>
      </c>
      <c r="AR28" s="10"/>
      <c r="AS28" s="218"/>
      <c r="AT28" s="10">
        <f t="shared" si="4"/>
        <v>0</v>
      </c>
      <c r="AU28" s="50"/>
      <c r="AV28" s="50"/>
      <c r="AW28" s="194">
        <f t="shared" si="5"/>
        <v>0</v>
      </c>
      <c r="AX28" s="57"/>
      <c r="AY28" s="233"/>
      <c r="AZ28" s="57"/>
      <c r="BA28" s="206">
        <f t="shared" si="6"/>
        <v>0</v>
      </c>
      <c r="BB28" s="50">
        <f t="shared" si="7"/>
        <v>0</v>
      </c>
      <c r="BC28" s="234" t="s">
        <v>696</v>
      </c>
      <c r="BD28" s="239" t="s">
        <v>406</v>
      </c>
      <c r="BE28" s="150"/>
    </row>
    <row r="29" s="133" customFormat="1" ht="29" customHeight="1" spans="1:57">
      <c r="A29" s="150">
        <v>13</v>
      </c>
      <c r="B29" s="156" t="s">
        <v>404</v>
      </c>
      <c r="C29" s="147" t="s">
        <v>693</v>
      </c>
      <c r="D29" s="15">
        <v>2021.3</v>
      </c>
      <c r="E29" s="15" t="s">
        <v>694</v>
      </c>
      <c r="F29" s="15">
        <v>30</v>
      </c>
      <c r="G29" s="15">
        <v>15</v>
      </c>
      <c r="H29" s="15">
        <v>15</v>
      </c>
      <c r="I29" s="15">
        <v>600</v>
      </c>
      <c r="J29" s="177">
        <f>44.98+35.28+47.29+30.77+40.73+65.24+27.71+8.93+34.18+28.67</f>
        <v>363.78</v>
      </c>
      <c r="K29" s="173" t="s">
        <v>697</v>
      </c>
      <c r="L29" s="50">
        <v>277076.77</v>
      </c>
      <c r="M29" s="50">
        <v>89325.69</v>
      </c>
      <c r="N29" s="50">
        <v>341789.51</v>
      </c>
      <c r="O29" s="50"/>
      <c r="P29" s="50"/>
      <c r="Q29" s="50"/>
      <c r="R29" s="50"/>
      <c r="S29" s="50"/>
      <c r="T29" s="50"/>
      <c r="U29" s="50"/>
      <c r="V29" s="50"/>
      <c r="W29" s="50"/>
      <c r="X29" s="50">
        <f t="shared" si="8"/>
        <v>286683</v>
      </c>
      <c r="Y29" s="49">
        <f t="shared" si="9"/>
        <v>286683</v>
      </c>
      <c r="Z29" s="49">
        <f t="shared" si="10"/>
        <v>286683</v>
      </c>
      <c r="AA29" s="194">
        <v>286683</v>
      </c>
      <c r="AB29" s="196">
        <v>0.25</v>
      </c>
      <c r="AC29" s="57">
        <f t="shared" si="0"/>
        <v>71671</v>
      </c>
      <c r="AD29" s="197"/>
      <c r="AE29" s="196">
        <v>0</v>
      </c>
      <c r="AF29" s="57">
        <f t="shared" si="1"/>
        <v>0</v>
      </c>
      <c r="AG29" s="194"/>
      <c r="AH29" s="206">
        <f t="shared" ref="AH29:AH32" si="25">AG29*0.83</f>
        <v>0</v>
      </c>
      <c r="AI29" s="205">
        <v>0.13</v>
      </c>
      <c r="AJ29" s="50">
        <f>5358*0.83*0.13</f>
        <v>578.1282</v>
      </c>
      <c r="AK29" s="194"/>
      <c r="AL29" s="206">
        <f t="shared" si="23"/>
        <v>0</v>
      </c>
      <c r="AM29" s="205"/>
      <c r="AN29" s="50">
        <f t="shared" si="3"/>
        <v>0</v>
      </c>
      <c r="AO29" s="62">
        <f>93105+12480</f>
        <v>105585</v>
      </c>
      <c r="AP29" s="216">
        <v>0.05</v>
      </c>
      <c r="AQ29" s="50">
        <f t="shared" si="24"/>
        <v>5279.25</v>
      </c>
      <c r="AR29" s="62"/>
      <c r="AS29" s="218">
        <v>0.04</v>
      </c>
      <c r="AT29" s="10">
        <f t="shared" si="4"/>
        <v>0</v>
      </c>
      <c r="AU29" s="50">
        <f>(Z29*0.04-6465)*0.2</f>
        <v>1000.464</v>
      </c>
      <c r="AV29" s="50"/>
      <c r="AW29" s="194">
        <f t="shared" si="5"/>
        <v>76528</v>
      </c>
      <c r="AX29" s="57"/>
      <c r="AY29" s="233"/>
      <c r="AZ29" s="57"/>
      <c r="BA29" s="206">
        <f t="shared" si="6"/>
        <v>0</v>
      </c>
      <c r="BB29" s="50">
        <f t="shared" si="7"/>
        <v>76528</v>
      </c>
      <c r="BC29" s="234" t="s">
        <v>696</v>
      </c>
      <c r="BD29" s="239" t="s">
        <v>406</v>
      </c>
      <c r="BE29" s="150"/>
    </row>
    <row r="30" s="133" customFormat="1" ht="29" customHeight="1" spans="1:57">
      <c r="A30" s="150">
        <v>14</v>
      </c>
      <c r="B30" s="156" t="s">
        <v>358</v>
      </c>
      <c r="C30" s="15" t="s">
        <v>698</v>
      </c>
      <c r="D30" s="148"/>
      <c r="E30" s="157" t="s">
        <v>699</v>
      </c>
      <c r="F30" s="157">
        <v>12</v>
      </c>
      <c r="G30" s="157">
        <v>6</v>
      </c>
      <c r="H30" s="157">
        <v>6</v>
      </c>
      <c r="I30" s="158">
        <v>240</v>
      </c>
      <c r="J30" s="178">
        <f>33.94+32.36</f>
        <v>66.3</v>
      </c>
      <c r="K30" s="173" t="s">
        <v>700</v>
      </c>
      <c r="L30" s="50">
        <v>269753</v>
      </c>
      <c r="M30" s="50">
        <v>180974.9</v>
      </c>
      <c r="N30" s="50">
        <v>339420.82</v>
      </c>
      <c r="O30" s="50"/>
      <c r="P30" s="50"/>
      <c r="Q30" s="50"/>
      <c r="R30" s="50"/>
      <c r="S30" s="50"/>
      <c r="T30" s="50"/>
      <c r="U30" s="50"/>
      <c r="V30" s="50"/>
      <c r="W30" s="50"/>
      <c r="X30" s="50">
        <f t="shared" si="8"/>
        <v>323592</v>
      </c>
      <c r="Y30" s="49">
        <f t="shared" si="9"/>
        <v>323592</v>
      </c>
      <c r="Z30" s="49">
        <f t="shared" si="10"/>
        <v>323592</v>
      </c>
      <c r="AA30" s="194">
        <v>323592</v>
      </c>
      <c r="AB30" s="196">
        <v>0.25</v>
      </c>
      <c r="AC30" s="57">
        <f t="shared" si="0"/>
        <v>80898</v>
      </c>
      <c r="AD30" s="194"/>
      <c r="AE30" s="196">
        <v>0</v>
      </c>
      <c r="AF30" s="57">
        <f t="shared" si="1"/>
        <v>0</v>
      </c>
      <c r="AG30" s="194"/>
      <c r="AH30" s="206">
        <f t="shared" si="25"/>
        <v>0</v>
      </c>
      <c r="AI30" s="205">
        <v>0.05</v>
      </c>
      <c r="AJ30" s="50">
        <f t="shared" ref="AJ30:AJ54" si="26">AH30*AI30</f>
        <v>0</v>
      </c>
      <c r="AK30" s="194"/>
      <c r="AL30" s="206">
        <f>AK30*1</f>
        <v>0</v>
      </c>
      <c r="AM30" s="205">
        <v>0.2</v>
      </c>
      <c r="AN30" s="50">
        <f t="shared" si="3"/>
        <v>0</v>
      </c>
      <c r="AO30" s="62">
        <f>114342+4160</f>
        <v>118502</v>
      </c>
      <c r="AP30" s="216">
        <v>0.05</v>
      </c>
      <c r="AQ30" s="50">
        <f t="shared" si="24"/>
        <v>5925.1</v>
      </c>
      <c r="AR30" s="62">
        <v>99270</v>
      </c>
      <c r="AS30" s="218">
        <v>0.05</v>
      </c>
      <c r="AT30" s="10">
        <f t="shared" si="4"/>
        <v>4963.5</v>
      </c>
      <c r="AU30" s="50">
        <f>(Z30*0.04-5354)*0.2</f>
        <v>1517.936</v>
      </c>
      <c r="AV30" s="50"/>
      <c r="AW30" s="194">
        <f t="shared" si="5"/>
        <v>90269</v>
      </c>
      <c r="AX30" s="57"/>
      <c r="AY30" s="233"/>
      <c r="AZ30" s="57"/>
      <c r="BA30" s="206">
        <f t="shared" si="6"/>
        <v>0</v>
      </c>
      <c r="BB30" s="50">
        <f t="shared" si="7"/>
        <v>90269</v>
      </c>
      <c r="BC30" s="234" t="s">
        <v>696</v>
      </c>
      <c r="BD30" s="240" t="s">
        <v>359</v>
      </c>
      <c r="BE30" s="150"/>
    </row>
    <row r="31" s="133" customFormat="1" ht="29" hidden="1" customHeight="1" spans="1:57">
      <c r="A31" s="150">
        <v>16</v>
      </c>
      <c r="B31" s="156" t="s">
        <v>358</v>
      </c>
      <c r="C31" s="15" t="s">
        <v>698</v>
      </c>
      <c r="D31" s="148"/>
      <c r="E31" s="158" t="s">
        <v>613</v>
      </c>
      <c r="F31" s="158">
        <v>18</v>
      </c>
      <c r="G31" s="158">
        <v>9</v>
      </c>
      <c r="H31" s="158">
        <f>90000-1570</f>
        <v>88430</v>
      </c>
      <c r="I31" s="158">
        <v>360</v>
      </c>
      <c r="J31" s="178">
        <v>360</v>
      </c>
      <c r="K31" s="179" t="s">
        <v>701</v>
      </c>
      <c r="L31" s="50">
        <v>269753</v>
      </c>
      <c r="M31" s="50">
        <v>180974.9</v>
      </c>
      <c r="N31" s="50">
        <v>0</v>
      </c>
      <c r="O31" s="50"/>
      <c r="P31" s="50"/>
      <c r="Q31" s="50"/>
      <c r="R31" s="50"/>
      <c r="S31" s="50"/>
      <c r="T31" s="50"/>
      <c r="U31" s="50"/>
      <c r="V31" s="50"/>
      <c r="W31" s="50"/>
      <c r="X31" s="50">
        <f t="shared" si="8"/>
        <v>0</v>
      </c>
      <c r="Y31" s="49">
        <f t="shared" si="9"/>
        <v>0</v>
      </c>
      <c r="Z31" s="49">
        <f t="shared" si="10"/>
        <v>0</v>
      </c>
      <c r="AA31" s="194"/>
      <c r="AB31" s="196">
        <v>0.25</v>
      </c>
      <c r="AC31" s="57">
        <f t="shared" si="0"/>
        <v>0</v>
      </c>
      <c r="AD31" s="194"/>
      <c r="AE31" s="196">
        <v>0</v>
      </c>
      <c r="AF31" s="57">
        <f t="shared" si="1"/>
        <v>0</v>
      </c>
      <c r="AG31" s="194"/>
      <c r="AH31" s="206">
        <f t="shared" si="25"/>
        <v>0</v>
      </c>
      <c r="AI31" s="205">
        <v>0.05</v>
      </c>
      <c r="AJ31" s="50">
        <f t="shared" si="26"/>
        <v>0</v>
      </c>
      <c r="AK31" s="194"/>
      <c r="AL31" s="206">
        <f>AK31*1</f>
        <v>0</v>
      </c>
      <c r="AM31" s="205">
        <v>0.2</v>
      </c>
      <c r="AN31" s="50">
        <f t="shared" si="3"/>
        <v>0</v>
      </c>
      <c r="AO31" s="62"/>
      <c r="AP31" s="216">
        <v>0.05</v>
      </c>
      <c r="AQ31" s="50">
        <f t="shared" si="24"/>
        <v>0</v>
      </c>
      <c r="AR31" s="10"/>
      <c r="AS31" s="218"/>
      <c r="AT31" s="10">
        <f t="shared" si="4"/>
        <v>0</v>
      </c>
      <c r="AU31" s="50"/>
      <c r="AV31" s="50"/>
      <c r="AW31" s="194">
        <f t="shared" si="5"/>
        <v>0</v>
      </c>
      <c r="AX31" s="57"/>
      <c r="AY31" s="233"/>
      <c r="AZ31" s="57"/>
      <c r="BA31" s="206">
        <f t="shared" si="6"/>
        <v>0</v>
      </c>
      <c r="BB31" s="50">
        <f t="shared" si="7"/>
        <v>0</v>
      </c>
      <c r="BC31" s="234" t="s">
        <v>696</v>
      </c>
      <c r="BD31" s="240" t="s">
        <v>359</v>
      </c>
      <c r="BE31" s="150"/>
    </row>
    <row r="32" s="133" customFormat="1" ht="29" hidden="1" customHeight="1" spans="1:57">
      <c r="A32" s="150">
        <v>18</v>
      </c>
      <c r="B32" s="159"/>
      <c r="C32" s="15" t="s">
        <v>702</v>
      </c>
      <c r="D32" s="15" t="s">
        <v>595</v>
      </c>
      <c r="E32" s="148"/>
      <c r="F32" s="148"/>
      <c r="G32" s="148"/>
      <c r="H32" s="148"/>
      <c r="I32" s="148"/>
      <c r="J32" s="180"/>
      <c r="K32" s="179" t="s">
        <v>703</v>
      </c>
      <c r="L32" s="50">
        <v>0</v>
      </c>
      <c r="M32" s="50">
        <v>0</v>
      </c>
      <c r="N32" s="50">
        <v>0</v>
      </c>
      <c r="O32" s="50"/>
      <c r="P32" s="50"/>
      <c r="Q32" s="50"/>
      <c r="R32" s="50"/>
      <c r="S32" s="50"/>
      <c r="T32" s="50"/>
      <c r="U32" s="50"/>
      <c r="V32" s="50"/>
      <c r="W32" s="50"/>
      <c r="X32" s="50">
        <f t="shared" si="8"/>
        <v>0</v>
      </c>
      <c r="Y32" s="49">
        <f t="shared" si="9"/>
        <v>0</v>
      </c>
      <c r="Z32" s="49">
        <f t="shared" si="10"/>
        <v>0</v>
      </c>
      <c r="AA32" s="194"/>
      <c r="AB32" s="196">
        <v>0.25</v>
      </c>
      <c r="AC32" s="57">
        <f t="shared" si="0"/>
        <v>0</v>
      </c>
      <c r="AD32" s="194"/>
      <c r="AE32" s="196"/>
      <c r="AF32" s="57">
        <f t="shared" si="1"/>
        <v>0</v>
      </c>
      <c r="AG32" s="194"/>
      <c r="AH32" s="206">
        <f t="shared" si="25"/>
        <v>0</v>
      </c>
      <c r="AI32" s="205"/>
      <c r="AJ32" s="50">
        <f t="shared" si="26"/>
        <v>0</v>
      </c>
      <c r="AK32" s="194"/>
      <c r="AL32" s="206">
        <f t="shared" ref="AL32:AL42" si="27">AK32*0.83</f>
        <v>0</v>
      </c>
      <c r="AM32" s="205"/>
      <c r="AN32" s="50">
        <f t="shared" si="3"/>
        <v>0</v>
      </c>
      <c r="AO32" s="50"/>
      <c r="AP32" s="216"/>
      <c r="AQ32" s="50"/>
      <c r="AR32" s="10"/>
      <c r="AS32" s="218"/>
      <c r="AT32" s="10">
        <f t="shared" si="4"/>
        <v>0</v>
      </c>
      <c r="AU32" s="50"/>
      <c r="AV32" s="50"/>
      <c r="AW32" s="194">
        <f t="shared" si="5"/>
        <v>0</v>
      </c>
      <c r="AX32" s="57"/>
      <c r="AY32" s="233">
        <v>0.3</v>
      </c>
      <c r="AZ32" s="57">
        <f>ROUND(AY32*AX32,)</f>
        <v>0</v>
      </c>
      <c r="BA32" s="206">
        <f t="shared" si="6"/>
        <v>0</v>
      </c>
      <c r="BB32" s="50">
        <f t="shared" si="7"/>
        <v>0</v>
      </c>
      <c r="BC32" s="234" t="s">
        <v>704</v>
      </c>
      <c r="BD32" s="241" t="s">
        <v>359</v>
      </c>
      <c r="BE32" s="15"/>
    </row>
    <row r="33" s="133" customFormat="1" ht="29" customHeight="1" spans="1:57">
      <c r="A33" s="150">
        <v>15</v>
      </c>
      <c r="B33" s="160" t="s">
        <v>705</v>
      </c>
      <c r="C33" s="15" t="s">
        <v>706</v>
      </c>
      <c r="D33" s="148"/>
      <c r="E33" s="152" t="s">
        <v>707</v>
      </c>
      <c r="F33" s="152">
        <v>20</v>
      </c>
      <c r="G33" s="152">
        <v>10</v>
      </c>
      <c r="H33" s="152">
        <v>10</v>
      </c>
      <c r="I33" s="152">
        <v>400</v>
      </c>
      <c r="J33" s="152">
        <f>48.51+5.33+7.78+11.59+8.86+8.46+14.68+10.66+7.8+13.93+35.75+21.44+14.13+9.79+4.34+16.3</f>
        <v>239.35</v>
      </c>
      <c r="K33" s="181" t="s">
        <v>708</v>
      </c>
      <c r="L33" s="50">
        <v>97918</v>
      </c>
      <c r="M33" s="50">
        <v>43448</v>
      </c>
      <c r="N33" s="50">
        <v>163034</v>
      </c>
      <c r="O33" s="50"/>
      <c r="P33" s="50"/>
      <c r="Q33" s="50"/>
      <c r="R33" s="50"/>
      <c r="S33" s="50"/>
      <c r="T33" s="50"/>
      <c r="U33" s="50"/>
      <c r="V33" s="50"/>
      <c r="W33" s="50"/>
      <c r="X33" s="50">
        <f t="shared" si="8"/>
        <v>0</v>
      </c>
      <c r="Y33" s="49">
        <f t="shared" si="9"/>
        <v>0</v>
      </c>
      <c r="Z33" s="49">
        <f t="shared" si="10"/>
        <v>0</v>
      </c>
      <c r="AA33" s="194"/>
      <c r="AB33" s="196">
        <v>0.25</v>
      </c>
      <c r="AC33" s="57">
        <f t="shared" si="0"/>
        <v>0</v>
      </c>
      <c r="AD33" s="194"/>
      <c r="AE33" s="196"/>
      <c r="AF33" s="57">
        <f t="shared" si="1"/>
        <v>0</v>
      </c>
      <c r="AG33" s="194"/>
      <c r="AH33" s="206">
        <f t="shared" ref="AH33:AH36" si="28">AG33*1</f>
        <v>0</v>
      </c>
      <c r="AI33" s="205"/>
      <c r="AJ33" s="50">
        <f t="shared" si="26"/>
        <v>0</v>
      </c>
      <c r="AK33" s="194"/>
      <c r="AL33" s="206">
        <f t="shared" si="27"/>
        <v>0</v>
      </c>
      <c r="AM33" s="205"/>
      <c r="AN33" s="50">
        <f t="shared" si="3"/>
        <v>0</v>
      </c>
      <c r="AO33" s="62"/>
      <c r="AP33" s="216">
        <v>0.05</v>
      </c>
      <c r="AQ33" s="50">
        <f t="shared" ref="AQ33:AQ45" si="29">AO33*AP33</f>
        <v>0</v>
      </c>
      <c r="AR33" s="10"/>
      <c r="AS33" s="218"/>
      <c r="AT33" s="10">
        <f t="shared" si="4"/>
        <v>0</v>
      </c>
      <c r="AU33" s="50"/>
      <c r="AV33" s="50"/>
      <c r="AW33" s="194">
        <f t="shared" si="5"/>
        <v>0</v>
      </c>
      <c r="AX33" s="57"/>
      <c r="AY33" s="233"/>
      <c r="AZ33" s="57"/>
      <c r="BA33" s="206">
        <f t="shared" si="6"/>
        <v>0</v>
      </c>
      <c r="BB33" s="50">
        <f t="shared" si="7"/>
        <v>0</v>
      </c>
      <c r="BC33" s="234" t="s">
        <v>696</v>
      </c>
      <c r="BD33" s="240" t="s">
        <v>709</v>
      </c>
      <c r="BE33" s="150"/>
    </row>
    <row r="34" s="133" customFormat="1" ht="29" customHeight="1" spans="1:57">
      <c r="A34" s="150">
        <v>16</v>
      </c>
      <c r="B34" s="160" t="s">
        <v>710</v>
      </c>
      <c r="C34" s="15" t="s">
        <v>711</v>
      </c>
      <c r="D34" s="15">
        <v>2021.6</v>
      </c>
      <c r="E34" s="152" t="s">
        <v>712</v>
      </c>
      <c r="F34" s="152">
        <v>30</v>
      </c>
      <c r="G34" s="152">
        <v>15</v>
      </c>
      <c r="H34" s="152"/>
      <c r="I34" s="155">
        <v>600</v>
      </c>
      <c r="J34" s="155">
        <f>110.54+28.59+51.24+41.79</f>
        <v>232.16</v>
      </c>
      <c r="K34" s="182" t="s">
        <v>713</v>
      </c>
      <c r="L34" s="56">
        <v>636644</v>
      </c>
      <c r="M34" s="50">
        <v>285912</v>
      </c>
      <c r="N34" s="50">
        <v>512430</v>
      </c>
      <c r="O34" s="50"/>
      <c r="P34" s="50"/>
      <c r="Q34" s="50"/>
      <c r="R34" s="50"/>
      <c r="S34" s="50"/>
      <c r="T34" s="50"/>
      <c r="U34" s="50"/>
      <c r="V34" s="50"/>
      <c r="W34" s="50"/>
      <c r="X34" s="50">
        <f t="shared" si="8"/>
        <v>417855</v>
      </c>
      <c r="Y34" s="49">
        <f t="shared" si="9"/>
        <v>417855</v>
      </c>
      <c r="Z34" s="49">
        <f t="shared" si="10"/>
        <v>417855</v>
      </c>
      <c r="AA34" s="194">
        <f>414153-78300</f>
        <v>335853</v>
      </c>
      <c r="AB34" s="196">
        <v>0.25</v>
      </c>
      <c r="AC34" s="57">
        <f t="shared" si="0"/>
        <v>83963</v>
      </c>
      <c r="AD34" s="194">
        <v>3702</v>
      </c>
      <c r="AE34" s="196">
        <v>0</v>
      </c>
      <c r="AF34" s="57">
        <f t="shared" si="1"/>
        <v>0</v>
      </c>
      <c r="AG34" s="13">
        <v>78300</v>
      </c>
      <c r="AH34" s="206">
        <f t="shared" si="28"/>
        <v>78300</v>
      </c>
      <c r="AI34" s="205">
        <v>0.2</v>
      </c>
      <c r="AJ34" s="50">
        <f t="shared" si="26"/>
        <v>15660</v>
      </c>
      <c r="AK34" s="194"/>
      <c r="AL34" s="206">
        <f t="shared" si="27"/>
        <v>0</v>
      </c>
      <c r="AM34" s="205"/>
      <c r="AN34" s="50">
        <f t="shared" si="3"/>
        <v>0</v>
      </c>
      <c r="AO34" s="62">
        <v>115584</v>
      </c>
      <c r="AP34" s="216">
        <v>0.05</v>
      </c>
      <c r="AQ34" s="50">
        <f t="shared" si="29"/>
        <v>5779.2</v>
      </c>
      <c r="AR34" s="62"/>
      <c r="AS34" s="218">
        <v>0.03</v>
      </c>
      <c r="AT34" s="10">
        <f t="shared" si="4"/>
        <v>0</v>
      </c>
      <c r="AU34" s="50">
        <f>(Z34*0.04-14169)*0.2</f>
        <v>509.04</v>
      </c>
      <c r="AV34" s="50"/>
      <c r="AW34" s="194">
        <f t="shared" si="5"/>
        <v>104893</v>
      </c>
      <c r="AX34" s="57"/>
      <c r="AY34" s="233"/>
      <c r="AZ34" s="57"/>
      <c r="BA34" s="206">
        <f t="shared" si="6"/>
        <v>0</v>
      </c>
      <c r="BB34" s="50">
        <f t="shared" si="7"/>
        <v>104893</v>
      </c>
      <c r="BC34" s="234" t="s">
        <v>696</v>
      </c>
      <c r="BD34" s="241" t="s">
        <v>714</v>
      </c>
      <c r="BE34" s="150"/>
    </row>
    <row r="35" s="133" customFormat="1" ht="29" customHeight="1" spans="1:57">
      <c r="A35" s="150">
        <v>17</v>
      </c>
      <c r="B35" s="161" t="s">
        <v>593</v>
      </c>
      <c r="C35" s="15" t="s">
        <v>711</v>
      </c>
      <c r="D35" s="15"/>
      <c r="E35" s="162"/>
      <c r="F35" s="152"/>
      <c r="G35" s="152"/>
      <c r="H35" s="152"/>
      <c r="I35" s="165"/>
      <c r="J35" s="165"/>
      <c r="K35" s="183"/>
      <c r="L35" s="57"/>
      <c r="M35" s="50"/>
      <c r="N35" s="50">
        <v>0</v>
      </c>
      <c r="O35" s="50"/>
      <c r="P35" s="50"/>
      <c r="Q35" s="50"/>
      <c r="R35" s="50"/>
      <c r="S35" s="50"/>
      <c r="T35" s="50"/>
      <c r="U35" s="50"/>
      <c r="V35" s="50"/>
      <c r="W35" s="50"/>
      <c r="X35" s="50">
        <v>0</v>
      </c>
      <c r="Y35" s="49">
        <v>0</v>
      </c>
      <c r="Z35" s="49">
        <f t="shared" si="10"/>
        <v>414153</v>
      </c>
      <c r="AA35" s="194">
        <v>414153</v>
      </c>
      <c r="AB35" s="198">
        <v>0.02</v>
      </c>
      <c r="AC35" s="57">
        <f t="shared" si="0"/>
        <v>8283</v>
      </c>
      <c r="AD35" s="194"/>
      <c r="AE35" s="196"/>
      <c r="AF35" s="57">
        <f t="shared" si="1"/>
        <v>0</v>
      </c>
      <c r="AG35" s="194"/>
      <c r="AH35" s="206">
        <f t="shared" si="28"/>
        <v>0</v>
      </c>
      <c r="AI35" s="205"/>
      <c r="AJ35" s="50">
        <f t="shared" si="26"/>
        <v>0</v>
      </c>
      <c r="AK35" s="194"/>
      <c r="AL35" s="206">
        <f t="shared" si="27"/>
        <v>0</v>
      </c>
      <c r="AM35" s="205"/>
      <c r="AN35" s="50">
        <f t="shared" si="3"/>
        <v>0</v>
      </c>
      <c r="AO35" s="50"/>
      <c r="AP35" s="216"/>
      <c r="AQ35" s="50"/>
      <c r="AR35" s="10"/>
      <c r="AS35" s="218"/>
      <c r="AT35" s="10">
        <f t="shared" si="4"/>
        <v>0</v>
      </c>
      <c r="AU35" s="50"/>
      <c r="AV35" s="50"/>
      <c r="AW35" s="194">
        <f t="shared" si="5"/>
        <v>8283</v>
      </c>
      <c r="AX35" s="57"/>
      <c r="AY35" s="233"/>
      <c r="AZ35" s="57"/>
      <c r="BA35" s="206">
        <f t="shared" si="6"/>
        <v>0</v>
      </c>
      <c r="BB35" s="50">
        <f t="shared" si="7"/>
        <v>8283</v>
      </c>
      <c r="BC35" s="234" t="s">
        <v>696</v>
      </c>
      <c r="BD35" s="382" t="s">
        <v>602</v>
      </c>
      <c r="BE35" s="150"/>
    </row>
    <row r="36" s="133" customFormat="1" ht="29" hidden="1" customHeight="1" spans="1:57">
      <c r="A36" s="150">
        <v>22</v>
      </c>
      <c r="B36" s="160" t="s">
        <v>715</v>
      </c>
      <c r="C36" s="15" t="s">
        <v>438</v>
      </c>
      <c r="D36" s="148"/>
      <c r="E36" s="152"/>
      <c r="F36" s="152"/>
      <c r="G36" s="152"/>
      <c r="H36" s="152"/>
      <c r="I36" s="152"/>
      <c r="J36" s="152">
        <f>18.64+5.23+8.36+3.52+4.21+2.85+2.63+5.01+3.43+4.7+1.08</f>
        <v>59.66</v>
      </c>
      <c r="K36" s="181" t="s">
        <v>716</v>
      </c>
      <c r="L36" s="50">
        <v>0</v>
      </c>
      <c r="M36" s="50">
        <v>0</v>
      </c>
      <c r="N36" s="50">
        <v>0</v>
      </c>
      <c r="O36" s="50"/>
      <c r="P36" s="50"/>
      <c r="Q36" s="50"/>
      <c r="R36" s="50"/>
      <c r="S36" s="50"/>
      <c r="T36" s="50"/>
      <c r="U36" s="50"/>
      <c r="V36" s="50"/>
      <c r="W36" s="50"/>
      <c r="X36" s="50">
        <f>AA36+AD36+AX36+AH36+AL36+AR36</f>
        <v>0</v>
      </c>
      <c r="Y36" s="49">
        <f t="shared" ref="Y36:Y53" si="30">AA36+AD36+AH36+AL36+AX36</f>
        <v>0</v>
      </c>
      <c r="Z36" s="49">
        <f t="shared" si="10"/>
        <v>0</v>
      </c>
      <c r="AA36" s="194"/>
      <c r="AB36" s="196">
        <v>0.3</v>
      </c>
      <c r="AC36" s="57">
        <f t="shared" si="0"/>
        <v>0</v>
      </c>
      <c r="AD36" s="194"/>
      <c r="AE36" s="196"/>
      <c r="AF36" s="57">
        <f t="shared" si="1"/>
        <v>0</v>
      </c>
      <c r="AG36" s="194"/>
      <c r="AH36" s="206">
        <f t="shared" si="28"/>
        <v>0</v>
      </c>
      <c r="AI36" s="205"/>
      <c r="AJ36" s="50">
        <f t="shared" si="26"/>
        <v>0</v>
      </c>
      <c r="AK36" s="194"/>
      <c r="AL36" s="206">
        <f t="shared" si="27"/>
        <v>0</v>
      </c>
      <c r="AM36" s="205"/>
      <c r="AN36" s="50">
        <f t="shared" si="3"/>
        <v>0</v>
      </c>
      <c r="AO36" s="62"/>
      <c r="AP36" s="216">
        <v>0.05</v>
      </c>
      <c r="AQ36" s="50">
        <f t="shared" si="29"/>
        <v>0</v>
      </c>
      <c r="AR36" s="10"/>
      <c r="AS36" s="218"/>
      <c r="AT36" s="10">
        <f t="shared" si="4"/>
        <v>0</v>
      </c>
      <c r="AU36" s="50">
        <f>(Z36*0.04-0)*0.2</f>
        <v>0</v>
      </c>
      <c r="AV36" s="50"/>
      <c r="AW36" s="194">
        <f t="shared" si="5"/>
        <v>0</v>
      </c>
      <c r="AX36" s="57"/>
      <c r="AY36" s="233"/>
      <c r="AZ36" s="57"/>
      <c r="BA36" s="206">
        <f t="shared" si="6"/>
        <v>0</v>
      </c>
      <c r="BB36" s="50">
        <f t="shared" si="7"/>
        <v>0</v>
      </c>
      <c r="BC36" s="234" t="s">
        <v>696</v>
      </c>
      <c r="BD36" s="240" t="s">
        <v>717</v>
      </c>
      <c r="BE36" s="150"/>
    </row>
    <row r="37" s="133" customFormat="1" ht="29" customHeight="1" spans="1:57">
      <c r="A37" s="150">
        <v>18</v>
      </c>
      <c r="B37" s="160" t="s">
        <v>181</v>
      </c>
      <c r="C37" s="15" t="s">
        <v>718</v>
      </c>
      <c r="D37" s="148"/>
      <c r="E37" s="152" t="s">
        <v>600</v>
      </c>
      <c r="F37" s="152">
        <v>12</v>
      </c>
      <c r="G37" s="152">
        <v>6</v>
      </c>
      <c r="H37" s="152"/>
      <c r="I37" s="152">
        <v>240</v>
      </c>
      <c r="J37" s="152">
        <f>18.27+22.03+37.22+4.04+9.75+5.41</f>
        <v>96.72</v>
      </c>
      <c r="K37" s="181" t="s">
        <v>719</v>
      </c>
      <c r="L37" s="50">
        <v>372152.88</v>
      </c>
      <c r="M37" s="50">
        <v>40403.9</v>
      </c>
      <c r="N37" s="50">
        <v>97468</v>
      </c>
      <c r="O37" s="50"/>
      <c r="P37" s="50"/>
      <c r="Q37" s="50"/>
      <c r="R37" s="50"/>
      <c r="S37" s="50"/>
      <c r="T37" s="50"/>
      <c r="U37" s="50"/>
      <c r="V37" s="50"/>
      <c r="W37" s="50"/>
      <c r="X37" s="50">
        <f t="shared" ref="X37:X53" si="31">AA37+AD37+AX37+AH37+AL37</f>
        <v>54089.1</v>
      </c>
      <c r="Y37" s="49">
        <f t="shared" si="30"/>
        <v>54089.1</v>
      </c>
      <c r="Z37" s="49">
        <f t="shared" si="10"/>
        <v>56039</v>
      </c>
      <c r="AA37" s="194">
        <v>44569</v>
      </c>
      <c r="AB37" s="196">
        <v>0.25</v>
      </c>
      <c r="AC37" s="57">
        <f t="shared" si="0"/>
        <v>11142</v>
      </c>
      <c r="AD37" s="194"/>
      <c r="AE37" s="196">
        <v>0</v>
      </c>
      <c r="AF37" s="57">
        <f t="shared" si="1"/>
        <v>0</v>
      </c>
      <c r="AG37" s="194">
        <v>11470</v>
      </c>
      <c r="AH37" s="206">
        <f t="shared" ref="AH37:AH41" si="32">AG37*0.83</f>
        <v>9520.1</v>
      </c>
      <c r="AI37" s="205">
        <v>0</v>
      </c>
      <c r="AJ37" s="50">
        <f t="shared" si="26"/>
        <v>0</v>
      </c>
      <c r="AK37" s="194"/>
      <c r="AL37" s="206">
        <f t="shared" si="27"/>
        <v>0</v>
      </c>
      <c r="AM37" s="205"/>
      <c r="AN37" s="50">
        <f t="shared" si="3"/>
        <v>0</v>
      </c>
      <c r="AO37" s="62">
        <v>28550</v>
      </c>
      <c r="AP37" s="216">
        <v>0.05</v>
      </c>
      <c r="AQ37" s="50">
        <f t="shared" si="29"/>
        <v>1427.5</v>
      </c>
      <c r="AR37" s="62"/>
      <c r="AS37" s="218">
        <v>0.05</v>
      </c>
      <c r="AT37" s="10">
        <f t="shared" si="4"/>
        <v>0</v>
      </c>
      <c r="AU37" s="50">
        <f>(Z37*0.04-1259)*0.2</f>
        <v>196.512</v>
      </c>
      <c r="AV37" s="50"/>
      <c r="AW37" s="194">
        <f t="shared" si="5"/>
        <v>12373</v>
      </c>
      <c r="AX37" s="57"/>
      <c r="AY37" s="233"/>
      <c r="AZ37" s="57"/>
      <c r="BA37" s="206">
        <f t="shared" si="6"/>
        <v>0</v>
      </c>
      <c r="BB37" s="50">
        <f t="shared" si="7"/>
        <v>12373</v>
      </c>
      <c r="BC37" s="234" t="s">
        <v>696</v>
      </c>
      <c r="BD37" s="240" t="s">
        <v>182</v>
      </c>
      <c r="BE37" s="150"/>
    </row>
    <row r="38" s="133" customFormat="1" ht="29" customHeight="1" spans="1:57">
      <c r="A38" s="150">
        <v>19</v>
      </c>
      <c r="B38" s="160" t="s">
        <v>720</v>
      </c>
      <c r="C38" s="15" t="s">
        <v>721</v>
      </c>
      <c r="D38" s="148">
        <v>2024.02</v>
      </c>
      <c r="E38" s="152" t="s">
        <v>722</v>
      </c>
      <c r="F38" s="152">
        <v>6</v>
      </c>
      <c r="G38" s="152">
        <v>3</v>
      </c>
      <c r="H38" s="152"/>
      <c r="I38" s="152">
        <v>120</v>
      </c>
      <c r="J38" s="152">
        <f>3.48+14.94+13.99</f>
        <v>32.41</v>
      </c>
      <c r="K38" s="181" t="s">
        <v>723</v>
      </c>
      <c r="L38" s="50">
        <v>0</v>
      </c>
      <c r="M38" s="50">
        <v>34803</v>
      </c>
      <c r="N38" s="50">
        <v>149439</v>
      </c>
      <c r="O38" s="50"/>
      <c r="P38" s="50"/>
      <c r="Q38" s="50"/>
      <c r="R38" s="50"/>
      <c r="S38" s="50"/>
      <c r="T38" s="50"/>
      <c r="U38" s="50"/>
      <c r="V38" s="50"/>
      <c r="W38" s="50"/>
      <c r="X38" s="50">
        <f t="shared" si="31"/>
        <v>139939</v>
      </c>
      <c r="Y38" s="49">
        <f t="shared" si="30"/>
        <v>139939</v>
      </c>
      <c r="Z38" s="49">
        <f t="shared" si="10"/>
        <v>139939</v>
      </c>
      <c r="AA38" s="194">
        <v>139939</v>
      </c>
      <c r="AB38" s="196">
        <v>0.25</v>
      </c>
      <c r="AC38" s="57">
        <f t="shared" si="0"/>
        <v>34985</v>
      </c>
      <c r="AD38" s="194"/>
      <c r="AE38" s="196">
        <v>0</v>
      </c>
      <c r="AF38" s="57">
        <f t="shared" si="1"/>
        <v>0</v>
      </c>
      <c r="AG38" s="194"/>
      <c r="AH38" s="206">
        <f t="shared" si="32"/>
        <v>0</v>
      </c>
      <c r="AI38" s="205">
        <v>0</v>
      </c>
      <c r="AJ38" s="50">
        <f t="shared" si="26"/>
        <v>0</v>
      </c>
      <c r="AK38" s="194"/>
      <c r="AL38" s="206">
        <f t="shared" si="27"/>
        <v>0</v>
      </c>
      <c r="AM38" s="205"/>
      <c r="AN38" s="50">
        <f t="shared" si="3"/>
        <v>0</v>
      </c>
      <c r="AO38" s="13">
        <v>114235</v>
      </c>
      <c r="AP38" s="216">
        <v>0.05</v>
      </c>
      <c r="AQ38" s="50">
        <f t="shared" si="29"/>
        <v>5711.75</v>
      </c>
      <c r="AR38" s="10"/>
      <c r="AS38" s="218"/>
      <c r="AT38" s="10">
        <f t="shared" si="4"/>
        <v>0</v>
      </c>
      <c r="AU38" s="50">
        <v>-851</v>
      </c>
      <c r="AV38" s="50"/>
      <c r="AW38" s="194">
        <f t="shared" si="5"/>
        <v>41548</v>
      </c>
      <c r="AX38" s="57"/>
      <c r="AY38" s="233"/>
      <c r="AZ38" s="57"/>
      <c r="BA38" s="206">
        <f t="shared" si="6"/>
        <v>0</v>
      </c>
      <c r="BB38" s="50">
        <f t="shared" si="7"/>
        <v>41548</v>
      </c>
      <c r="BC38" s="234" t="s">
        <v>696</v>
      </c>
      <c r="BD38" s="240" t="s">
        <v>724</v>
      </c>
      <c r="BE38" s="15" t="s">
        <v>725</v>
      </c>
    </row>
    <row r="39" s="133" customFormat="1" ht="74" customHeight="1" spans="1:57">
      <c r="A39" s="154">
        <v>20</v>
      </c>
      <c r="B39" s="160" t="s">
        <v>726</v>
      </c>
      <c r="C39" s="15" t="s">
        <v>727</v>
      </c>
      <c r="D39" s="157">
        <v>2024.02</v>
      </c>
      <c r="E39" s="163" t="s">
        <v>722</v>
      </c>
      <c r="F39" s="155">
        <v>12</v>
      </c>
      <c r="G39" s="155">
        <v>6</v>
      </c>
      <c r="H39" s="155"/>
      <c r="I39" s="155">
        <v>240</v>
      </c>
      <c r="J39" s="155">
        <f>7.78+37.09+32.52</f>
        <v>77.39</v>
      </c>
      <c r="K39" s="184" t="s">
        <v>728</v>
      </c>
      <c r="L39" s="56">
        <v>0</v>
      </c>
      <c r="M39" s="56">
        <v>77770</v>
      </c>
      <c r="N39" s="50">
        <v>309512</v>
      </c>
      <c r="O39" s="50"/>
      <c r="P39" s="50"/>
      <c r="Q39" s="50"/>
      <c r="R39" s="50"/>
      <c r="S39" s="50"/>
      <c r="T39" s="50"/>
      <c r="U39" s="50"/>
      <c r="V39" s="50"/>
      <c r="W39" s="50"/>
      <c r="X39" s="50">
        <f t="shared" si="31"/>
        <v>325194</v>
      </c>
      <c r="Y39" s="49">
        <f t="shared" si="30"/>
        <v>325194</v>
      </c>
      <c r="Z39" s="49">
        <f t="shared" si="10"/>
        <v>325194</v>
      </c>
      <c r="AA39" s="194">
        <v>325194</v>
      </c>
      <c r="AB39" s="196">
        <v>0.25</v>
      </c>
      <c r="AC39" s="57">
        <f t="shared" si="0"/>
        <v>81299</v>
      </c>
      <c r="AD39" s="194"/>
      <c r="AE39" s="196">
        <v>0</v>
      </c>
      <c r="AF39" s="57">
        <f t="shared" si="1"/>
        <v>0</v>
      </c>
      <c r="AG39" s="194"/>
      <c r="AH39" s="206">
        <f t="shared" si="32"/>
        <v>0</v>
      </c>
      <c r="AI39" s="205">
        <v>0</v>
      </c>
      <c r="AJ39" s="50">
        <f t="shared" si="26"/>
        <v>0</v>
      </c>
      <c r="AK39" s="194"/>
      <c r="AL39" s="206">
        <f t="shared" si="27"/>
        <v>0</v>
      </c>
      <c r="AM39" s="205"/>
      <c r="AN39" s="50">
        <f t="shared" si="3"/>
        <v>0</v>
      </c>
      <c r="AO39" s="13">
        <v>282831</v>
      </c>
      <c r="AP39" s="216">
        <v>0.05</v>
      </c>
      <c r="AQ39" s="50">
        <f t="shared" si="29"/>
        <v>14141.55</v>
      </c>
      <c r="AR39" s="10"/>
      <c r="AS39" s="218"/>
      <c r="AT39" s="10">
        <f t="shared" si="4"/>
        <v>0</v>
      </c>
      <c r="AU39" s="50">
        <f>-1865</f>
        <v>-1865</v>
      </c>
      <c r="AV39" s="62">
        <v>8000</v>
      </c>
      <c r="AW39" s="194">
        <f t="shared" si="5"/>
        <v>105306</v>
      </c>
      <c r="AX39" s="57"/>
      <c r="AY39" s="233"/>
      <c r="AZ39" s="57"/>
      <c r="BA39" s="206">
        <f t="shared" si="6"/>
        <v>0</v>
      </c>
      <c r="BB39" s="50">
        <f t="shared" si="7"/>
        <v>105306</v>
      </c>
      <c r="BC39" s="234" t="s">
        <v>696</v>
      </c>
      <c r="BD39" s="240" t="s">
        <v>729</v>
      </c>
      <c r="BE39" s="150" t="s">
        <v>730</v>
      </c>
    </row>
    <row r="40" s="134" customFormat="1" ht="65" customHeight="1" spans="1:57">
      <c r="A40" s="164"/>
      <c r="B40" s="160" t="s">
        <v>731</v>
      </c>
      <c r="C40" s="15" t="s">
        <v>732</v>
      </c>
      <c r="D40" s="148">
        <v>2024.02</v>
      </c>
      <c r="E40" s="165" t="s">
        <v>733</v>
      </c>
      <c r="F40" s="152">
        <v>6</v>
      </c>
      <c r="G40" s="152">
        <v>3</v>
      </c>
      <c r="H40" s="152"/>
      <c r="I40" s="152">
        <v>120</v>
      </c>
      <c r="J40" s="152">
        <f>13.56</f>
        <v>13.56</v>
      </c>
      <c r="K40" s="173" t="s">
        <v>734</v>
      </c>
      <c r="L40" s="57"/>
      <c r="M40" s="57"/>
      <c r="N40" s="50">
        <v>61371</v>
      </c>
      <c r="O40" s="50"/>
      <c r="P40" s="50"/>
      <c r="Q40" s="50"/>
      <c r="R40" s="50"/>
      <c r="S40" s="50"/>
      <c r="T40" s="50"/>
      <c r="U40" s="50"/>
      <c r="V40" s="50"/>
      <c r="W40" s="50"/>
      <c r="X40" s="50">
        <f t="shared" si="31"/>
        <v>135586</v>
      </c>
      <c r="Y40" s="49">
        <f t="shared" si="30"/>
        <v>135586</v>
      </c>
      <c r="Z40" s="49">
        <f t="shared" si="10"/>
        <v>135586</v>
      </c>
      <c r="AA40" s="194">
        <v>135158</v>
      </c>
      <c r="AB40" s="196">
        <v>0.25</v>
      </c>
      <c r="AC40" s="57">
        <f t="shared" si="0"/>
        <v>33790</v>
      </c>
      <c r="AD40" s="194">
        <v>428</v>
      </c>
      <c r="AE40" s="196">
        <v>0</v>
      </c>
      <c r="AF40" s="57">
        <f t="shared" si="1"/>
        <v>0</v>
      </c>
      <c r="AG40" s="194"/>
      <c r="AH40" s="206">
        <f t="shared" si="32"/>
        <v>0</v>
      </c>
      <c r="AI40" s="205">
        <v>0</v>
      </c>
      <c r="AJ40" s="50">
        <f t="shared" si="26"/>
        <v>0</v>
      </c>
      <c r="AK40" s="194"/>
      <c r="AL40" s="206">
        <f t="shared" si="27"/>
        <v>0</v>
      </c>
      <c r="AM40" s="205"/>
      <c r="AN40" s="50">
        <f t="shared" si="3"/>
        <v>0</v>
      </c>
      <c r="AO40" s="13">
        <v>118950</v>
      </c>
      <c r="AP40" s="216">
        <v>0.05</v>
      </c>
      <c r="AQ40" s="50">
        <f t="shared" si="29"/>
        <v>5947.5</v>
      </c>
      <c r="AR40" s="10"/>
      <c r="AS40" s="218"/>
      <c r="AT40" s="10">
        <f t="shared" si="4"/>
        <v>0</v>
      </c>
      <c r="AU40" s="50">
        <v>-303</v>
      </c>
      <c r="AV40" s="50"/>
      <c r="AW40" s="194">
        <f t="shared" si="5"/>
        <v>40041</v>
      </c>
      <c r="AX40" s="57"/>
      <c r="AY40" s="233"/>
      <c r="AZ40" s="57"/>
      <c r="BA40" s="206">
        <f t="shared" si="6"/>
        <v>0</v>
      </c>
      <c r="BB40" s="50">
        <f t="shared" si="7"/>
        <v>40041</v>
      </c>
      <c r="BC40" s="166" t="s">
        <v>696</v>
      </c>
      <c r="BD40" s="243" t="s">
        <v>735</v>
      </c>
      <c r="BE40" s="150" t="s">
        <v>74</v>
      </c>
    </row>
    <row r="41" s="133" customFormat="1" ht="29" customHeight="1" spans="1:57">
      <c r="A41" s="150">
        <v>21</v>
      </c>
      <c r="B41" s="160" t="s">
        <v>736</v>
      </c>
      <c r="C41" s="15" t="s">
        <v>737</v>
      </c>
      <c r="D41" s="148">
        <v>2024.02</v>
      </c>
      <c r="E41" s="152" t="s">
        <v>722</v>
      </c>
      <c r="F41" s="152"/>
      <c r="G41" s="152"/>
      <c r="H41" s="152"/>
      <c r="I41" s="152">
        <v>120</v>
      </c>
      <c r="J41" s="152">
        <f>1.37+2.53+14.64</f>
        <v>18.54</v>
      </c>
      <c r="K41" s="181" t="s">
        <v>738</v>
      </c>
      <c r="L41" s="50">
        <v>0</v>
      </c>
      <c r="M41" s="50">
        <v>13726</v>
      </c>
      <c r="N41" s="50">
        <v>25266</v>
      </c>
      <c r="O41" s="50"/>
      <c r="P41" s="50"/>
      <c r="Q41" s="50"/>
      <c r="R41" s="50"/>
      <c r="S41" s="50"/>
      <c r="T41" s="50"/>
      <c r="U41" s="50"/>
      <c r="V41" s="50"/>
      <c r="W41" s="50"/>
      <c r="X41" s="50">
        <f t="shared" si="31"/>
        <v>146397</v>
      </c>
      <c r="Y41" s="49">
        <f t="shared" si="30"/>
        <v>146397</v>
      </c>
      <c r="Z41" s="49">
        <f t="shared" si="10"/>
        <v>146397</v>
      </c>
      <c r="AA41" s="194">
        <v>146397</v>
      </c>
      <c r="AB41" s="196">
        <v>0.3</v>
      </c>
      <c r="AC41" s="57">
        <f t="shared" si="0"/>
        <v>43919</v>
      </c>
      <c r="AD41" s="194"/>
      <c r="AE41" s="196">
        <v>0</v>
      </c>
      <c r="AF41" s="57">
        <f t="shared" si="1"/>
        <v>0</v>
      </c>
      <c r="AG41" s="194"/>
      <c r="AH41" s="206">
        <f t="shared" si="32"/>
        <v>0</v>
      </c>
      <c r="AI41" s="205">
        <v>0</v>
      </c>
      <c r="AJ41" s="50">
        <f t="shared" si="26"/>
        <v>0</v>
      </c>
      <c r="AK41" s="194"/>
      <c r="AL41" s="206">
        <f t="shared" si="27"/>
        <v>0</v>
      </c>
      <c r="AM41" s="205"/>
      <c r="AN41" s="50">
        <f t="shared" si="3"/>
        <v>0</v>
      </c>
      <c r="AO41" s="13">
        <v>122851</v>
      </c>
      <c r="AP41" s="216">
        <v>0.05</v>
      </c>
      <c r="AQ41" s="50">
        <f t="shared" si="29"/>
        <v>6142.55</v>
      </c>
      <c r="AR41" s="10"/>
      <c r="AS41" s="218"/>
      <c r="AT41" s="10">
        <f t="shared" si="4"/>
        <v>0</v>
      </c>
      <c r="AU41" s="50"/>
      <c r="AV41" s="62"/>
      <c r="AW41" s="194">
        <f t="shared" si="5"/>
        <v>50062</v>
      </c>
      <c r="AX41" s="57"/>
      <c r="AY41" s="233"/>
      <c r="AZ41" s="57"/>
      <c r="BA41" s="206">
        <f t="shared" si="6"/>
        <v>0</v>
      </c>
      <c r="BB41" s="50">
        <f t="shared" si="7"/>
        <v>50062</v>
      </c>
      <c r="BC41" s="234" t="s">
        <v>696</v>
      </c>
      <c r="BD41" s="240" t="s">
        <v>739</v>
      </c>
      <c r="BE41" s="15" t="s">
        <v>74</v>
      </c>
    </row>
    <row r="42" s="133" customFormat="1" ht="29" customHeight="1" spans="1:57">
      <c r="A42" s="150">
        <v>22</v>
      </c>
      <c r="B42" s="160" t="s">
        <v>740</v>
      </c>
      <c r="C42" s="15" t="s">
        <v>741</v>
      </c>
      <c r="D42" s="148">
        <v>2024.03</v>
      </c>
      <c r="E42" s="152" t="s">
        <v>742</v>
      </c>
      <c r="F42" s="152">
        <v>6</v>
      </c>
      <c r="G42" s="166" t="s">
        <v>743</v>
      </c>
      <c r="H42" s="152"/>
      <c r="I42" s="152">
        <v>120</v>
      </c>
      <c r="J42" s="152">
        <f>12.44+6.48</f>
        <v>18.92</v>
      </c>
      <c r="K42" s="181" t="s">
        <v>744</v>
      </c>
      <c r="L42" s="50">
        <v>0</v>
      </c>
      <c r="M42" s="50">
        <v>0</v>
      </c>
      <c r="N42" s="50">
        <v>124411</v>
      </c>
      <c r="O42" s="50"/>
      <c r="P42" s="50"/>
      <c r="Q42" s="50"/>
      <c r="R42" s="50"/>
      <c r="S42" s="50"/>
      <c r="T42" s="50"/>
      <c r="U42" s="50"/>
      <c r="V42" s="50"/>
      <c r="W42" s="50"/>
      <c r="X42" s="50">
        <f t="shared" si="31"/>
        <v>64840</v>
      </c>
      <c r="Y42" s="49">
        <f t="shared" si="30"/>
        <v>64840</v>
      </c>
      <c r="Z42" s="49">
        <f t="shared" si="10"/>
        <v>64840</v>
      </c>
      <c r="AA42" s="194">
        <v>64840</v>
      </c>
      <c r="AB42" s="196">
        <v>0.25</v>
      </c>
      <c r="AC42" s="57">
        <f t="shared" si="0"/>
        <v>16210</v>
      </c>
      <c r="AD42" s="194"/>
      <c r="AE42" s="196">
        <v>0.2</v>
      </c>
      <c r="AF42" s="57">
        <f t="shared" si="1"/>
        <v>0</v>
      </c>
      <c r="AG42" s="194"/>
      <c r="AH42" s="206">
        <f>AG42*1</f>
        <v>0</v>
      </c>
      <c r="AI42" s="205"/>
      <c r="AJ42" s="50">
        <f t="shared" si="26"/>
        <v>0</v>
      </c>
      <c r="AK42" s="194"/>
      <c r="AL42" s="206">
        <f t="shared" si="27"/>
        <v>0</v>
      </c>
      <c r="AM42" s="205"/>
      <c r="AN42" s="50">
        <f t="shared" si="3"/>
        <v>0</v>
      </c>
      <c r="AO42" s="13">
        <v>55013</v>
      </c>
      <c r="AP42" s="216">
        <v>0.05</v>
      </c>
      <c r="AQ42" s="50">
        <f t="shared" si="29"/>
        <v>2750.65</v>
      </c>
      <c r="AR42" s="10"/>
      <c r="AS42" s="218"/>
      <c r="AT42" s="10">
        <f t="shared" si="4"/>
        <v>0</v>
      </c>
      <c r="AU42" s="50"/>
      <c r="AV42" s="50"/>
      <c r="AW42" s="194">
        <f t="shared" si="5"/>
        <v>18961</v>
      </c>
      <c r="AX42" s="57"/>
      <c r="AY42" s="233"/>
      <c r="AZ42" s="57"/>
      <c r="BA42" s="206">
        <f t="shared" si="6"/>
        <v>0</v>
      </c>
      <c r="BB42" s="50">
        <f t="shared" si="7"/>
        <v>18961</v>
      </c>
      <c r="BC42" s="234" t="s">
        <v>696</v>
      </c>
      <c r="BD42" s="240" t="s">
        <v>745</v>
      </c>
      <c r="BE42" s="15" t="s">
        <v>128</v>
      </c>
    </row>
    <row r="43" s="133" customFormat="1" ht="29" customHeight="1" spans="1:57">
      <c r="A43" s="154">
        <v>23</v>
      </c>
      <c r="B43" s="160" t="s">
        <v>746</v>
      </c>
      <c r="C43" s="15" t="s">
        <v>747</v>
      </c>
      <c r="D43" s="148">
        <v>2024.03</v>
      </c>
      <c r="E43" s="152" t="s">
        <v>742</v>
      </c>
      <c r="F43" s="152">
        <v>18</v>
      </c>
      <c r="G43" s="152">
        <v>9</v>
      </c>
      <c r="H43" s="152"/>
      <c r="I43" s="152">
        <v>360</v>
      </c>
      <c r="J43" s="152">
        <f>36.88+17.07</f>
        <v>53.95</v>
      </c>
      <c r="K43" s="181" t="s">
        <v>748</v>
      </c>
      <c r="L43" s="50">
        <v>0</v>
      </c>
      <c r="M43" s="50">
        <v>0</v>
      </c>
      <c r="N43" s="50">
        <v>368767</v>
      </c>
      <c r="O43" s="50"/>
      <c r="P43" s="50"/>
      <c r="Q43" s="50"/>
      <c r="R43" s="50"/>
      <c r="S43" s="50"/>
      <c r="T43" s="50"/>
      <c r="U43" s="50"/>
      <c r="V43" s="50"/>
      <c r="W43" s="50"/>
      <c r="X43" s="50">
        <f t="shared" si="31"/>
        <v>170699</v>
      </c>
      <c r="Y43" s="49">
        <f t="shared" si="30"/>
        <v>170699</v>
      </c>
      <c r="Z43" s="49">
        <f t="shared" si="10"/>
        <v>170699</v>
      </c>
      <c r="AA43" s="194">
        <f>178109-24044</f>
        <v>154065</v>
      </c>
      <c r="AB43" s="196">
        <v>0.25</v>
      </c>
      <c r="AC43" s="57">
        <f t="shared" si="0"/>
        <v>38516</v>
      </c>
      <c r="AD43" s="13">
        <v>11093</v>
      </c>
      <c r="AE43" s="196">
        <v>0</v>
      </c>
      <c r="AF43" s="57">
        <f t="shared" si="1"/>
        <v>0</v>
      </c>
      <c r="AG43" s="13">
        <v>5541</v>
      </c>
      <c r="AH43" s="206">
        <f>AG43*1</f>
        <v>5541</v>
      </c>
      <c r="AI43" s="205">
        <v>0.1</v>
      </c>
      <c r="AJ43" s="50">
        <f t="shared" si="26"/>
        <v>554.1</v>
      </c>
      <c r="AK43" s="194"/>
      <c r="AL43" s="206">
        <f>AK43*1</f>
        <v>0</v>
      </c>
      <c r="AM43" s="205"/>
      <c r="AN43" s="50">
        <f t="shared" si="3"/>
        <v>0</v>
      </c>
      <c r="AO43" s="62">
        <v>27882</v>
      </c>
      <c r="AP43" s="216">
        <v>0.05</v>
      </c>
      <c r="AQ43" s="50">
        <f t="shared" si="29"/>
        <v>1394.1</v>
      </c>
      <c r="AR43" s="10"/>
      <c r="AS43" s="218"/>
      <c r="AT43" s="10">
        <f t="shared" si="4"/>
        <v>0</v>
      </c>
      <c r="AU43" s="50"/>
      <c r="AV43" s="62"/>
      <c r="AW43" s="194">
        <f t="shared" si="5"/>
        <v>40464</v>
      </c>
      <c r="AX43" s="57"/>
      <c r="AY43" s="233"/>
      <c r="AZ43" s="57"/>
      <c r="BA43" s="206">
        <f t="shared" si="6"/>
        <v>0</v>
      </c>
      <c r="BB43" s="50">
        <f t="shared" si="7"/>
        <v>40464</v>
      </c>
      <c r="BC43" s="234" t="s">
        <v>696</v>
      </c>
      <c r="BD43" s="240" t="s">
        <v>749</v>
      </c>
      <c r="BE43" s="15" t="s">
        <v>750</v>
      </c>
    </row>
    <row r="44" s="133" customFormat="1" ht="29" customHeight="1" spans="1:57">
      <c r="A44" s="164"/>
      <c r="B44" s="15" t="s">
        <v>751</v>
      </c>
      <c r="C44" s="15" t="s">
        <v>752</v>
      </c>
      <c r="D44" s="15">
        <v>2024.03</v>
      </c>
      <c r="E44" s="15" t="s">
        <v>733</v>
      </c>
      <c r="F44" s="15">
        <v>18</v>
      </c>
      <c r="G44" s="15">
        <v>9</v>
      </c>
      <c r="H44" s="15"/>
      <c r="I44" s="15">
        <v>360</v>
      </c>
      <c r="J44" s="165">
        <f>2.4</f>
        <v>2.4</v>
      </c>
      <c r="K44" s="181" t="s">
        <v>753</v>
      </c>
      <c r="L44" s="185"/>
      <c r="M44" s="50">
        <v>0</v>
      </c>
      <c r="N44" s="50">
        <v>0</v>
      </c>
      <c r="O44" s="50"/>
      <c r="P44" s="50"/>
      <c r="Q44" s="50"/>
      <c r="R44" s="50"/>
      <c r="S44" s="50"/>
      <c r="T44" s="50"/>
      <c r="U44" s="50"/>
      <c r="V44" s="50"/>
      <c r="W44" s="50"/>
      <c r="X44" s="50">
        <f t="shared" si="31"/>
        <v>24044</v>
      </c>
      <c r="Y44" s="49">
        <f t="shared" si="30"/>
        <v>24044</v>
      </c>
      <c r="Z44" s="49">
        <f t="shared" si="10"/>
        <v>24044</v>
      </c>
      <c r="AA44" s="194">
        <v>24044</v>
      </c>
      <c r="AB44" s="196">
        <v>0.25</v>
      </c>
      <c r="AC44" s="57">
        <f t="shared" si="0"/>
        <v>6011</v>
      </c>
      <c r="AD44" s="194"/>
      <c r="AE44" s="196"/>
      <c r="AF44" s="57">
        <f t="shared" si="1"/>
        <v>0</v>
      </c>
      <c r="AG44" s="194"/>
      <c r="AH44" s="206">
        <f t="shared" ref="AH44:AH54" si="33">AG44*0.83</f>
        <v>0</v>
      </c>
      <c r="AI44" s="205"/>
      <c r="AJ44" s="50">
        <f t="shared" si="26"/>
        <v>0</v>
      </c>
      <c r="AK44" s="194"/>
      <c r="AL44" s="206">
        <f t="shared" ref="AL44:AL54" si="34">AK44*0.83</f>
        <v>0</v>
      </c>
      <c r="AM44" s="205"/>
      <c r="AN44" s="50">
        <f t="shared" si="3"/>
        <v>0</v>
      </c>
      <c r="AO44" s="220">
        <v>21864</v>
      </c>
      <c r="AP44" s="216">
        <v>0.05</v>
      </c>
      <c r="AQ44" s="50">
        <f t="shared" si="29"/>
        <v>1093.2</v>
      </c>
      <c r="AR44" s="10"/>
      <c r="AS44" s="218"/>
      <c r="AT44" s="10">
        <f t="shared" si="4"/>
        <v>0</v>
      </c>
      <c r="AU44" s="50"/>
      <c r="AV44" s="50"/>
      <c r="AW44" s="194">
        <f t="shared" si="5"/>
        <v>7104</v>
      </c>
      <c r="AX44" s="57"/>
      <c r="AY44" s="233"/>
      <c r="AZ44" s="57">
        <f t="shared" ref="AZ44:AZ54" si="35">ROUND(AY44*AX44,)</f>
        <v>0</v>
      </c>
      <c r="BA44" s="206">
        <f t="shared" si="6"/>
        <v>0</v>
      </c>
      <c r="BB44" s="50">
        <f t="shared" si="7"/>
        <v>7104</v>
      </c>
      <c r="BC44" s="15"/>
      <c r="BD44" s="383" t="s">
        <v>754</v>
      </c>
      <c r="BE44" s="15" t="s">
        <v>755</v>
      </c>
    </row>
    <row r="45" s="133" customFormat="1" ht="37" customHeight="1" spans="1:57">
      <c r="A45" s="150">
        <v>24</v>
      </c>
      <c r="B45" s="15" t="s">
        <v>756</v>
      </c>
      <c r="C45" s="15" t="s">
        <v>757</v>
      </c>
      <c r="D45" s="15">
        <v>2024.03</v>
      </c>
      <c r="E45" s="15"/>
      <c r="F45" s="15"/>
      <c r="G45" s="15"/>
      <c r="H45" s="15"/>
      <c r="I45" s="15"/>
      <c r="J45" s="165">
        <f>8.67+34.53</f>
        <v>43.2</v>
      </c>
      <c r="K45" s="181" t="s">
        <v>758</v>
      </c>
      <c r="L45" s="185"/>
      <c r="M45" s="50">
        <v>0</v>
      </c>
      <c r="N45" s="50">
        <v>86702</v>
      </c>
      <c r="O45" s="50"/>
      <c r="P45" s="50"/>
      <c r="Q45" s="50"/>
      <c r="R45" s="50"/>
      <c r="S45" s="50"/>
      <c r="T45" s="50"/>
      <c r="U45" s="50"/>
      <c r="V45" s="50"/>
      <c r="W45" s="50"/>
      <c r="X45" s="50">
        <f t="shared" si="31"/>
        <v>345289</v>
      </c>
      <c r="Y45" s="49">
        <f t="shared" si="30"/>
        <v>345289</v>
      </c>
      <c r="Z45" s="49">
        <f t="shared" si="10"/>
        <v>345289</v>
      </c>
      <c r="AA45" s="194">
        <v>345289</v>
      </c>
      <c r="AB45" s="196">
        <v>0.35</v>
      </c>
      <c r="AC45" s="57">
        <f t="shared" si="0"/>
        <v>120851</v>
      </c>
      <c r="AD45" s="194"/>
      <c r="AE45" s="196"/>
      <c r="AF45" s="57">
        <f t="shared" si="1"/>
        <v>0</v>
      </c>
      <c r="AG45" s="194"/>
      <c r="AH45" s="206">
        <f t="shared" si="33"/>
        <v>0</v>
      </c>
      <c r="AI45" s="205"/>
      <c r="AJ45" s="50">
        <f t="shared" si="26"/>
        <v>0</v>
      </c>
      <c r="AK45" s="194"/>
      <c r="AL45" s="206">
        <f t="shared" si="34"/>
        <v>0</v>
      </c>
      <c r="AM45" s="205"/>
      <c r="AN45" s="50">
        <f t="shared" si="3"/>
        <v>0</v>
      </c>
      <c r="AO45" s="220">
        <v>345289</v>
      </c>
      <c r="AP45" s="216">
        <v>0.05</v>
      </c>
      <c r="AQ45" s="50">
        <f t="shared" si="29"/>
        <v>17264.45</v>
      </c>
      <c r="AR45" s="10"/>
      <c r="AS45" s="218"/>
      <c r="AT45" s="10">
        <f t="shared" si="4"/>
        <v>0</v>
      </c>
      <c r="AU45" s="50"/>
      <c r="AV45" s="50"/>
      <c r="AW45" s="194">
        <f t="shared" si="5"/>
        <v>138115</v>
      </c>
      <c r="AX45" s="57"/>
      <c r="AY45" s="233"/>
      <c r="AZ45" s="57">
        <f t="shared" si="35"/>
        <v>0</v>
      </c>
      <c r="BA45" s="206">
        <f t="shared" si="6"/>
        <v>0</v>
      </c>
      <c r="BB45" s="50">
        <f t="shared" si="7"/>
        <v>138115</v>
      </c>
      <c r="BC45" s="15"/>
      <c r="BD45" s="383" t="s">
        <v>759</v>
      </c>
      <c r="BE45" s="15" t="s">
        <v>760</v>
      </c>
    </row>
    <row r="46" s="133" customFormat="1" ht="29" customHeight="1" spans="1:57">
      <c r="A46" s="150">
        <v>25</v>
      </c>
      <c r="B46" s="15"/>
      <c r="C46" s="15" t="s">
        <v>761</v>
      </c>
      <c r="D46" s="15"/>
      <c r="E46" s="15"/>
      <c r="F46" s="15"/>
      <c r="G46" s="15"/>
      <c r="H46" s="15"/>
      <c r="I46" s="15"/>
      <c r="J46" s="165"/>
      <c r="K46" s="171"/>
      <c r="L46" s="185">
        <v>3372</v>
      </c>
      <c r="M46" s="50">
        <v>0</v>
      </c>
      <c r="N46" s="50">
        <v>0</v>
      </c>
      <c r="O46" s="50"/>
      <c r="P46" s="50"/>
      <c r="Q46" s="50"/>
      <c r="R46" s="50"/>
      <c r="S46" s="50"/>
      <c r="T46" s="50"/>
      <c r="U46" s="50"/>
      <c r="V46" s="50"/>
      <c r="W46" s="50"/>
      <c r="X46" s="50">
        <f t="shared" si="31"/>
        <v>0</v>
      </c>
      <c r="Y46" s="49">
        <f t="shared" si="30"/>
        <v>0</v>
      </c>
      <c r="Z46" s="49">
        <f t="shared" si="10"/>
        <v>0</v>
      </c>
      <c r="AA46" s="194"/>
      <c r="AB46" s="196">
        <v>0.25</v>
      </c>
      <c r="AC46" s="57">
        <f t="shared" si="0"/>
        <v>0</v>
      </c>
      <c r="AD46" s="194"/>
      <c r="AE46" s="196"/>
      <c r="AF46" s="57">
        <f t="shared" si="1"/>
        <v>0</v>
      </c>
      <c r="AG46" s="194"/>
      <c r="AH46" s="206">
        <f t="shared" si="33"/>
        <v>0</v>
      </c>
      <c r="AI46" s="205"/>
      <c r="AJ46" s="50">
        <f t="shared" si="26"/>
        <v>0</v>
      </c>
      <c r="AK46" s="194"/>
      <c r="AL46" s="206">
        <f t="shared" si="34"/>
        <v>0</v>
      </c>
      <c r="AM46" s="205"/>
      <c r="AN46" s="50">
        <f t="shared" si="3"/>
        <v>0</v>
      </c>
      <c r="AO46" s="50"/>
      <c r="AP46" s="216"/>
      <c r="AQ46" s="50"/>
      <c r="AR46" s="10"/>
      <c r="AS46" s="218"/>
      <c r="AT46" s="10">
        <f t="shared" si="4"/>
        <v>0</v>
      </c>
      <c r="AU46" s="50"/>
      <c r="AV46" s="50"/>
      <c r="AW46" s="194">
        <f t="shared" si="5"/>
        <v>0</v>
      </c>
      <c r="AX46" s="57"/>
      <c r="AY46" s="233"/>
      <c r="AZ46" s="57">
        <f t="shared" si="35"/>
        <v>0</v>
      </c>
      <c r="BA46" s="206">
        <f t="shared" si="6"/>
        <v>0</v>
      </c>
      <c r="BB46" s="50">
        <f t="shared" si="7"/>
        <v>0</v>
      </c>
      <c r="BC46" s="15"/>
      <c r="BD46" s="383" t="s">
        <v>762</v>
      </c>
      <c r="BE46" s="150"/>
    </row>
    <row r="47" s="133" customFormat="1" ht="29" customHeight="1" spans="1:57">
      <c r="A47" s="150">
        <v>26</v>
      </c>
      <c r="B47" s="15" t="s">
        <v>763</v>
      </c>
      <c r="C47" s="15" t="s">
        <v>763</v>
      </c>
      <c r="D47" s="15"/>
      <c r="E47" s="15"/>
      <c r="F47" s="15"/>
      <c r="G47" s="15"/>
      <c r="H47" s="15"/>
      <c r="I47" s="15"/>
      <c r="J47" s="15"/>
      <c r="K47" s="171"/>
      <c r="L47" s="185">
        <v>0</v>
      </c>
      <c r="M47" s="50">
        <v>0</v>
      </c>
      <c r="N47" s="50">
        <v>0</v>
      </c>
      <c r="O47" s="50"/>
      <c r="P47" s="50"/>
      <c r="Q47" s="50"/>
      <c r="R47" s="171"/>
      <c r="S47" s="50"/>
      <c r="T47" s="50"/>
      <c r="U47" s="50"/>
      <c r="V47" s="50"/>
      <c r="W47" s="50"/>
      <c r="X47" s="50">
        <f t="shared" si="31"/>
        <v>0</v>
      </c>
      <c r="Y47" s="49">
        <f t="shared" si="30"/>
        <v>0</v>
      </c>
      <c r="Z47" s="49">
        <f t="shared" si="10"/>
        <v>0</v>
      </c>
      <c r="AA47" s="199"/>
      <c r="AB47" s="196">
        <v>0.25</v>
      </c>
      <c r="AC47" s="69">
        <f>AA47*AB47</f>
        <v>0</v>
      </c>
      <c r="AD47" s="199"/>
      <c r="AE47" s="196"/>
      <c r="AF47" s="69">
        <f>AD47*AE47</f>
        <v>0</v>
      </c>
      <c r="AG47" s="207"/>
      <c r="AH47" s="208">
        <f t="shared" si="33"/>
        <v>0</v>
      </c>
      <c r="AI47" s="209"/>
      <c r="AJ47" s="49">
        <f t="shared" si="26"/>
        <v>0</v>
      </c>
      <c r="AK47" s="207"/>
      <c r="AL47" s="206">
        <f t="shared" si="34"/>
        <v>0</v>
      </c>
      <c r="AM47" s="209"/>
      <c r="AN47" s="49">
        <f t="shared" si="3"/>
        <v>0</v>
      </c>
      <c r="AO47" s="49"/>
      <c r="AP47" s="221"/>
      <c r="AQ47" s="49"/>
      <c r="AR47" s="49"/>
      <c r="AS47" s="222"/>
      <c r="AT47" s="49"/>
      <c r="AU47" s="50"/>
      <c r="AV47" s="49"/>
      <c r="AW47" s="194">
        <f t="shared" si="5"/>
        <v>0</v>
      </c>
      <c r="AX47" s="245"/>
      <c r="AY47" s="246">
        <v>0.2</v>
      </c>
      <c r="AZ47" s="69">
        <f t="shared" si="35"/>
        <v>0</v>
      </c>
      <c r="BA47" s="69"/>
      <c r="BB47" s="50">
        <f t="shared" si="7"/>
        <v>0</v>
      </c>
      <c r="BC47" s="247"/>
      <c r="BD47" s="384" t="s">
        <v>764</v>
      </c>
      <c r="BE47" s="150"/>
    </row>
    <row r="48" s="133" customFormat="1" ht="29" customHeight="1" spans="1:57">
      <c r="A48" s="150">
        <v>27</v>
      </c>
      <c r="B48" s="15" t="s">
        <v>765</v>
      </c>
      <c r="C48" s="15" t="s">
        <v>765</v>
      </c>
      <c r="D48" s="15"/>
      <c r="E48" s="15"/>
      <c r="F48" s="15"/>
      <c r="G48" s="15"/>
      <c r="H48" s="15"/>
      <c r="I48" s="15"/>
      <c r="J48" s="165"/>
      <c r="K48" s="171"/>
      <c r="L48" s="185">
        <v>0</v>
      </c>
      <c r="M48" s="50">
        <v>0</v>
      </c>
      <c r="N48" s="50">
        <v>0</v>
      </c>
      <c r="O48" s="50"/>
      <c r="P48" s="50"/>
      <c r="Q48" s="50"/>
      <c r="R48" s="50"/>
      <c r="S48" s="50"/>
      <c r="T48" s="50"/>
      <c r="U48" s="50"/>
      <c r="V48" s="50"/>
      <c r="W48" s="50"/>
      <c r="X48" s="50">
        <f t="shared" si="31"/>
        <v>30339</v>
      </c>
      <c r="Y48" s="49">
        <f t="shared" si="30"/>
        <v>30339</v>
      </c>
      <c r="Z48" s="49">
        <f t="shared" si="10"/>
        <v>30339</v>
      </c>
      <c r="AA48" s="194">
        <v>30339</v>
      </c>
      <c r="AB48" s="196">
        <v>0.25</v>
      </c>
      <c r="AC48" s="57">
        <f t="shared" ref="AC48:AC51" si="36">ROUND(AA48*AB48,)</f>
        <v>7585</v>
      </c>
      <c r="AD48" s="194"/>
      <c r="AE48" s="196"/>
      <c r="AF48" s="57">
        <f t="shared" ref="AF48:AF51" si="37">ROUND(AD48*AE48,)</f>
        <v>0</v>
      </c>
      <c r="AG48" s="194"/>
      <c r="AH48" s="206">
        <f t="shared" si="33"/>
        <v>0</v>
      </c>
      <c r="AI48" s="205"/>
      <c r="AJ48" s="50">
        <f t="shared" si="26"/>
        <v>0</v>
      </c>
      <c r="AK48" s="194"/>
      <c r="AL48" s="206">
        <f t="shared" si="34"/>
        <v>0</v>
      </c>
      <c r="AM48" s="205"/>
      <c r="AN48" s="50">
        <f t="shared" si="3"/>
        <v>0</v>
      </c>
      <c r="AO48" s="50"/>
      <c r="AP48" s="216"/>
      <c r="AQ48" s="50"/>
      <c r="AR48" s="10"/>
      <c r="AS48" s="218"/>
      <c r="AT48" s="10">
        <f t="shared" ref="AT48:AT51" si="38">AS48*AR48</f>
        <v>0</v>
      </c>
      <c r="AU48" s="50"/>
      <c r="AV48" s="50"/>
      <c r="AW48" s="194">
        <f t="shared" si="5"/>
        <v>7585</v>
      </c>
      <c r="AX48" s="57"/>
      <c r="AY48" s="233"/>
      <c r="AZ48" s="57">
        <f t="shared" si="35"/>
        <v>0</v>
      </c>
      <c r="BA48" s="206">
        <f t="shared" ref="BA48:BA51" si="39">AZ48</f>
        <v>0</v>
      </c>
      <c r="BB48" s="50">
        <f t="shared" si="7"/>
        <v>7585</v>
      </c>
      <c r="BC48" s="15"/>
      <c r="BD48" s="380" t="s">
        <v>766</v>
      </c>
      <c r="BE48" s="150"/>
    </row>
    <row r="49" s="133" customFormat="1" ht="29" customHeight="1" spans="1:57">
      <c r="A49" s="150">
        <v>28</v>
      </c>
      <c r="B49" s="15" t="s">
        <v>767</v>
      </c>
      <c r="C49" s="15" t="s">
        <v>767</v>
      </c>
      <c r="D49" s="15"/>
      <c r="E49" s="15"/>
      <c r="F49" s="15"/>
      <c r="G49" s="15"/>
      <c r="H49" s="15"/>
      <c r="I49" s="15"/>
      <c r="J49" s="165"/>
      <c r="K49" s="171"/>
      <c r="L49" s="185">
        <v>0</v>
      </c>
      <c r="M49" s="50">
        <v>0</v>
      </c>
      <c r="N49" s="50">
        <v>0</v>
      </c>
      <c r="O49" s="50"/>
      <c r="P49" s="50"/>
      <c r="Q49" s="50"/>
      <c r="R49" s="50"/>
      <c r="S49" s="50"/>
      <c r="T49" s="50"/>
      <c r="U49" s="50"/>
      <c r="V49" s="50"/>
      <c r="W49" s="50"/>
      <c r="X49" s="50">
        <f t="shared" si="31"/>
        <v>0</v>
      </c>
      <c r="Y49" s="49">
        <f t="shared" si="30"/>
        <v>0</v>
      </c>
      <c r="Z49" s="49">
        <f t="shared" si="10"/>
        <v>0</v>
      </c>
      <c r="AA49" s="194"/>
      <c r="AB49" s="196">
        <v>0.25</v>
      </c>
      <c r="AC49" s="57">
        <f t="shared" si="36"/>
        <v>0</v>
      </c>
      <c r="AD49" s="194"/>
      <c r="AE49" s="196"/>
      <c r="AF49" s="57">
        <f t="shared" si="37"/>
        <v>0</v>
      </c>
      <c r="AG49" s="194"/>
      <c r="AH49" s="206">
        <f t="shared" si="33"/>
        <v>0</v>
      </c>
      <c r="AI49" s="205"/>
      <c r="AJ49" s="50">
        <f t="shared" si="26"/>
        <v>0</v>
      </c>
      <c r="AK49" s="194"/>
      <c r="AL49" s="206">
        <f t="shared" si="34"/>
        <v>0</v>
      </c>
      <c r="AM49" s="205"/>
      <c r="AN49" s="50">
        <f t="shared" si="3"/>
        <v>0</v>
      </c>
      <c r="AO49" s="50"/>
      <c r="AP49" s="216"/>
      <c r="AQ49" s="50"/>
      <c r="AR49" s="10"/>
      <c r="AS49" s="218"/>
      <c r="AT49" s="10">
        <f t="shared" si="38"/>
        <v>0</v>
      </c>
      <c r="AU49" s="50"/>
      <c r="AV49" s="50"/>
      <c r="AW49" s="194">
        <f t="shared" si="5"/>
        <v>0</v>
      </c>
      <c r="AX49" s="57"/>
      <c r="AY49" s="233"/>
      <c r="AZ49" s="57">
        <f t="shared" si="35"/>
        <v>0</v>
      </c>
      <c r="BA49" s="206">
        <f t="shared" si="39"/>
        <v>0</v>
      </c>
      <c r="BB49" s="50">
        <f t="shared" si="7"/>
        <v>0</v>
      </c>
      <c r="BC49" s="15"/>
      <c r="BD49" s="383" t="s">
        <v>768</v>
      </c>
      <c r="BE49" s="150"/>
    </row>
    <row r="50" s="133" customFormat="1" ht="29" customHeight="1" spans="1:57">
      <c r="A50" s="150">
        <v>29</v>
      </c>
      <c r="B50" s="15" t="s">
        <v>769</v>
      </c>
      <c r="C50" s="15" t="s">
        <v>769</v>
      </c>
      <c r="D50" s="15"/>
      <c r="E50" s="15"/>
      <c r="F50" s="15"/>
      <c r="G50" s="15"/>
      <c r="H50" s="15"/>
      <c r="I50" s="15"/>
      <c r="J50" s="165"/>
      <c r="K50" s="171"/>
      <c r="L50" s="185">
        <v>0</v>
      </c>
      <c r="M50" s="50">
        <v>0</v>
      </c>
      <c r="N50" s="50">
        <v>0</v>
      </c>
      <c r="O50" s="50"/>
      <c r="P50" s="50"/>
      <c r="Q50" s="50"/>
      <c r="R50" s="50"/>
      <c r="S50" s="50"/>
      <c r="T50" s="50"/>
      <c r="U50" s="50"/>
      <c r="V50" s="50"/>
      <c r="W50" s="50"/>
      <c r="X50" s="50">
        <f t="shared" si="31"/>
        <v>0</v>
      </c>
      <c r="Y50" s="49">
        <f t="shared" si="30"/>
        <v>0</v>
      </c>
      <c r="Z50" s="49">
        <f t="shared" si="10"/>
        <v>0</v>
      </c>
      <c r="AA50" s="194"/>
      <c r="AB50" s="196">
        <v>0.25</v>
      </c>
      <c r="AC50" s="57">
        <f t="shared" si="36"/>
        <v>0</v>
      </c>
      <c r="AD50" s="194"/>
      <c r="AE50" s="196"/>
      <c r="AF50" s="57">
        <f t="shared" si="37"/>
        <v>0</v>
      </c>
      <c r="AG50" s="194"/>
      <c r="AH50" s="206">
        <f t="shared" si="33"/>
        <v>0</v>
      </c>
      <c r="AI50" s="205"/>
      <c r="AJ50" s="50">
        <f t="shared" si="26"/>
        <v>0</v>
      </c>
      <c r="AK50" s="194"/>
      <c r="AL50" s="206">
        <f t="shared" si="34"/>
        <v>0</v>
      </c>
      <c r="AM50" s="205"/>
      <c r="AN50" s="50">
        <f t="shared" si="3"/>
        <v>0</v>
      </c>
      <c r="AO50" s="50"/>
      <c r="AP50" s="216"/>
      <c r="AQ50" s="50"/>
      <c r="AR50" s="10"/>
      <c r="AS50" s="218"/>
      <c r="AT50" s="10">
        <f t="shared" si="38"/>
        <v>0</v>
      </c>
      <c r="AU50" s="50"/>
      <c r="AV50" s="50"/>
      <c r="AW50" s="194">
        <f t="shared" si="5"/>
        <v>0</v>
      </c>
      <c r="AX50" s="57"/>
      <c r="AY50" s="233"/>
      <c r="AZ50" s="57">
        <f t="shared" si="35"/>
        <v>0</v>
      </c>
      <c r="BA50" s="206">
        <f t="shared" si="39"/>
        <v>0</v>
      </c>
      <c r="BB50" s="50">
        <f t="shared" si="7"/>
        <v>0</v>
      </c>
      <c r="BC50" s="15"/>
      <c r="BD50" s="244" t="s">
        <v>770</v>
      </c>
      <c r="BE50" s="150"/>
    </row>
    <row r="51" s="133" customFormat="1" ht="29" customHeight="1" spans="1:57">
      <c r="A51" s="150">
        <v>30</v>
      </c>
      <c r="B51" s="15" t="s">
        <v>129</v>
      </c>
      <c r="C51" s="15" t="s">
        <v>129</v>
      </c>
      <c r="D51" s="15"/>
      <c r="E51" s="15"/>
      <c r="F51" s="15"/>
      <c r="G51" s="15"/>
      <c r="H51" s="15"/>
      <c r="I51" s="15"/>
      <c r="J51" s="165"/>
      <c r="K51" s="171"/>
      <c r="L51" s="185">
        <v>8890.96</v>
      </c>
      <c r="M51" s="50">
        <v>15666.17</v>
      </c>
      <c r="N51" s="171">
        <v>0</v>
      </c>
      <c r="O51" s="50"/>
      <c r="P51" s="50"/>
      <c r="Q51" s="50"/>
      <c r="R51" s="50"/>
      <c r="S51" s="50"/>
      <c r="T51" s="50"/>
      <c r="U51" s="50"/>
      <c r="V51" s="50"/>
      <c r="W51" s="50"/>
      <c r="X51" s="50">
        <f t="shared" si="31"/>
        <v>0</v>
      </c>
      <c r="Y51" s="49">
        <f t="shared" si="30"/>
        <v>0</v>
      </c>
      <c r="Z51" s="49">
        <f t="shared" si="10"/>
        <v>0</v>
      </c>
      <c r="AA51" s="194"/>
      <c r="AB51" s="196">
        <v>0.25</v>
      </c>
      <c r="AC51" s="57">
        <f t="shared" si="36"/>
        <v>0</v>
      </c>
      <c r="AD51" s="194"/>
      <c r="AE51" s="196"/>
      <c r="AF51" s="57">
        <f t="shared" si="37"/>
        <v>0</v>
      </c>
      <c r="AG51" s="194"/>
      <c r="AH51" s="206">
        <f t="shared" si="33"/>
        <v>0</v>
      </c>
      <c r="AI51" s="205">
        <v>0.13</v>
      </c>
      <c r="AJ51" s="50">
        <f t="shared" si="26"/>
        <v>0</v>
      </c>
      <c r="AK51" s="194"/>
      <c r="AL51" s="206">
        <f t="shared" si="34"/>
        <v>0</v>
      </c>
      <c r="AM51" s="205"/>
      <c r="AN51" s="50">
        <f t="shared" si="3"/>
        <v>0</v>
      </c>
      <c r="AO51" s="50"/>
      <c r="AP51" s="216"/>
      <c r="AQ51" s="50"/>
      <c r="AR51" s="10"/>
      <c r="AS51" s="218"/>
      <c r="AT51" s="10">
        <f t="shared" si="38"/>
        <v>0</v>
      </c>
      <c r="AU51" s="50"/>
      <c r="AV51" s="50"/>
      <c r="AW51" s="194">
        <f t="shared" si="5"/>
        <v>0</v>
      </c>
      <c r="AX51" s="57"/>
      <c r="AY51" s="233"/>
      <c r="AZ51" s="57">
        <f t="shared" si="35"/>
        <v>0</v>
      </c>
      <c r="BA51" s="206">
        <f t="shared" si="39"/>
        <v>0</v>
      </c>
      <c r="BB51" s="50">
        <f t="shared" si="7"/>
        <v>0</v>
      </c>
      <c r="BC51" s="15"/>
      <c r="BD51" s="380" t="s">
        <v>130</v>
      </c>
      <c r="BE51" s="150"/>
    </row>
    <row r="52" s="133" customFormat="1" ht="29" customHeight="1" spans="1:57">
      <c r="A52" s="150">
        <v>31</v>
      </c>
      <c r="B52" s="15" t="s">
        <v>771</v>
      </c>
      <c r="C52" s="15" t="s">
        <v>771</v>
      </c>
      <c r="D52" s="15"/>
      <c r="E52" s="15"/>
      <c r="F52" s="15"/>
      <c r="G52" s="15"/>
      <c r="H52" s="15"/>
      <c r="I52" s="15"/>
      <c r="J52" s="15"/>
      <c r="K52" s="171"/>
      <c r="L52" s="185">
        <v>0</v>
      </c>
      <c r="M52" s="171"/>
      <c r="N52" s="50">
        <v>0</v>
      </c>
      <c r="O52" s="50"/>
      <c r="P52" s="50"/>
      <c r="Q52" s="50"/>
      <c r="R52" s="171"/>
      <c r="S52" s="50"/>
      <c r="T52" s="50"/>
      <c r="U52" s="50"/>
      <c r="V52" s="50"/>
      <c r="W52" s="50"/>
      <c r="X52" s="50">
        <f t="shared" si="31"/>
        <v>0</v>
      </c>
      <c r="Y52" s="49">
        <f t="shared" si="30"/>
        <v>0</v>
      </c>
      <c r="Z52" s="49">
        <f t="shared" si="10"/>
        <v>0</v>
      </c>
      <c r="AA52" s="199"/>
      <c r="AB52" s="196">
        <v>0.25</v>
      </c>
      <c r="AC52" s="69">
        <f t="shared" ref="AC52:AC54" si="40">AA52*AB52</f>
        <v>0</v>
      </c>
      <c r="AD52" s="199"/>
      <c r="AE52" s="196"/>
      <c r="AF52" s="69">
        <f t="shared" ref="AF52:AF54" si="41">AD52*AE52</f>
        <v>0</v>
      </c>
      <c r="AG52" s="207"/>
      <c r="AH52" s="208">
        <f t="shared" si="33"/>
        <v>0</v>
      </c>
      <c r="AI52" s="209"/>
      <c r="AJ52" s="49">
        <f t="shared" si="26"/>
        <v>0</v>
      </c>
      <c r="AK52" s="207"/>
      <c r="AL52" s="206">
        <f t="shared" si="34"/>
        <v>0</v>
      </c>
      <c r="AM52" s="209"/>
      <c r="AN52" s="49">
        <f t="shared" si="3"/>
        <v>0</v>
      </c>
      <c r="AO52" s="49"/>
      <c r="AP52" s="221"/>
      <c r="AQ52" s="49"/>
      <c r="AR52" s="49"/>
      <c r="AS52" s="222"/>
      <c r="AT52" s="49"/>
      <c r="AU52" s="50"/>
      <c r="AV52" s="49"/>
      <c r="AW52" s="194">
        <f t="shared" si="5"/>
        <v>0</v>
      </c>
      <c r="AX52" s="245"/>
      <c r="AY52" s="246">
        <v>0.2</v>
      </c>
      <c r="AZ52" s="69">
        <f t="shared" si="35"/>
        <v>0</v>
      </c>
      <c r="BA52" s="69"/>
      <c r="BB52" s="50">
        <f t="shared" si="7"/>
        <v>0</v>
      </c>
      <c r="BC52" s="247"/>
      <c r="BD52" s="384" t="s">
        <v>772</v>
      </c>
      <c r="BE52" s="150"/>
    </row>
    <row r="53" s="133" customFormat="1" ht="29" customHeight="1" spans="1:57">
      <c r="A53" s="150">
        <v>32</v>
      </c>
      <c r="B53" s="15" t="s">
        <v>771</v>
      </c>
      <c r="C53" s="15" t="s">
        <v>773</v>
      </c>
      <c r="D53" s="15"/>
      <c r="E53" s="15"/>
      <c r="F53" s="15"/>
      <c r="G53" s="15"/>
      <c r="H53" s="15"/>
      <c r="I53" s="15"/>
      <c r="J53" s="15"/>
      <c r="K53" s="171"/>
      <c r="L53" s="185">
        <v>4817.32</v>
      </c>
      <c r="M53" s="171"/>
      <c r="N53" s="50">
        <v>0</v>
      </c>
      <c r="O53" s="50"/>
      <c r="P53" s="50"/>
      <c r="Q53" s="50"/>
      <c r="R53" s="171"/>
      <c r="S53" s="50"/>
      <c r="T53" s="50"/>
      <c r="U53" s="50"/>
      <c r="V53" s="50"/>
      <c r="W53" s="50"/>
      <c r="X53" s="50">
        <f t="shared" si="31"/>
        <v>0</v>
      </c>
      <c r="Y53" s="49">
        <f t="shared" si="30"/>
        <v>0</v>
      </c>
      <c r="Z53" s="49">
        <f t="shared" si="10"/>
        <v>0</v>
      </c>
      <c r="AA53" s="199"/>
      <c r="AB53" s="200">
        <v>0.3</v>
      </c>
      <c r="AC53" s="69">
        <f t="shared" si="40"/>
        <v>0</v>
      </c>
      <c r="AD53" s="199"/>
      <c r="AE53" s="200"/>
      <c r="AF53" s="69">
        <f t="shared" si="41"/>
        <v>0</v>
      </c>
      <c r="AG53" s="207"/>
      <c r="AH53" s="208">
        <f t="shared" si="33"/>
        <v>0</v>
      </c>
      <c r="AI53" s="209">
        <v>0.13</v>
      </c>
      <c r="AJ53" s="49">
        <f t="shared" si="26"/>
        <v>0</v>
      </c>
      <c r="AK53" s="207"/>
      <c r="AL53" s="206">
        <f t="shared" si="34"/>
        <v>0</v>
      </c>
      <c r="AM53" s="209">
        <v>0.13</v>
      </c>
      <c r="AN53" s="49">
        <f t="shared" si="3"/>
        <v>0</v>
      </c>
      <c r="AO53" s="49"/>
      <c r="AP53" s="221"/>
      <c r="AQ53" s="49"/>
      <c r="AR53" s="49"/>
      <c r="AS53" s="222"/>
      <c r="AT53" s="49"/>
      <c r="AU53" s="50"/>
      <c r="AV53" s="49"/>
      <c r="AW53" s="194">
        <f t="shared" si="5"/>
        <v>0</v>
      </c>
      <c r="AX53" s="245"/>
      <c r="AY53" s="246">
        <v>0.2</v>
      </c>
      <c r="AZ53" s="69">
        <f t="shared" si="35"/>
        <v>0</v>
      </c>
      <c r="BA53" s="69"/>
      <c r="BB53" s="50">
        <f t="shared" si="7"/>
        <v>0</v>
      </c>
      <c r="BC53" s="247"/>
      <c r="BD53" s="384" t="s">
        <v>772</v>
      </c>
      <c r="BE53" s="150"/>
    </row>
    <row r="54" s="133" customFormat="1" ht="29" hidden="1" customHeight="1" spans="1:57">
      <c r="A54" s="150">
        <v>22</v>
      </c>
      <c r="B54" s="150"/>
      <c r="C54" s="15"/>
      <c r="D54" s="15"/>
      <c r="E54" s="15"/>
      <c r="F54" s="15"/>
      <c r="G54" s="15"/>
      <c r="H54" s="15"/>
      <c r="I54" s="15"/>
      <c r="J54" s="15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50">
        <f>AA54+AX54+AH54</f>
        <v>0</v>
      </c>
      <c r="Y54" s="49">
        <f>AA54+AG54+AX54</f>
        <v>0</v>
      </c>
      <c r="Z54" s="49">
        <f>AA54+AG54</f>
        <v>0</v>
      </c>
      <c r="AA54" s="199"/>
      <c r="AB54" s="200">
        <v>0.2</v>
      </c>
      <c r="AC54" s="69">
        <f t="shared" si="40"/>
        <v>0</v>
      </c>
      <c r="AD54" s="199"/>
      <c r="AE54" s="200">
        <v>0.2</v>
      </c>
      <c r="AF54" s="69">
        <f t="shared" si="41"/>
        <v>0</v>
      </c>
      <c r="AG54" s="207"/>
      <c r="AH54" s="208">
        <f t="shared" si="33"/>
        <v>0</v>
      </c>
      <c r="AI54" s="209"/>
      <c r="AJ54" s="49">
        <f t="shared" si="26"/>
        <v>0</v>
      </c>
      <c r="AK54" s="207"/>
      <c r="AL54" s="208">
        <f t="shared" si="34"/>
        <v>0</v>
      </c>
      <c r="AM54" s="209"/>
      <c r="AN54" s="49">
        <f t="shared" si="3"/>
        <v>0</v>
      </c>
      <c r="AO54" s="49"/>
      <c r="AP54" s="221"/>
      <c r="AQ54" s="49"/>
      <c r="AR54" s="49"/>
      <c r="AS54" s="222"/>
      <c r="AT54" s="49"/>
      <c r="AU54" s="49"/>
      <c r="AV54" s="49"/>
      <c r="AW54" s="69"/>
      <c r="AX54" s="245"/>
      <c r="AY54" s="246">
        <v>0.2</v>
      </c>
      <c r="AZ54" s="69">
        <f t="shared" si="35"/>
        <v>0</v>
      </c>
      <c r="BA54" s="69"/>
      <c r="BB54" s="49">
        <f>ROUND(AC54+AJ54-AU54+AV54+AZ54,)</f>
        <v>0</v>
      </c>
      <c r="BC54" s="248"/>
      <c r="BD54" s="235"/>
      <c r="BE54" s="150"/>
    </row>
    <row r="55" s="133" customFormat="1" ht="41" customHeight="1" spans="1:57">
      <c r="A55" s="21"/>
      <c r="B55" s="21"/>
      <c r="C55" s="167" t="s">
        <v>16</v>
      </c>
      <c r="D55" s="167"/>
      <c r="E55" s="167"/>
      <c r="F55" s="167"/>
      <c r="G55" s="167"/>
      <c r="H55" s="167"/>
      <c r="I55" s="167"/>
      <c r="J55" s="167"/>
      <c r="K55" s="186"/>
      <c r="L55" s="186"/>
      <c r="M55" s="186"/>
      <c r="N55" s="186"/>
      <c r="O55" s="186"/>
      <c r="P55" s="186"/>
      <c r="Q55" s="186"/>
      <c r="R55" s="188">
        <f>SUM(R5:R54)</f>
        <v>0</v>
      </c>
      <c r="S55" s="188">
        <f>SUM(S5:S54)</f>
        <v>0</v>
      </c>
      <c r="T55" s="186"/>
      <c r="U55" s="186"/>
      <c r="V55" s="186"/>
      <c r="W55" s="186"/>
      <c r="X55" s="189">
        <f>SUM(X4:X53)</f>
        <v>5832257.53</v>
      </c>
      <c r="Y55" s="189">
        <f t="shared" ref="Y55:AA55" si="42">SUM(Y4:Y54)</f>
        <v>5832257.53</v>
      </c>
      <c r="Z55" s="189">
        <f t="shared" si="42"/>
        <v>6260484</v>
      </c>
      <c r="AA55" s="189">
        <f t="shared" si="42"/>
        <v>5996994</v>
      </c>
      <c r="AB55" s="189"/>
      <c r="AC55" s="189">
        <f t="shared" ref="AC55:AF55" si="43">SUM(AC4:AC54)</f>
        <v>1517245</v>
      </c>
      <c r="AD55" s="189">
        <f t="shared" si="43"/>
        <v>18545</v>
      </c>
      <c r="AE55" s="189"/>
      <c r="AF55" s="189">
        <f t="shared" si="43"/>
        <v>0</v>
      </c>
      <c r="AG55" s="189">
        <f>SUM(AG4:AG53)</f>
        <v>163696</v>
      </c>
      <c r="AH55" s="189">
        <f>SUM(AH4:AH53)</f>
        <v>149622.53</v>
      </c>
      <c r="AI55" s="189"/>
      <c r="AJ55" s="189">
        <f t="shared" ref="AJ55:AL55" si="44">SUM(AJ4:AJ54)</f>
        <v>18472.8258</v>
      </c>
      <c r="AK55" s="189">
        <f t="shared" si="44"/>
        <v>81249</v>
      </c>
      <c r="AL55" s="189">
        <f t="shared" si="44"/>
        <v>81249</v>
      </c>
      <c r="AM55" s="189"/>
      <c r="AN55" s="189">
        <f t="shared" ref="AN55:AX55" si="45">SUM(AN4:AN54)</f>
        <v>16249.8</v>
      </c>
      <c r="AO55" s="189"/>
      <c r="AP55" s="223"/>
      <c r="AQ55" s="189">
        <f t="shared" si="45"/>
        <v>107332.95</v>
      </c>
      <c r="AR55" s="189">
        <f t="shared" si="45"/>
        <v>259590</v>
      </c>
      <c r="AS55" s="189">
        <f t="shared" si="45"/>
        <v>0.49</v>
      </c>
      <c r="AT55" s="189">
        <f t="shared" si="45"/>
        <v>12979.5</v>
      </c>
      <c r="AU55" s="189">
        <f t="shared" si="45"/>
        <v>9048.848</v>
      </c>
      <c r="AV55" s="189">
        <f t="shared" si="45"/>
        <v>8000</v>
      </c>
      <c r="AW55" s="189">
        <f t="shared" si="45"/>
        <v>1671234</v>
      </c>
      <c r="AX55" s="189">
        <f t="shared" si="45"/>
        <v>0</v>
      </c>
      <c r="AY55" s="189"/>
      <c r="AZ55" s="189">
        <f>SUM(AZ4:AZ54)</f>
        <v>0</v>
      </c>
      <c r="BA55" s="189">
        <f>SUM(BA4:BA54)</f>
        <v>0</v>
      </c>
      <c r="BB55" s="189">
        <f>SUM(BB4:BB54,)</f>
        <v>1671234</v>
      </c>
      <c r="BC55" s="249"/>
      <c r="BD55" s="250"/>
      <c r="BE55" s="21"/>
    </row>
    <row r="56" s="133" customFormat="1" customHeight="1" spans="1:57">
      <c r="A56" s="168"/>
      <c r="B56" s="168"/>
      <c r="C56" s="169"/>
      <c r="D56" s="169"/>
      <c r="E56" s="169"/>
      <c r="F56" s="169"/>
      <c r="G56" s="169"/>
      <c r="H56" s="169"/>
      <c r="I56" s="169"/>
      <c r="J56" s="169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42"/>
      <c r="Y56" s="142" t="s">
        <v>4</v>
      </c>
      <c r="Z56" s="142">
        <v>5187813</v>
      </c>
      <c r="AA56" s="201" t="s">
        <v>774</v>
      </c>
      <c r="AB56" s="201"/>
      <c r="AC56" s="201"/>
      <c r="AD56" s="142"/>
      <c r="AE56" s="169" t="s">
        <v>19</v>
      </c>
      <c r="AF56" s="202">
        <v>480</v>
      </c>
      <c r="AG56" s="142" t="s">
        <v>775</v>
      </c>
      <c r="AH56" s="202">
        <v>12151</v>
      </c>
      <c r="AI56" s="210"/>
      <c r="AJ56" s="202"/>
      <c r="AK56" s="142"/>
      <c r="AL56" s="202"/>
      <c r="AM56" s="210"/>
      <c r="AN56" s="202"/>
      <c r="AO56" s="202"/>
      <c r="AP56" s="224"/>
      <c r="AQ56" s="202"/>
      <c r="AR56" s="202"/>
      <c r="AS56" s="225"/>
      <c r="AT56" s="202"/>
      <c r="AU56" s="202"/>
      <c r="AV56" s="202"/>
      <c r="AW56" s="202"/>
      <c r="AX56" s="142"/>
      <c r="AY56" s="202"/>
      <c r="AZ56" s="142"/>
      <c r="BA56" s="142"/>
      <c r="BB56" s="202"/>
      <c r="BC56" s="251"/>
      <c r="BD56" s="252"/>
      <c r="BE56" s="134"/>
    </row>
    <row r="57" s="132" customFormat="1" customHeight="1" spans="1:56">
      <c r="A57" s="135"/>
      <c r="B57" s="135"/>
      <c r="C57" s="144"/>
      <c r="D57" s="144"/>
      <c r="E57" s="144"/>
      <c r="F57" s="144"/>
      <c r="G57" s="144"/>
      <c r="H57" s="144"/>
      <c r="I57" s="144"/>
      <c r="J57" s="135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90"/>
      <c r="Y57" s="138"/>
      <c r="Z57" s="138"/>
      <c r="AA57" s="137"/>
      <c r="AC57" s="137"/>
      <c r="AD57" s="137"/>
      <c r="AF57" s="137"/>
      <c r="AG57" s="211"/>
      <c r="AH57" s="211"/>
      <c r="AI57" s="139"/>
      <c r="AJ57" s="137"/>
      <c r="AK57" s="211"/>
      <c r="AL57" s="211"/>
      <c r="AM57" s="139"/>
      <c r="AN57" s="137"/>
      <c r="AO57" s="137"/>
      <c r="AP57" s="140"/>
      <c r="AQ57" s="137"/>
      <c r="AR57" s="137"/>
      <c r="AS57" s="141"/>
      <c r="AT57" s="137"/>
      <c r="AU57" s="142"/>
      <c r="AV57" s="142"/>
      <c r="AW57" s="142"/>
      <c r="AX57" s="137"/>
      <c r="AY57" s="139"/>
      <c r="AZ57" s="137"/>
      <c r="BA57" s="137"/>
      <c r="BB57" s="137"/>
      <c r="BC57" s="143"/>
      <c r="BD57" s="144"/>
    </row>
    <row r="59" customHeight="1" spans="29:29">
      <c r="AC59" s="203" t="s">
        <v>776</v>
      </c>
    </row>
    <row r="60" customHeight="1" spans="29:29">
      <c r="AC60" s="203" t="s">
        <v>777</v>
      </c>
    </row>
    <row r="61" customHeight="1" spans="29:29">
      <c r="AC61" s="203" t="s">
        <v>778</v>
      </c>
    </row>
    <row r="62" customHeight="1" spans="29:29">
      <c r="AC62" s="137" t="s">
        <v>779</v>
      </c>
    </row>
    <row r="63" customHeight="1" spans="29:29">
      <c r="AC63" s="203"/>
    </row>
    <row r="64" customHeight="1" spans="29:29">
      <c r="AC64" s="203"/>
    </row>
    <row r="65" customHeight="1" spans="29:29">
      <c r="AC65" s="203"/>
    </row>
  </sheetData>
  <mergeCells count="30">
    <mergeCell ref="A1:BD1"/>
    <mergeCell ref="E2:K2"/>
    <mergeCell ref="L2:W2"/>
    <mergeCell ref="AA2:AW2"/>
    <mergeCell ref="AX2:BA2"/>
    <mergeCell ref="AA56:AC56"/>
    <mergeCell ref="A2:A3"/>
    <mergeCell ref="A39:A40"/>
    <mergeCell ref="A43:A44"/>
    <mergeCell ref="B2:B3"/>
    <mergeCell ref="B31:B32"/>
    <mergeCell ref="C2:C3"/>
    <mergeCell ref="D2:D3"/>
    <mergeCell ref="E31:E32"/>
    <mergeCell ref="F31:F32"/>
    <mergeCell ref="G31:G32"/>
    <mergeCell ref="H31:H32"/>
    <mergeCell ref="I31:I32"/>
    <mergeCell ref="I34:I35"/>
    <mergeCell ref="J31:J32"/>
    <mergeCell ref="J34:J35"/>
    <mergeCell ref="L34:L35"/>
    <mergeCell ref="L39:L40"/>
    <mergeCell ref="M39:M40"/>
    <mergeCell ref="X2:X3"/>
    <mergeCell ref="Y2:Y3"/>
    <mergeCell ref="Z2:Z3"/>
    <mergeCell ref="BB2:BB3"/>
    <mergeCell ref="BD2:BD3"/>
    <mergeCell ref="BE2:BE3"/>
  </mergeCells>
  <printOptions horizontalCentered="1"/>
  <pageMargins left="0.31" right="0.31" top="0.75" bottom="0.75" header="0.31" footer="0.31"/>
  <pageSetup paperSize="9" orientation="landscape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90" zoomScaleNormal="90" topLeftCell="B1" workbookViewId="0">
      <selection activeCell="D7" sqref="D7"/>
    </sheetView>
  </sheetViews>
  <sheetFormatPr defaultColWidth="9" defaultRowHeight="41.25" customHeight="1" outlineLevelRow="7" outlineLevelCol="6"/>
  <cols>
    <col min="1" max="1" width="5.275" style="2" customWidth="1"/>
    <col min="2" max="2" width="12.075" style="2" customWidth="1"/>
    <col min="3" max="3" width="14.4416666666667" style="2" customWidth="1"/>
    <col min="4" max="4" width="76.2416666666667" style="3" customWidth="1"/>
    <col min="5" max="5" width="14.45" style="120" customWidth="1"/>
    <col min="6" max="6" width="19.625" style="4" customWidth="1"/>
    <col min="7" max="7" width="17" style="3" customWidth="1"/>
    <col min="8" max="8" width="10.25" style="1" customWidth="1"/>
    <col min="9" max="16384" width="9" style="1"/>
  </cols>
  <sheetData>
    <row r="1" s="1" customFormat="1" ht="39" customHeight="1" spans="1:7">
      <c r="A1" s="121" t="s">
        <v>780</v>
      </c>
      <c r="B1" s="122"/>
      <c r="C1" s="122"/>
      <c r="D1" s="123"/>
      <c r="E1" s="124"/>
      <c r="F1" s="125"/>
      <c r="G1" s="123"/>
    </row>
    <row r="2" s="1" customFormat="1" ht="32" customHeight="1" spans="1:7">
      <c r="A2" s="7" t="s">
        <v>1</v>
      </c>
      <c r="B2" s="8" t="s">
        <v>553</v>
      </c>
      <c r="C2" s="8" t="s">
        <v>5</v>
      </c>
      <c r="D2" s="9" t="s">
        <v>781</v>
      </c>
      <c r="E2" s="126" t="s">
        <v>782</v>
      </c>
      <c r="F2" s="12" t="s">
        <v>7</v>
      </c>
      <c r="G2" s="127" t="s">
        <v>563</v>
      </c>
    </row>
    <row r="3" s="1" customFormat="1" ht="30" customHeight="1" spans="1:7">
      <c r="A3" s="86">
        <v>1</v>
      </c>
      <c r="B3" s="15" t="s">
        <v>659</v>
      </c>
      <c r="C3" s="84">
        <v>513378</v>
      </c>
      <c r="D3" s="16" t="s">
        <v>783</v>
      </c>
      <c r="E3" s="128">
        <v>0.015</v>
      </c>
      <c r="F3" s="20">
        <f t="shared" ref="F3:F7" si="0">ROUND(C3*E3,)</f>
        <v>7701</v>
      </c>
      <c r="G3" s="129" t="s">
        <v>784</v>
      </c>
    </row>
    <row r="4" s="1" customFormat="1" ht="30" customHeight="1" spans="1:7">
      <c r="A4" s="86">
        <v>4</v>
      </c>
      <c r="B4" s="11" t="s">
        <v>619</v>
      </c>
      <c r="C4" s="84">
        <v>94408</v>
      </c>
      <c r="D4" s="16" t="s">
        <v>785</v>
      </c>
      <c r="E4" s="128">
        <v>0.01</v>
      </c>
      <c r="F4" s="20">
        <f t="shared" si="0"/>
        <v>944</v>
      </c>
      <c r="G4" s="130"/>
    </row>
    <row r="5" s="1" customFormat="1" ht="30" customHeight="1" spans="1:7">
      <c r="A5" s="86">
        <v>5</v>
      </c>
      <c r="B5" s="15" t="s">
        <v>693</v>
      </c>
      <c r="C5" s="84">
        <v>286683</v>
      </c>
      <c r="D5" s="16" t="s">
        <v>786</v>
      </c>
      <c r="E5" s="128">
        <v>0.005</v>
      </c>
      <c r="F5" s="20">
        <f t="shared" si="0"/>
        <v>1433</v>
      </c>
      <c r="G5" s="130"/>
    </row>
    <row r="6" s="1" customFormat="1" ht="30" customHeight="1" spans="1:7">
      <c r="A6" s="86">
        <v>6</v>
      </c>
      <c r="B6" s="15" t="s">
        <v>646</v>
      </c>
      <c r="C6" s="84">
        <v>339537</v>
      </c>
      <c r="D6" s="16" t="s">
        <v>787</v>
      </c>
      <c r="E6" s="128">
        <v>0.02</v>
      </c>
      <c r="F6" s="20">
        <f t="shared" si="0"/>
        <v>6791</v>
      </c>
      <c r="G6" s="130"/>
    </row>
    <row r="7" s="1" customFormat="1" ht="30" customHeight="1" spans="1:7">
      <c r="A7" s="86">
        <v>7</v>
      </c>
      <c r="B7" s="15" t="s">
        <v>594</v>
      </c>
      <c r="C7" s="84">
        <v>297575</v>
      </c>
      <c r="D7" s="16" t="s">
        <v>788</v>
      </c>
      <c r="E7" s="128">
        <v>0.015</v>
      </c>
      <c r="F7" s="20">
        <f t="shared" si="0"/>
        <v>4464</v>
      </c>
      <c r="G7" s="130"/>
    </row>
    <row r="8" s="1" customFormat="1" ht="54" customHeight="1" spans="1:7">
      <c r="A8" s="21" t="s">
        <v>16</v>
      </c>
      <c r="B8" s="22"/>
      <c r="C8" s="22"/>
      <c r="D8" s="23"/>
      <c r="E8" s="131"/>
      <c r="F8" s="24">
        <f>SUM(F3:F7)</f>
        <v>21333</v>
      </c>
      <c r="G8" s="23"/>
    </row>
  </sheetData>
  <mergeCells count="1">
    <mergeCell ref="A1:G1"/>
  </mergeCells>
  <pageMargins left="0.75" right="0.75" top="1" bottom="1" header="0.51" footer="0.51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9"/>
  <sheetViews>
    <sheetView zoomScale="80" zoomScaleNormal="80" topLeftCell="A57" workbookViewId="0">
      <selection activeCell="S68" sqref="S68:T71"/>
    </sheetView>
  </sheetViews>
  <sheetFormatPr defaultColWidth="9" defaultRowHeight="41.25" customHeight="1"/>
  <cols>
    <col min="1" max="1" width="5.275" style="2" customWidth="1"/>
    <col min="2" max="2" width="12.075" style="2" hidden="1" customWidth="1"/>
    <col min="3" max="3" width="8.59166666666667" style="29" customWidth="1"/>
    <col min="4" max="4" width="12.3416666666667" style="29" customWidth="1"/>
    <col min="5" max="5" width="9.99166666666667" style="29" customWidth="1"/>
    <col min="6" max="6" width="11.875" style="30" customWidth="1"/>
    <col min="7" max="7" width="7.34166666666667" style="31" customWidth="1"/>
    <col min="8" max="8" width="12.0333333333333" style="4" customWidth="1"/>
    <col min="9" max="9" width="11.7166666666667" style="30" customWidth="1"/>
    <col min="10" max="10" width="7.025" style="31" customWidth="1"/>
    <col min="11" max="11" width="10.625" style="4" customWidth="1"/>
    <col min="12" max="12" width="6.86666666666667" style="4" customWidth="1"/>
    <col min="13" max="13" width="8.43333333333333" style="4" customWidth="1"/>
    <col min="14" max="14" width="7.96666666666667" style="4" customWidth="1"/>
    <col min="15" max="15" width="9.21666666666667" style="4" customWidth="1"/>
    <col min="16" max="16" width="8.43333333333333" style="4" customWidth="1"/>
    <col min="17" max="17" width="7.96666666666667" style="4" customWidth="1"/>
    <col min="18" max="18" width="10" style="4" customWidth="1"/>
    <col min="19" max="19" width="13.7416666666667" style="4" customWidth="1"/>
    <col min="20" max="20" width="25.7833333333333" style="32" customWidth="1"/>
    <col min="21" max="21" width="14.8416666666667" style="2" customWidth="1"/>
    <col min="22" max="22" width="26.7083333333333" style="2" hidden="1" customWidth="1"/>
    <col min="23" max="23" width="24.6916666666667" style="4" hidden="1" customWidth="1"/>
    <col min="24" max="16384" width="9" style="1"/>
  </cols>
  <sheetData>
    <row r="1" s="1" customFormat="1" ht="31" customHeight="1" spans="1:23">
      <c r="A1" s="33" t="s">
        <v>789</v>
      </c>
      <c r="B1" s="33"/>
      <c r="C1" s="34"/>
      <c r="D1" s="34"/>
      <c r="E1" s="34"/>
      <c r="F1" s="35"/>
      <c r="G1" s="36"/>
      <c r="H1" s="37"/>
      <c r="I1" s="35"/>
      <c r="J1" s="36"/>
      <c r="K1" s="37"/>
      <c r="L1" s="37"/>
      <c r="M1" s="37"/>
      <c r="N1" s="37"/>
      <c r="O1" s="37"/>
      <c r="P1" s="37"/>
      <c r="Q1" s="37"/>
      <c r="R1" s="37"/>
      <c r="S1" s="33"/>
      <c r="T1" s="77"/>
      <c r="U1" s="33"/>
      <c r="V1" s="5"/>
      <c r="W1" s="6"/>
    </row>
    <row r="2" s="1" customFormat="1" ht="26" customHeight="1" spans="1:23">
      <c r="A2" s="38" t="s">
        <v>1</v>
      </c>
      <c r="B2" s="39" t="s">
        <v>553</v>
      </c>
      <c r="C2" s="40" t="s">
        <v>790</v>
      </c>
      <c r="D2" s="40" t="s">
        <v>552</v>
      </c>
      <c r="E2" s="40" t="s">
        <v>791</v>
      </c>
      <c r="F2" s="41" t="s">
        <v>792</v>
      </c>
      <c r="G2" s="42"/>
      <c r="H2" s="42"/>
      <c r="I2" s="42"/>
      <c r="J2" s="42"/>
      <c r="K2" s="70"/>
      <c r="L2" s="71" t="s">
        <v>793</v>
      </c>
      <c r="M2" s="72"/>
      <c r="N2" s="73"/>
      <c r="O2" s="71" t="s">
        <v>793</v>
      </c>
      <c r="P2" s="72"/>
      <c r="Q2" s="73"/>
      <c r="R2" s="78" t="s">
        <v>16</v>
      </c>
      <c r="S2" s="78" t="s">
        <v>794</v>
      </c>
      <c r="T2" s="79" t="s">
        <v>562</v>
      </c>
      <c r="U2" s="38" t="s">
        <v>563</v>
      </c>
      <c r="V2" s="80" t="s">
        <v>795</v>
      </c>
      <c r="W2" s="81" t="s">
        <v>795</v>
      </c>
    </row>
    <row r="3" s="1" customFormat="1" ht="26" customHeight="1" spans="1:23">
      <c r="A3" s="43"/>
      <c r="B3" s="39"/>
      <c r="C3" s="44"/>
      <c r="D3" s="44"/>
      <c r="E3" s="44"/>
      <c r="F3" s="45" t="s">
        <v>5</v>
      </c>
      <c r="G3" s="46" t="s">
        <v>6</v>
      </c>
      <c r="H3" s="47" t="s">
        <v>7</v>
      </c>
      <c r="I3" s="45" t="s">
        <v>5</v>
      </c>
      <c r="J3" s="46" t="s">
        <v>6</v>
      </c>
      <c r="K3" s="47" t="s">
        <v>7</v>
      </c>
      <c r="L3" s="74" t="s">
        <v>19</v>
      </c>
      <c r="M3" s="74" t="s">
        <v>14</v>
      </c>
      <c r="N3" s="74" t="s">
        <v>7</v>
      </c>
      <c r="O3" s="74" t="s">
        <v>5</v>
      </c>
      <c r="P3" s="74" t="s">
        <v>14</v>
      </c>
      <c r="Q3" s="74" t="s">
        <v>7</v>
      </c>
      <c r="R3" s="82"/>
      <c r="S3" s="82"/>
      <c r="T3" s="83"/>
      <c r="U3" s="43"/>
      <c r="V3" s="80"/>
      <c r="W3" s="81"/>
    </row>
    <row r="4" s="1" customFormat="1" ht="27" customHeight="1" spans="1:23">
      <c r="A4" s="48">
        <v>1</v>
      </c>
      <c r="B4" s="15"/>
      <c r="C4" s="49" t="s">
        <v>796</v>
      </c>
      <c r="D4" s="50" t="s">
        <v>797</v>
      </c>
      <c r="E4" s="50" t="s">
        <v>798</v>
      </c>
      <c r="F4" s="51"/>
      <c r="G4" s="52">
        <v>0.1</v>
      </c>
      <c r="H4" s="53">
        <f t="shared" ref="H4:H54" si="0">ROUND(F4*G4,)</f>
        <v>0</v>
      </c>
      <c r="I4" s="51"/>
      <c r="J4" s="52">
        <v>0.05</v>
      </c>
      <c r="K4" s="53">
        <f t="shared" ref="K4:K54" si="1">ROUND(I4*J4,)</f>
        <v>0</v>
      </c>
      <c r="L4" s="75"/>
      <c r="M4" s="75">
        <v>400</v>
      </c>
      <c r="N4" s="75">
        <f t="shared" ref="N4:N67" si="2">M4*L4</f>
        <v>0</v>
      </c>
      <c r="O4" s="75"/>
      <c r="P4" s="75"/>
      <c r="Q4" s="75">
        <f t="shared" ref="Q4:Q67" si="3">P4*O4</f>
        <v>0</v>
      </c>
      <c r="R4" s="84">
        <f t="shared" ref="R4:R67" si="4">ROUND(H4+Q4+N4+K4,)</f>
        <v>0</v>
      </c>
      <c r="S4" s="84" t="s">
        <v>52</v>
      </c>
      <c r="T4" s="85" t="s">
        <v>799</v>
      </c>
      <c r="U4" s="86"/>
      <c r="V4" s="87" t="s">
        <v>800</v>
      </c>
      <c r="W4" s="84">
        <f>6194*0.1</f>
        <v>619.4</v>
      </c>
    </row>
    <row r="5" s="1" customFormat="1" ht="27" customHeight="1" spans="1:23">
      <c r="A5" s="48">
        <v>2</v>
      </c>
      <c r="B5" s="15"/>
      <c r="C5" s="54"/>
      <c r="D5" s="50" t="s">
        <v>593</v>
      </c>
      <c r="E5" s="50" t="s">
        <v>593</v>
      </c>
      <c r="F5" s="55">
        <v>7113</v>
      </c>
      <c r="G5" s="52">
        <v>0.1</v>
      </c>
      <c r="H5" s="53">
        <f t="shared" si="0"/>
        <v>711</v>
      </c>
      <c r="I5" s="55">
        <v>20065</v>
      </c>
      <c r="J5" s="52">
        <v>0.05</v>
      </c>
      <c r="K5" s="53">
        <f t="shared" si="1"/>
        <v>1003</v>
      </c>
      <c r="L5" s="75">
        <v>1</v>
      </c>
      <c r="M5" s="75">
        <v>400</v>
      </c>
      <c r="N5" s="75">
        <f t="shared" si="2"/>
        <v>400</v>
      </c>
      <c r="O5" s="75"/>
      <c r="P5" s="75"/>
      <c r="Q5" s="75">
        <f t="shared" si="3"/>
        <v>0</v>
      </c>
      <c r="R5" s="84">
        <f t="shared" si="4"/>
        <v>2114</v>
      </c>
      <c r="S5" s="12" t="s">
        <v>78</v>
      </c>
      <c r="T5" s="85" t="s">
        <v>602</v>
      </c>
      <c r="U5" s="86"/>
      <c r="V5" s="87"/>
      <c r="W5" s="84"/>
    </row>
    <row r="6" s="1" customFormat="1" ht="27" customHeight="1" spans="1:23">
      <c r="A6" s="48">
        <v>3</v>
      </c>
      <c r="B6" s="15"/>
      <c r="C6" s="54"/>
      <c r="D6" s="50" t="s">
        <v>801</v>
      </c>
      <c r="E6" s="50" t="s">
        <v>802</v>
      </c>
      <c r="F6" s="55">
        <v>14290</v>
      </c>
      <c r="G6" s="52">
        <v>0.1</v>
      </c>
      <c r="H6" s="53">
        <f t="shared" si="0"/>
        <v>1429</v>
      </c>
      <c r="I6" s="55">
        <v>43585</v>
      </c>
      <c r="J6" s="52">
        <v>0.05</v>
      </c>
      <c r="K6" s="53">
        <f t="shared" si="1"/>
        <v>2179</v>
      </c>
      <c r="L6" s="75">
        <v>2</v>
      </c>
      <c r="M6" s="75">
        <v>400</v>
      </c>
      <c r="N6" s="75">
        <f t="shared" si="2"/>
        <v>800</v>
      </c>
      <c r="O6" s="75"/>
      <c r="P6" s="75"/>
      <c r="Q6" s="75">
        <f t="shared" si="3"/>
        <v>0</v>
      </c>
      <c r="R6" s="84">
        <f t="shared" si="4"/>
        <v>4408</v>
      </c>
      <c r="S6" s="84" t="s">
        <v>803</v>
      </c>
      <c r="T6" s="85" t="s">
        <v>804</v>
      </c>
      <c r="U6" s="86"/>
      <c r="V6" s="87" t="s">
        <v>805</v>
      </c>
      <c r="W6" s="84">
        <f>12593*0.1</f>
        <v>1259.3</v>
      </c>
    </row>
    <row r="7" s="1" customFormat="1" ht="27" customHeight="1" spans="1:23">
      <c r="A7" s="48">
        <v>4</v>
      </c>
      <c r="B7" s="15"/>
      <c r="C7" s="54"/>
      <c r="D7" s="50" t="s">
        <v>498</v>
      </c>
      <c r="E7" s="50" t="s">
        <v>499</v>
      </c>
      <c r="F7" s="55"/>
      <c r="G7" s="52">
        <v>0.1</v>
      </c>
      <c r="H7" s="53">
        <f t="shared" si="0"/>
        <v>0</v>
      </c>
      <c r="I7" s="55">
        <v>13057</v>
      </c>
      <c r="J7" s="52">
        <v>0.05</v>
      </c>
      <c r="K7" s="53">
        <f t="shared" si="1"/>
        <v>653</v>
      </c>
      <c r="L7" s="75">
        <v>5</v>
      </c>
      <c r="M7" s="75">
        <v>400</v>
      </c>
      <c r="N7" s="75">
        <f t="shared" si="2"/>
        <v>2000</v>
      </c>
      <c r="O7" s="75"/>
      <c r="P7" s="75"/>
      <c r="Q7" s="75">
        <f t="shared" si="3"/>
        <v>0</v>
      </c>
      <c r="R7" s="84">
        <f t="shared" si="4"/>
        <v>2653</v>
      </c>
      <c r="S7" s="84" t="s">
        <v>78</v>
      </c>
      <c r="T7" s="85" t="s">
        <v>806</v>
      </c>
      <c r="U7" s="7"/>
      <c r="V7" s="88"/>
      <c r="W7" s="89"/>
    </row>
    <row r="8" s="1" customFormat="1" ht="27" customHeight="1" spans="1:23">
      <c r="A8" s="48">
        <v>5</v>
      </c>
      <c r="B8" s="15"/>
      <c r="C8" s="54"/>
      <c r="D8" s="50"/>
      <c r="E8" s="50" t="s">
        <v>807</v>
      </c>
      <c r="F8" s="55"/>
      <c r="G8" s="52">
        <v>0.1</v>
      </c>
      <c r="H8" s="53">
        <f t="shared" si="0"/>
        <v>0</v>
      </c>
      <c r="I8" s="55"/>
      <c r="J8" s="52">
        <v>0.05</v>
      </c>
      <c r="K8" s="53">
        <f t="shared" si="1"/>
        <v>0</v>
      </c>
      <c r="L8" s="75"/>
      <c r="M8" s="75">
        <v>400</v>
      </c>
      <c r="N8" s="75">
        <f t="shared" si="2"/>
        <v>0</v>
      </c>
      <c r="O8" s="75"/>
      <c r="P8" s="75"/>
      <c r="Q8" s="75">
        <f t="shared" si="3"/>
        <v>0</v>
      </c>
      <c r="R8" s="84">
        <f t="shared" si="4"/>
        <v>0</v>
      </c>
      <c r="S8" s="84"/>
      <c r="T8" s="85"/>
      <c r="U8" s="7"/>
      <c r="V8" s="88"/>
      <c r="W8" s="89"/>
    </row>
    <row r="9" s="1" customFormat="1" ht="27" customHeight="1" spans="1:23">
      <c r="A9" s="48">
        <v>6</v>
      </c>
      <c r="B9" s="15"/>
      <c r="C9" s="49" t="s">
        <v>808</v>
      </c>
      <c r="D9" s="50" t="s">
        <v>404</v>
      </c>
      <c r="E9" s="50" t="s">
        <v>405</v>
      </c>
      <c r="F9" s="55">
        <v>34239</v>
      </c>
      <c r="G9" s="52">
        <v>0.1</v>
      </c>
      <c r="H9" s="53">
        <f t="shared" si="0"/>
        <v>3424</v>
      </c>
      <c r="I9" s="55">
        <v>22790</v>
      </c>
      <c r="J9" s="52">
        <v>0.05</v>
      </c>
      <c r="K9" s="53">
        <f t="shared" si="1"/>
        <v>1140</v>
      </c>
      <c r="L9" s="75">
        <v>2</v>
      </c>
      <c r="M9" s="75">
        <v>400</v>
      </c>
      <c r="N9" s="75">
        <f t="shared" si="2"/>
        <v>800</v>
      </c>
      <c r="O9" s="75"/>
      <c r="P9" s="75"/>
      <c r="Q9" s="75">
        <f t="shared" si="3"/>
        <v>0</v>
      </c>
      <c r="R9" s="84">
        <f t="shared" si="4"/>
        <v>5364</v>
      </c>
      <c r="S9" s="84" t="s">
        <v>74</v>
      </c>
      <c r="T9" s="85" t="s">
        <v>809</v>
      </c>
      <c r="U9" s="7"/>
      <c r="V9" s="88" t="s">
        <v>810</v>
      </c>
      <c r="W9" s="89">
        <f>9918*0.1</f>
        <v>991.8</v>
      </c>
    </row>
    <row r="10" s="1" customFormat="1" ht="27" customHeight="1" spans="1:23">
      <c r="A10" s="48">
        <v>7</v>
      </c>
      <c r="B10" s="15"/>
      <c r="C10" s="54"/>
      <c r="D10" s="50" t="s">
        <v>402</v>
      </c>
      <c r="E10" s="50" t="s">
        <v>402</v>
      </c>
      <c r="F10" s="55">
        <v>25498</v>
      </c>
      <c r="G10" s="52">
        <v>0.1</v>
      </c>
      <c r="H10" s="53">
        <f t="shared" si="0"/>
        <v>2550</v>
      </c>
      <c r="I10" s="55"/>
      <c r="J10" s="52">
        <v>0.05</v>
      </c>
      <c r="K10" s="53">
        <f t="shared" si="1"/>
        <v>0</v>
      </c>
      <c r="L10" s="75">
        <v>1</v>
      </c>
      <c r="M10" s="75">
        <v>400</v>
      </c>
      <c r="N10" s="75">
        <f t="shared" si="2"/>
        <v>400</v>
      </c>
      <c r="O10" s="75"/>
      <c r="P10" s="75"/>
      <c r="Q10" s="75">
        <f t="shared" si="3"/>
        <v>0</v>
      </c>
      <c r="R10" s="84">
        <f t="shared" si="4"/>
        <v>2950</v>
      </c>
      <c r="S10" s="12" t="s">
        <v>128</v>
      </c>
      <c r="T10" s="85" t="s">
        <v>811</v>
      </c>
      <c r="U10" s="86"/>
      <c r="V10" s="87"/>
      <c r="W10" s="84"/>
    </row>
    <row r="11" s="1" customFormat="1" ht="27" customHeight="1" spans="1:23">
      <c r="A11" s="48">
        <v>8</v>
      </c>
      <c r="B11" s="15"/>
      <c r="C11" s="54"/>
      <c r="D11" s="50" t="s">
        <v>399</v>
      </c>
      <c r="E11" s="50" t="s">
        <v>400</v>
      </c>
      <c r="F11" s="55">
        <v>43690</v>
      </c>
      <c r="G11" s="52">
        <v>0.1</v>
      </c>
      <c r="H11" s="53">
        <f t="shared" si="0"/>
        <v>4369</v>
      </c>
      <c r="I11" s="55">
        <v>41576</v>
      </c>
      <c r="J11" s="52">
        <v>0.05</v>
      </c>
      <c r="K11" s="53">
        <f t="shared" si="1"/>
        <v>2079</v>
      </c>
      <c r="L11" s="75">
        <v>3</v>
      </c>
      <c r="M11" s="75">
        <v>400</v>
      </c>
      <c r="N11" s="75">
        <f t="shared" si="2"/>
        <v>1200</v>
      </c>
      <c r="O11" s="75"/>
      <c r="P11" s="75"/>
      <c r="Q11" s="75">
        <f t="shared" si="3"/>
        <v>0</v>
      </c>
      <c r="R11" s="84">
        <f t="shared" si="4"/>
        <v>7648</v>
      </c>
      <c r="S11" s="84" t="s">
        <v>803</v>
      </c>
      <c r="T11" s="85" t="s">
        <v>401</v>
      </c>
      <c r="U11" s="7"/>
      <c r="V11" s="88" t="s">
        <v>812</v>
      </c>
      <c r="W11" s="89">
        <f>11068*0.1</f>
        <v>1106.8</v>
      </c>
    </row>
    <row r="12" s="1" customFormat="1" ht="27" customHeight="1" spans="1:23">
      <c r="A12" s="48">
        <v>9</v>
      </c>
      <c r="B12" s="15"/>
      <c r="C12" s="49" t="s">
        <v>813</v>
      </c>
      <c r="D12" s="50" t="s">
        <v>360</v>
      </c>
      <c r="E12" s="50" t="s">
        <v>814</v>
      </c>
      <c r="F12" s="55"/>
      <c r="G12" s="52">
        <v>0.1</v>
      </c>
      <c r="H12" s="53">
        <f t="shared" si="0"/>
        <v>0</v>
      </c>
      <c r="I12" s="55"/>
      <c r="J12" s="52">
        <v>0.05</v>
      </c>
      <c r="K12" s="53">
        <f t="shared" si="1"/>
        <v>0</v>
      </c>
      <c r="L12" s="75"/>
      <c r="M12" s="75">
        <v>400</v>
      </c>
      <c r="N12" s="75">
        <f t="shared" si="2"/>
        <v>0</v>
      </c>
      <c r="O12" s="75"/>
      <c r="P12" s="75"/>
      <c r="Q12" s="75">
        <f t="shared" si="3"/>
        <v>0</v>
      </c>
      <c r="R12" s="84">
        <f t="shared" si="4"/>
        <v>0</v>
      </c>
      <c r="S12" s="84" t="s">
        <v>803</v>
      </c>
      <c r="T12" s="85" t="s">
        <v>362</v>
      </c>
      <c r="U12" s="86"/>
      <c r="V12" s="87"/>
      <c r="W12" s="84"/>
    </row>
    <row r="13" s="1" customFormat="1" ht="27" customHeight="1" spans="1:23">
      <c r="A13" s="48">
        <v>10</v>
      </c>
      <c r="B13" s="15"/>
      <c r="C13" s="49"/>
      <c r="D13" s="50" t="s">
        <v>815</v>
      </c>
      <c r="E13" s="50" t="s">
        <v>816</v>
      </c>
      <c r="F13" s="55">
        <v>7689</v>
      </c>
      <c r="G13" s="52">
        <v>0.1</v>
      </c>
      <c r="H13" s="53">
        <f t="shared" si="0"/>
        <v>769</v>
      </c>
      <c r="I13" s="55">
        <v>43313</v>
      </c>
      <c r="J13" s="52">
        <v>0.05</v>
      </c>
      <c r="K13" s="53">
        <f t="shared" si="1"/>
        <v>2166</v>
      </c>
      <c r="L13" s="75">
        <v>9</v>
      </c>
      <c r="M13" s="75">
        <v>400</v>
      </c>
      <c r="N13" s="75">
        <f t="shared" si="2"/>
        <v>3600</v>
      </c>
      <c r="O13" s="75"/>
      <c r="P13" s="75"/>
      <c r="Q13" s="75">
        <f t="shared" si="3"/>
        <v>0</v>
      </c>
      <c r="R13" s="84">
        <f t="shared" si="4"/>
        <v>6535</v>
      </c>
      <c r="S13" s="84" t="s">
        <v>78</v>
      </c>
      <c r="T13" s="85" t="s">
        <v>817</v>
      </c>
      <c r="U13" s="7"/>
      <c r="V13" s="88" t="s">
        <v>818</v>
      </c>
      <c r="W13" s="89">
        <f>19950*0.1</f>
        <v>1995</v>
      </c>
    </row>
    <row r="14" s="1" customFormat="1" ht="27" customHeight="1" spans="1:23">
      <c r="A14" s="48">
        <v>11</v>
      </c>
      <c r="B14" s="15"/>
      <c r="C14" s="49"/>
      <c r="D14" s="50" t="s">
        <v>358</v>
      </c>
      <c r="E14" s="50" t="s">
        <v>358</v>
      </c>
      <c r="F14" s="55"/>
      <c r="G14" s="52">
        <v>0.1</v>
      </c>
      <c r="H14" s="53">
        <f t="shared" si="0"/>
        <v>0</v>
      </c>
      <c r="I14" s="55">
        <v>25954</v>
      </c>
      <c r="J14" s="52">
        <v>0.05</v>
      </c>
      <c r="K14" s="53">
        <f t="shared" si="1"/>
        <v>1298</v>
      </c>
      <c r="L14" s="75">
        <v>5</v>
      </c>
      <c r="M14" s="75">
        <v>400</v>
      </c>
      <c r="N14" s="75">
        <f t="shared" si="2"/>
        <v>2000</v>
      </c>
      <c r="O14" s="75"/>
      <c r="P14" s="75"/>
      <c r="Q14" s="75">
        <f t="shared" si="3"/>
        <v>0</v>
      </c>
      <c r="R14" s="84">
        <f t="shared" si="4"/>
        <v>3298</v>
      </c>
      <c r="S14" s="84" t="s">
        <v>803</v>
      </c>
      <c r="T14" s="85" t="s">
        <v>359</v>
      </c>
      <c r="U14" s="86"/>
      <c r="V14" s="87" t="s">
        <v>819</v>
      </c>
      <c r="W14" s="84">
        <f>7199*0.1</f>
        <v>719.9</v>
      </c>
    </row>
    <row r="15" s="1" customFormat="1" ht="27" customHeight="1" spans="1:23">
      <c r="A15" s="48">
        <v>12</v>
      </c>
      <c r="B15" s="15"/>
      <c r="C15" s="49" t="s">
        <v>820</v>
      </c>
      <c r="D15" s="50" t="s">
        <v>710</v>
      </c>
      <c r="E15" s="50" t="s">
        <v>821</v>
      </c>
      <c r="F15" s="55">
        <v>15953</v>
      </c>
      <c r="G15" s="52">
        <v>0.1</v>
      </c>
      <c r="H15" s="53">
        <f t="shared" si="0"/>
        <v>1595</v>
      </c>
      <c r="I15" s="55">
        <v>38943</v>
      </c>
      <c r="J15" s="52">
        <v>0.05</v>
      </c>
      <c r="K15" s="53">
        <f t="shared" si="1"/>
        <v>1947</v>
      </c>
      <c r="L15" s="75">
        <v>12</v>
      </c>
      <c r="M15" s="75">
        <v>400</v>
      </c>
      <c r="N15" s="75">
        <f t="shared" si="2"/>
        <v>4800</v>
      </c>
      <c r="O15" s="75"/>
      <c r="P15" s="75"/>
      <c r="Q15" s="75">
        <f t="shared" si="3"/>
        <v>0</v>
      </c>
      <c r="R15" s="84">
        <f t="shared" si="4"/>
        <v>8342</v>
      </c>
      <c r="S15" s="84" t="s">
        <v>803</v>
      </c>
      <c r="T15" s="85" t="s">
        <v>714</v>
      </c>
      <c r="U15" s="7"/>
      <c r="V15" s="88" t="s">
        <v>822</v>
      </c>
      <c r="W15" s="89">
        <f>26449*0.1</f>
        <v>2644.9</v>
      </c>
    </row>
    <row r="16" s="1" customFormat="1" ht="27" customHeight="1" spans="1:23">
      <c r="A16" s="48">
        <v>13</v>
      </c>
      <c r="B16" s="15"/>
      <c r="C16" s="49"/>
      <c r="D16" s="50" t="s">
        <v>823</v>
      </c>
      <c r="E16" s="50" t="s">
        <v>824</v>
      </c>
      <c r="F16" s="55"/>
      <c r="G16" s="52">
        <v>0.1</v>
      </c>
      <c r="H16" s="53">
        <f t="shared" si="0"/>
        <v>0</v>
      </c>
      <c r="I16" s="55">
        <v>14458</v>
      </c>
      <c r="J16" s="52">
        <v>0.05</v>
      </c>
      <c r="K16" s="53">
        <f t="shared" si="1"/>
        <v>723</v>
      </c>
      <c r="L16" s="75"/>
      <c r="M16" s="75">
        <v>400</v>
      </c>
      <c r="N16" s="75">
        <f t="shared" si="2"/>
        <v>0</v>
      </c>
      <c r="O16" s="75"/>
      <c r="P16" s="75"/>
      <c r="Q16" s="75">
        <f t="shared" si="3"/>
        <v>0</v>
      </c>
      <c r="R16" s="84">
        <f t="shared" si="4"/>
        <v>723</v>
      </c>
      <c r="S16" s="84" t="s">
        <v>128</v>
      </c>
      <c r="T16" s="85" t="s">
        <v>825</v>
      </c>
      <c r="U16" s="86"/>
      <c r="V16" s="87" t="s">
        <v>826</v>
      </c>
      <c r="W16" s="84">
        <f>7218*0.1</f>
        <v>721.8</v>
      </c>
    </row>
    <row r="17" s="1" customFormat="1" ht="27" customHeight="1" spans="1:23">
      <c r="A17" s="48">
        <v>14</v>
      </c>
      <c r="B17" s="15"/>
      <c r="C17" s="49"/>
      <c r="D17" s="50" t="s">
        <v>355</v>
      </c>
      <c r="E17" s="50" t="s">
        <v>355</v>
      </c>
      <c r="F17" s="55"/>
      <c r="G17" s="52">
        <v>0.1</v>
      </c>
      <c r="H17" s="53">
        <f t="shared" si="0"/>
        <v>0</v>
      </c>
      <c r="I17" s="55">
        <v>12385</v>
      </c>
      <c r="J17" s="52">
        <v>0.05</v>
      </c>
      <c r="K17" s="53">
        <f t="shared" si="1"/>
        <v>619</v>
      </c>
      <c r="L17" s="75"/>
      <c r="M17" s="75">
        <v>400</v>
      </c>
      <c r="N17" s="75">
        <f t="shared" si="2"/>
        <v>0</v>
      </c>
      <c r="O17" s="75"/>
      <c r="P17" s="75"/>
      <c r="Q17" s="75">
        <f t="shared" si="3"/>
        <v>0</v>
      </c>
      <c r="R17" s="84">
        <f t="shared" si="4"/>
        <v>619</v>
      </c>
      <c r="S17" s="12" t="s">
        <v>52</v>
      </c>
      <c r="T17" s="85" t="s">
        <v>827</v>
      </c>
      <c r="U17" s="86"/>
      <c r="V17" s="87"/>
      <c r="W17" s="84"/>
    </row>
    <row r="18" s="1" customFormat="1" ht="27" customHeight="1" spans="1:23">
      <c r="A18" s="48">
        <v>15</v>
      </c>
      <c r="B18" s="15"/>
      <c r="C18" s="49" t="s">
        <v>828</v>
      </c>
      <c r="D18" s="50" t="s">
        <v>705</v>
      </c>
      <c r="E18" s="50" t="s">
        <v>829</v>
      </c>
      <c r="F18" s="55"/>
      <c r="G18" s="52">
        <v>0.1</v>
      </c>
      <c r="H18" s="53">
        <f t="shared" si="0"/>
        <v>0</v>
      </c>
      <c r="I18" s="55"/>
      <c r="J18" s="52">
        <v>0.05</v>
      </c>
      <c r="K18" s="53">
        <f t="shared" si="1"/>
        <v>0</v>
      </c>
      <c r="L18" s="75"/>
      <c r="M18" s="75">
        <v>400</v>
      </c>
      <c r="N18" s="75">
        <f t="shared" si="2"/>
        <v>0</v>
      </c>
      <c r="O18" s="75"/>
      <c r="P18" s="75"/>
      <c r="Q18" s="75">
        <f t="shared" si="3"/>
        <v>0</v>
      </c>
      <c r="R18" s="84">
        <f t="shared" si="4"/>
        <v>0</v>
      </c>
      <c r="S18" s="12" t="s">
        <v>78</v>
      </c>
      <c r="T18" s="85" t="s">
        <v>709</v>
      </c>
      <c r="U18" s="7"/>
      <c r="V18" s="88" t="s">
        <v>830</v>
      </c>
      <c r="W18" s="89">
        <f>8657*0.1</f>
        <v>865.7</v>
      </c>
    </row>
    <row r="19" s="1" customFormat="1" ht="27" customHeight="1" spans="1:23">
      <c r="A19" s="48">
        <v>16</v>
      </c>
      <c r="B19" s="15"/>
      <c r="C19" s="50" t="s">
        <v>831</v>
      </c>
      <c r="D19" s="50" t="s">
        <v>688</v>
      </c>
      <c r="E19" s="50" t="s">
        <v>831</v>
      </c>
      <c r="F19" s="55"/>
      <c r="G19" s="52">
        <v>0.1</v>
      </c>
      <c r="H19" s="53">
        <f t="shared" si="0"/>
        <v>0</v>
      </c>
      <c r="I19" s="55">
        <v>17232</v>
      </c>
      <c r="J19" s="52">
        <v>0.05</v>
      </c>
      <c r="K19" s="53">
        <f t="shared" si="1"/>
        <v>862</v>
      </c>
      <c r="L19" s="75">
        <v>1</v>
      </c>
      <c r="M19" s="75">
        <v>400</v>
      </c>
      <c r="N19" s="75">
        <f t="shared" si="2"/>
        <v>400</v>
      </c>
      <c r="O19" s="75"/>
      <c r="P19" s="75"/>
      <c r="Q19" s="75">
        <f t="shared" si="3"/>
        <v>0</v>
      </c>
      <c r="R19" s="84">
        <f t="shared" si="4"/>
        <v>1262</v>
      </c>
      <c r="S19" s="12" t="s">
        <v>803</v>
      </c>
      <c r="T19" s="85" t="s">
        <v>692</v>
      </c>
      <c r="U19" s="86"/>
      <c r="V19" s="87"/>
      <c r="W19" s="84"/>
    </row>
    <row r="20" s="1" customFormat="1" ht="27" customHeight="1" spans="1:23">
      <c r="A20" s="48">
        <v>17</v>
      </c>
      <c r="B20" s="15"/>
      <c r="C20" s="54"/>
      <c r="D20" s="50" t="s">
        <v>832</v>
      </c>
      <c r="E20" s="50" t="s">
        <v>833</v>
      </c>
      <c r="F20" s="55">
        <v>19998</v>
      </c>
      <c r="G20" s="52">
        <v>0.1</v>
      </c>
      <c r="H20" s="53">
        <f t="shared" si="0"/>
        <v>2000</v>
      </c>
      <c r="I20" s="55">
        <v>8195</v>
      </c>
      <c r="J20" s="52">
        <v>0.05</v>
      </c>
      <c r="K20" s="53">
        <f t="shared" si="1"/>
        <v>410</v>
      </c>
      <c r="L20" s="75">
        <v>1</v>
      </c>
      <c r="M20" s="75">
        <v>400</v>
      </c>
      <c r="N20" s="75">
        <f t="shared" si="2"/>
        <v>400</v>
      </c>
      <c r="O20" s="75"/>
      <c r="P20" s="75"/>
      <c r="Q20" s="75">
        <f t="shared" si="3"/>
        <v>0</v>
      </c>
      <c r="R20" s="84">
        <f t="shared" si="4"/>
        <v>2810</v>
      </c>
      <c r="S20" s="84" t="s">
        <v>78</v>
      </c>
      <c r="T20" s="85" t="s">
        <v>834</v>
      </c>
      <c r="U20" s="7"/>
      <c r="V20" s="88" t="s">
        <v>835</v>
      </c>
      <c r="W20" s="89">
        <f>13725*0.1</f>
        <v>1372.5</v>
      </c>
    </row>
    <row r="21" s="1" customFormat="1" ht="27" customHeight="1" spans="1:23">
      <c r="A21" s="48">
        <v>18</v>
      </c>
      <c r="B21" s="15"/>
      <c r="C21" s="50" t="s">
        <v>836</v>
      </c>
      <c r="D21" s="50" t="s">
        <v>637</v>
      </c>
      <c r="E21" s="50" t="s">
        <v>837</v>
      </c>
      <c r="F21" s="55">
        <v>33774</v>
      </c>
      <c r="G21" s="52">
        <v>0.1</v>
      </c>
      <c r="H21" s="53">
        <f t="shared" si="0"/>
        <v>3377</v>
      </c>
      <c r="I21" s="55">
        <v>12630</v>
      </c>
      <c r="J21" s="52">
        <v>0.05</v>
      </c>
      <c r="K21" s="53">
        <f t="shared" si="1"/>
        <v>632</v>
      </c>
      <c r="L21" s="75">
        <v>7</v>
      </c>
      <c r="M21" s="75">
        <v>400</v>
      </c>
      <c r="N21" s="75">
        <f t="shared" si="2"/>
        <v>2800</v>
      </c>
      <c r="O21" s="75"/>
      <c r="P21" s="75"/>
      <c r="Q21" s="75">
        <f t="shared" si="3"/>
        <v>0</v>
      </c>
      <c r="R21" s="84">
        <f t="shared" si="4"/>
        <v>6809</v>
      </c>
      <c r="S21" s="84" t="s">
        <v>803</v>
      </c>
      <c r="T21" s="385" t="s">
        <v>642</v>
      </c>
      <c r="U21" s="86"/>
      <c r="V21" s="87"/>
      <c r="W21" s="84"/>
    </row>
    <row r="22" s="1" customFormat="1" ht="27" customHeight="1" spans="1:23">
      <c r="A22" s="48">
        <v>19</v>
      </c>
      <c r="B22" s="15"/>
      <c r="C22" s="50"/>
      <c r="D22" s="50" t="s">
        <v>838</v>
      </c>
      <c r="E22" s="50" t="s">
        <v>839</v>
      </c>
      <c r="F22" s="55"/>
      <c r="G22" s="52">
        <v>0.1</v>
      </c>
      <c r="H22" s="53">
        <f t="shared" si="0"/>
        <v>0</v>
      </c>
      <c r="I22" s="55"/>
      <c r="J22" s="52">
        <v>0.05</v>
      </c>
      <c r="K22" s="53">
        <f t="shared" si="1"/>
        <v>0</v>
      </c>
      <c r="L22" s="75"/>
      <c r="M22" s="75">
        <v>400</v>
      </c>
      <c r="N22" s="75">
        <f t="shared" si="2"/>
        <v>0</v>
      </c>
      <c r="O22" s="75"/>
      <c r="P22" s="75"/>
      <c r="Q22" s="75">
        <f t="shared" si="3"/>
        <v>0</v>
      </c>
      <c r="R22" s="84">
        <f t="shared" si="4"/>
        <v>0</v>
      </c>
      <c r="S22" s="84" t="s">
        <v>128</v>
      </c>
      <c r="T22" s="85" t="s">
        <v>840</v>
      </c>
      <c r="U22" s="7"/>
      <c r="V22" s="88"/>
      <c r="W22" s="89"/>
    </row>
    <row r="23" s="1" customFormat="1" ht="27" customHeight="1" spans="1:23">
      <c r="A23" s="48">
        <v>20</v>
      </c>
      <c r="B23" s="15"/>
      <c r="C23" s="50"/>
      <c r="D23" s="50" t="s">
        <v>841</v>
      </c>
      <c r="E23" s="50" t="s">
        <v>842</v>
      </c>
      <c r="F23" s="55">
        <v>4043</v>
      </c>
      <c r="G23" s="52">
        <v>0.1</v>
      </c>
      <c r="H23" s="53">
        <f t="shared" si="0"/>
        <v>404</v>
      </c>
      <c r="I23" s="55"/>
      <c r="J23" s="52">
        <v>0.05</v>
      </c>
      <c r="K23" s="53">
        <f t="shared" si="1"/>
        <v>0</v>
      </c>
      <c r="L23" s="75">
        <v>2</v>
      </c>
      <c r="M23" s="75">
        <v>400</v>
      </c>
      <c r="N23" s="75">
        <f t="shared" si="2"/>
        <v>800</v>
      </c>
      <c r="O23" s="75"/>
      <c r="P23" s="75"/>
      <c r="Q23" s="75">
        <f t="shared" si="3"/>
        <v>0</v>
      </c>
      <c r="R23" s="84">
        <f t="shared" si="4"/>
        <v>1204</v>
      </c>
      <c r="S23" s="84" t="s">
        <v>74</v>
      </c>
      <c r="T23" s="85" t="s">
        <v>843</v>
      </c>
      <c r="U23" s="86"/>
      <c r="V23" s="87"/>
      <c r="W23" s="84"/>
    </row>
    <row r="24" s="1" customFormat="1" ht="27" customHeight="1" spans="1:23">
      <c r="A24" s="48">
        <v>21</v>
      </c>
      <c r="B24" s="15"/>
      <c r="C24" s="50"/>
      <c r="D24" s="50" t="s">
        <v>844</v>
      </c>
      <c r="E24" s="50" t="s">
        <v>845</v>
      </c>
      <c r="F24" s="55"/>
      <c r="G24" s="52">
        <v>0.1</v>
      </c>
      <c r="H24" s="53">
        <f t="shared" si="0"/>
        <v>0</v>
      </c>
      <c r="I24" s="55">
        <v>2853</v>
      </c>
      <c r="J24" s="52">
        <v>0.05</v>
      </c>
      <c r="K24" s="53">
        <f t="shared" si="1"/>
        <v>143</v>
      </c>
      <c r="L24" s="75">
        <v>1</v>
      </c>
      <c r="M24" s="75">
        <v>400</v>
      </c>
      <c r="N24" s="75">
        <f t="shared" si="2"/>
        <v>400</v>
      </c>
      <c r="O24" s="75"/>
      <c r="P24" s="75"/>
      <c r="Q24" s="75">
        <f t="shared" si="3"/>
        <v>0</v>
      </c>
      <c r="R24" s="84">
        <f t="shared" si="4"/>
        <v>543</v>
      </c>
      <c r="S24" s="84" t="s">
        <v>78</v>
      </c>
      <c r="T24" s="85" t="s">
        <v>846</v>
      </c>
      <c r="U24" s="86"/>
      <c r="V24" s="87"/>
      <c r="W24" s="84"/>
    </row>
    <row r="25" s="1" customFormat="1" ht="27" customHeight="1" spans="1:23">
      <c r="A25" s="48">
        <v>22</v>
      </c>
      <c r="B25" s="15"/>
      <c r="C25" s="50" t="s">
        <v>847</v>
      </c>
      <c r="D25" s="50" t="s">
        <v>189</v>
      </c>
      <c r="E25" s="50" t="s">
        <v>847</v>
      </c>
      <c r="F25" s="55">
        <v>58421</v>
      </c>
      <c r="G25" s="52">
        <v>0.1</v>
      </c>
      <c r="H25" s="53">
        <f t="shared" si="0"/>
        <v>5842</v>
      </c>
      <c r="I25" s="55">
        <v>14439</v>
      </c>
      <c r="J25" s="52">
        <v>0.05</v>
      </c>
      <c r="K25" s="53">
        <f t="shared" si="1"/>
        <v>722</v>
      </c>
      <c r="L25" s="75"/>
      <c r="M25" s="75">
        <v>400</v>
      </c>
      <c r="N25" s="75">
        <f t="shared" si="2"/>
        <v>0</v>
      </c>
      <c r="O25" s="75"/>
      <c r="P25" s="75"/>
      <c r="Q25" s="75">
        <f t="shared" si="3"/>
        <v>0</v>
      </c>
      <c r="R25" s="84">
        <f t="shared" si="4"/>
        <v>6564</v>
      </c>
      <c r="S25" s="84" t="s">
        <v>803</v>
      </c>
      <c r="T25" s="385" t="s">
        <v>630</v>
      </c>
      <c r="U25" s="7"/>
      <c r="V25" s="88"/>
      <c r="W25" s="89"/>
    </row>
    <row r="26" s="1" customFormat="1" ht="27" customHeight="1" spans="1:23">
      <c r="A26" s="48">
        <v>23</v>
      </c>
      <c r="B26" s="15"/>
      <c r="C26" s="54"/>
      <c r="D26" s="50" t="s">
        <v>848</v>
      </c>
      <c r="E26" s="50" t="s">
        <v>849</v>
      </c>
      <c r="F26" s="55"/>
      <c r="G26" s="52">
        <v>0.1</v>
      </c>
      <c r="H26" s="53">
        <f t="shared" si="0"/>
        <v>0</v>
      </c>
      <c r="I26" s="55">
        <v>26454</v>
      </c>
      <c r="J26" s="52">
        <v>0.05</v>
      </c>
      <c r="K26" s="53">
        <f t="shared" si="1"/>
        <v>1323</v>
      </c>
      <c r="L26" s="75">
        <v>3</v>
      </c>
      <c r="M26" s="75">
        <v>400</v>
      </c>
      <c r="N26" s="75">
        <f t="shared" si="2"/>
        <v>1200</v>
      </c>
      <c r="O26" s="75"/>
      <c r="P26" s="75"/>
      <c r="Q26" s="75">
        <f t="shared" si="3"/>
        <v>0</v>
      </c>
      <c r="R26" s="84">
        <f t="shared" si="4"/>
        <v>2523</v>
      </c>
      <c r="S26" s="84" t="s">
        <v>52</v>
      </c>
      <c r="T26" s="85" t="s">
        <v>850</v>
      </c>
      <c r="U26" s="86"/>
      <c r="V26" s="87"/>
      <c r="W26" s="84"/>
    </row>
    <row r="27" s="1" customFormat="1" ht="27" customHeight="1" spans="1:23">
      <c r="A27" s="48">
        <v>24</v>
      </c>
      <c r="B27" s="15"/>
      <c r="C27" s="54"/>
      <c r="D27" s="50" t="s">
        <v>851</v>
      </c>
      <c r="E27" s="50" t="s">
        <v>852</v>
      </c>
      <c r="F27" s="55">
        <v>7003</v>
      </c>
      <c r="G27" s="52">
        <v>0.1</v>
      </c>
      <c r="H27" s="53">
        <f t="shared" si="0"/>
        <v>700</v>
      </c>
      <c r="I27" s="55">
        <v>20701</v>
      </c>
      <c r="J27" s="52">
        <v>0.05</v>
      </c>
      <c r="K27" s="53">
        <f t="shared" si="1"/>
        <v>1035</v>
      </c>
      <c r="L27" s="75">
        <v>2</v>
      </c>
      <c r="M27" s="75">
        <v>400</v>
      </c>
      <c r="N27" s="75">
        <f t="shared" si="2"/>
        <v>800</v>
      </c>
      <c r="O27" s="75"/>
      <c r="P27" s="75"/>
      <c r="Q27" s="75">
        <f t="shared" si="3"/>
        <v>0</v>
      </c>
      <c r="R27" s="84">
        <f t="shared" si="4"/>
        <v>2535</v>
      </c>
      <c r="S27" s="84" t="s">
        <v>78</v>
      </c>
      <c r="T27" s="85" t="s">
        <v>853</v>
      </c>
      <c r="U27" s="86"/>
      <c r="V27" s="87" t="s">
        <v>854</v>
      </c>
      <c r="W27" s="84">
        <f>6306*0.1</f>
        <v>630.6</v>
      </c>
    </row>
    <row r="28" s="1" customFormat="1" ht="27" customHeight="1" spans="1:23">
      <c r="A28" s="48">
        <v>25</v>
      </c>
      <c r="B28" s="15"/>
      <c r="C28" s="50" t="s">
        <v>633</v>
      </c>
      <c r="D28" s="50" t="s">
        <v>632</v>
      </c>
      <c r="E28" s="50" t="s">
        <v>633</v>
      </c>
      <c r="F28" s="55">
        <v>6084</v>
      </c>
      <c r="G28" s="52">
        <v>0.1</v>
      </c>
      <c r="H28" s="53">
        <f t="shared" si="0"/>
        <v>608</v>
      </c>
      <c r="I28" s="55">
        <v>57682</v>
      </c>
      <c r="J28" s="52">
        <v>0.05</v>
      </c>
      <c r="K28" s="53">
        <f t="shared" si="1"/>
        <v>2884</v>
      </c>
      <c r="L28" s="75">
        <v>4</v>
      </c>
      <c r="M28" s="75">
        <v>400</v>
      </c>
      <c r="N28" s="75">
        <f t="shared" si="2"/>
        <v>1600</v>
      </c>
      <c r="O28" s="75"/>
      <c r="P28" s="75"/>
      <c r="Q28" s="75">
        <f t="shared" si="3"/>
        <v>0</v>
      </c>
      <c r="R28" s="84">
        <f t="shared" si="4"/>
        <v>5092</v>
      </c>
      <c r="S28" s="84" t="s">
        <v>803</v>
      </c>
      <c r="T28" s="385" t="s">
        <v>636</v>
      </c>
      <c r="U28" s="7"/>
      <c r="V28" s="88"/>
      <c r="W28" s="89"/>
    </row>
    <row r="29" s="1" customFormat="1" ht="27" customHeight="1" spans="1:23">
      <c r="A29" s="48">
        <v>26</v>
      </c>
      <c r="B29" s="15"/>
      <c r="C29" s="54"/>
      <c r="D29" s="50" t="s">
        <v>855</v>
      </c>
      <c r="E29" s="50" t="s">
        <v>856</v>
      </c>
      <c r="F29" s="55"/>
      <c r="G29" s="52">
        <v>0.1</v>
      </c>
      <c r="H29" s="53">
        <f t="shared" si="0"/>
        <v>0</v>
      </c>
      <c r="I29" s="55">
        <v>27991</v>
      </c>
      <c r="J29" s="52">
        <v>0.05</v>
      </c>
      <c r="K29" s="53">
        <f t="shared" si="1"/>
        <v>1400</v>
      </c>
      <c r="L29" s="75"/>
      <c r="M29" s="75">
        <v>400</v>
      </c>
      <c r="N29" s="75">
        <f t="shared" si="2"/>
        <v>0</v>
      </c>
      <c r="O29" s="75"/>
      <c r="P29" s="75"/>
      <c r="Q29" s="75">
        <f t="shared" si="3"/>
        <v>0</v>
      </c>
      <c r="R29" s="84">
        <f t="shared" si="4"/>
        <v>1400</v>
      </c>
      <c r="S29" s="84" t="s">
        <v>78</v>
      </c>
      <c r="T29" s="85" t="s">
        <v>857</v>
      </c>
      <c r="U29" s="86"/>
      <c r="V29" s="87"/>
      <c r="W29" s="84"/>
    </row>
    <row r="30" s="1" customFormat="1" ht="27" customHeight="1" spans="1:23">
      <c r="A30" s="48">
        <v>27</v>
      </c>
      <c r="B30" s="15"/>
      <c r="C30" s="50" t="s">
        <v>858</v>
      </c>
      <c r="D30" s="50" t="s">
        <v>859</v>
      </c>
      <c r="E30" s="50" t="s">
        <v>858</v>
      </c>
      <c r="F30" s="55">
        <v>17386</v>
      </c>
      <c r="G30" s="52">
        <v>0.1</v>
      </c>
      <c r="H30" s="53">
        <f t="shared" si="0"/>
        <v>1739</v>
      </c>
      <c r="I30" s="55"/>
      <c r="J30" s="52">
        <v>0.05</v>
      </c>
      <c r="K30" s="53">
        <f t="shared" si="1"/>
        <v>0</v>
      </c>
      <c r="L30" s="75">
        <v>1</v>
      </c>
      <c r="M30" s="75">
        <v>400</v>
      </c>
      <c r="N30" s="75">
        <f t="shared" si="2"/>
        <v>400</v>
      </c>
      <c r="O30" s="75"/>
      <c r="P30" s="75"/>
      <c r="Q30" s="75">
        <f t="shared" si="3"/>
        <v>0</v>
      </c>
      <c r="R30" s="84">
        <f t="shared" si="4"/>
        <v>2139</v>
      </c>
      <c r="S30" s="84" t="s">
        <v>74</v>
      </c>
      <c r="T30" s="85" t="s">
        <v>860</v>
      </c>
      <c r="U30" s="86"/>
      <c r="V30" s="87"/>
      <c r="W30" s="84"/>
    </row>
    <row r="31" s="1" customFormat="1" ht="27" customHeight="1" spans="1:23">
      <c r="A31" s="48">
        <v>28</v>
      </c>
      <c r="B31" s="15"/>
      <c r="C31" s="54"/>
      <c r="D31" s="50" t="s">
        <v>618</v>
      </c>
      <c r="E31" s="50" t="s">
        <v>861</v>
      </c>
      <c r="F31" s="55"/>
      <c r="G31" s="52">
        <v>0.1</v>
      </c>
      <c r="H31" s="53">
        <f t="shared" si="0"/>
        <v>0</v>
      </c>
      <c r="I31" s="55">
        <v>9228</v>
      </c>
      <c r="J31" s="52">
        <v>0.05</v>
      </c>
      <c r="K31" s="53">
        <f t="shared" si="1"/>
        <v>461</v>
      </c>
      <c r="L31" s="75"/>
      <c r="M31" s="75">
        <v>400</v>
      </c>
      <c r="N31" s="75">
        <f t="shared" si="2"/>
        <v>0</v>
      </c>
      <c r="O31" s="75"/>
      <c r="P31" s="75"/>
      <c r="Q31" s="75">
        <f t="shared" si="3"/>
        <v>0</v>
      </c>
      <c r="R31" s="84">
        <f t="shared" si="4"/>
        <v>461</v>
      </c>
      <c r="S31" s="12" t="s">
        <v>862</v>
      </c>
      <c r="T31" s="85" t="s">
        <v>863</v>
      </c>
      <c r="U31" s="7"/>
      <c r="V31" s="88"/>
      <c r="W31" s="89"/>
    </row>
    <row r="32" s="1" customFormat="1" ht="27" customHeight="1" spans="1:23">
      <c r="A32" s="48">
        <v>29</v>
      </c>
      <c r="B32" s="15"/>
      <c r="C32" s="54"/>
      <c r="D32" s="50" t="s">
        <v>864</v>
      </c>
      <c r="E32" s="50" t="s">
        <v>865</v>
      </c>
      <c r="F32" s="55">
        <v>7825</v>
      </c>
      <c r="G32" s="52">
        <v>0.1</v>
      </c>
      <c r="H32" s="53">
        <f t="shared" si="0"/>
        <v>783</v>
      </c>
      <c r="I32" s="55">
        <v>7889</v>
      </c>
      <c r="J32" s="52">
        <v>0.05</v>
      </c>
      <c r="K32" s="53">
        <f t="shared" si="1"/>
        <v>394</v>
      </c>
      <c r="L32" s="75">
        <v>2</v>
      </c>
      <c r="M32" s="75">
        <v>400</v>
      </c>
      <c r="N32" s="75">
        <f t="shared" si="2"/>
        <v>800</v>
      </c>
      <c r="O32" s="75"/>
      <c r="P32" s="75"/>
      <c r="Q32" s="75">
        <f t="shared" si="3"/>
        <v>0</v>
      </c>
      <c r="R32" s="84">
        <f t="shared" si="4"/>
        <v>1977</v>
      </c>
      <c r="S32" s="12" t="s">
        <v>755</v>
      </c>
      <c r="T32" s="85" t="s">
        <v>866</v>
      </c>
      <c r="U32" s="86"/>
      <c r="V32" s="87"/>
      <c r="W32" s="84"/>
    </row>
    <row r="33" s="1" customFormat="1" ht="27" customHeight="1" spans="1:23">
      <c r="A33" s="48">
        <v>30</v>
      </c>
      <c r="B33" s="15"/>
      <c r="C33" s="50" t="s">
        <v>867</v>
      </c>
      <c r="D33" s="50" t="s">
        <v>868</v>
      </c>
      <c r="E33" s="50" t="s">
        <v>869</v>
      </c>
      <c r="F33" s="55">
        <v>1911</v>
      </c>
      <c r="G33" s="52">
        <v>0.1</v>
      </c>
      <c r="H33" s="53">
        <f t="shared" si="0"/>
        <v>191</v>
      </c>
      <c r="I33" s="55">
        <v>13633</v>
      </c>
      <c r="J33" s="52">
        <v>0.05</v>
      </c>
      <c r="K33" s="53">
        <f t="shared" si="1"/>
        <v>682</v>
      </c>
      <c r="L33" s="75">
        <v>5</v>
      </c>
      <c r="M33" s="75">
        <v>400</v>
      </c>
      <c r="N33" s="75">
        <f t="shared" si="2"/>
        <v>2000</v>
      </c>
      <c r="O33" s="75"/>
      <c r="P33" s="75"/>
      <c r="Q33" s="75">
        <f t="shared" si="3"/>
        <v>0</v>
      </c>
      <c r="R33" s="84">
        <f t="shared" si="4"/>
        <v>2873</v>
      </c>
      <c r="S33" s="84" t="s">
        <v>78</v>
      </c>
      <c r="T33" s="85" t="s">
        <v>870</v>
      </c>
      <c r="U33" s="86"/>
      <c r="V33" s="87"/>
      <c r="W33" s="84"/>
    </row>
    <row r="34" s="1" customFormat="1" ht="27" customHeight="1" spans="1:23">
      <c r="A34" s="48">
        <v>31</v>
      </c>
      <c r="B34" s="15"/>
      <c r="C34" s="54"/>
      <c r="D34" s="50" t="s">
        <v>871</v>
      </c>
      <c r="E34" s="50" t="s">
        <v>871</v>
      </c>
      <c r="F34" s="55"/>
      <c r="G34" s="52">
        <v>0.1</v>
      </c>
      <c r="H34" s="53">
        <f t="shared" si="0"/>
        <v>0</v>
      </c>
      <c r="I34" s="55">
        <v>29480</v>
      </c>
      <c r="J34" s="52">
        <v>0.05</v>
      </c>
      <c r="K34" s="53">
        <f t="shared" si="1"/>
        <v>1474</v>
      </c>
      <c r="L34" s="75">
        <v>1</v>
      </c>
      <c r="M34" s="75">
        <v>400</v>
      </c>
      <c r="N34" s="75">
        <f t="shared" si="2"/>
        <v>400</v>
      </c>
      <c r="O34" s="75"/>
      <c r="P34" s="75"/>
      <c r="Q34" s="75">
        <f t="shared" si="3"/>
        <v>0</v>
      </c>
      <c r="R34" s="84">
        <f t="shared" si="4"/>
        <v>1874</v>
      </c>
      <c r="S34" s="84" t="s">
        <v>128</v>
      </c>
      <c r="T34" s="85" t="s">
        <v>872</v>
      </c>
      <c r="U34" s="86"/>
      <c r="V34" s="87" t="s">
        <v>873</v>
      </c>
      <c r="W34" s="84">
        <f>6766*0.1</f>
        <v>676.6</v>
      </c>
    </row>
    <row r="35" s="1" customFormat="1" ht="27" customHeight="1" spans="1:23">
      <c r="A35" s="48">
        <v>32</v>
      </c>
      <c r="B35" s="15"/>
      <c r="C35" s="54"/>
      <c r="D35" s="50" t="s">
        <v>662</v>
      </c>
      <c r="E35" s="50" t="s">
        <v>662</v>
      </c>
      <c r="F35" s="55">
        <v>39449</v>
      </c>
      <c r="G35" s="52">
        <v>0.1</v>
      </c>
      <c r="H35" s="53">
        <f t="shared" si="0"/>
        <v>3945</v>
      </c>
      <c r="I35" s="55"/>
      <c r="J35" s="52">
        <v>0.05</v>
      </c>
      <c r="K35" s="53">
        <f t="shared" si="1"/>
        <v>0</v>
      </c>
      <c r="L35" s="75">
        <v>5</v>
      </c>
      <c r="M35" s="75">
        <v>400</v>
      </c>
      <c r="N35" s="75">
        <f t="shared" si="2"/>
        <v>2000</v>
      </c>
      <c r="O35" s="75"/>
      <c r="P35" s="75"/>
      <c r="Q35" s="75">
        <f t="shared" si="3"/>
        <v>0</v>
      </c>
      <c r="R35" s="84">
        <f t="shared" si="4"/>
        <v>5945</v>
      </c>
      <c r="S35" s="84" t="s">
        <v>52</v>
      </c>
      <c r="T35" s="85" t="s">
        <v>665</v>
      </c>
      <c r="U35" s="7"/>
      <c r="V35" s="88" t="s">
        <v>874</v>
      </c>
      <c r="W35" s="89">
        <f>14193*0.1</f>
        <v>1419.3</v>
      </c>
    </row>
    <row r="36" s="1" customFormat="1" ht="27" customHeight="1" spans="1:23">
      <c r="A36" s="48">
        <v>33</v>
      </c>
      <c r="B36" s="15"/>
      <c r="C36" s="54"/>
      <c r="D36" s="50" t="s">
        <v>875</v>
      </c>
      <c r="E36" s="50" t="s">
        <v>876</v>
      </c>
      <c r="F36" s="55">
        <v>4805</v>
      </c>
      <c r="G36" s="52">
        <v>0.1</v>
      </c>
      <c r="H36" s="53">
        <f t="shared" si="0"/>
        <v>481</v>
      </c>
      <c r="I36" s="55">
        <v>17507</v>
      </c>
      <c r="J36" s="52">
        <v>0.05</v>
      </c>
      <c r="K36" s="53">
        <f t="shared" si="1"/>
        <v>875</v>
      </c>
      <c r="L36" s="75">
        <v>7</v>
      </c>
      <c r="M36" s="75">
        <v>400</v>
      </c>
      <c r="N36" s="75">
        <f t="shared" si="2"/>
        <v>2800</v>
      </c>
      <c r="O36" s="75"/>
      <c r="P36" s="75"/>
      <c r="Q36" s="75">
        <f t="shared" si="3"/>
        <v>0</v>
      </c>
      <c r="R36" s="84">
        <f t="shared" si="4"/>
        <v>4156</v>
      </c>
      <c r="S36" s="12" t="s">
        <v>74</v>
      </c>
      <c r="T36" s="85" t="s">
        <v>877</v>
      </c>
      <c r="U36" s="86"/>
      <c r="V36" s="87"/>
      <c r="W36" s="84"/>
    </row>
    <row r="37" s="1" customFormat="1" ht="27" customHeight="1" spans="1:23">
      <c r="A37" s="48">
        <v>34</v>
      </c>
      <c r="B37" s="15"/>
      <c r="C37" s="50" t="s">
        <v>878</v>
      </c>
      <c r="D37" s="50" t="s">
        <v>879</v>
      </c>
      <c r="E37" s="50" t="s">
        <v>880</v>
      </c>
      <c r="F37" s="55"/>
      <c r="G37" s="52">
        <v>0.1</v>
      </c>
      <c r="H37" s="53">
        <f t="shared" si="0"/>
        <v>0</v>
      </c>
      <c r="I37" s="55"/>
      <c r="J37" s="52">
        <v>0.05</v>
      </c>
      <c r="K37" s="53">
        <f t="shared" si="1"/>
        <v>0</v>
      </c>
      <c r="L37" s="75">
        <v>2</v>
      </c>
      <c r="M37" s="75">
        <v>400</v>
      </c>
      <c r="N37" s="75">
        <f t="shared" si="2"/>
        <v>800</v>
      </c>
      <c r="O37" s="75"/>
      <c r="P37" s="75"/>
      <c r="Q37" s="75">
        <f t="shared" si="3"/>
        <v>0</v>
      </c>
      <c r="R37" s="84">
        <f t="shared" si="4"/>
        <v>800</v>
      </c>
      <c r="S37" s="84" t="s">
        <v>74</v>
      </c>
      <c r="T37" s="85" t="s">
        <v>881</v>
      </c>
      <c r="U37" s="86"/>
      <c r="V37" s="87"/>
      <c r="W37" s="84"/>
    </row>
    <row r="38" s="1" customFormat="1" ht="27" customHeight="1" spans="1:23">
      <c r="A38" s="48">
        <v>35</v>
      </c>
      <c r="B38" s="15"/>
      <c r="C38" s="50"/>
      <c r="D38" s="50" t="s">
        <v>475</v>
      </c>
      <c r="E38" s="50" t="s">
        <v>882</v>
      </c>
      <c r="F38" s="55"/>
      <c r="G38" s="52">
        <v>0.1</v>
      </c>
      <c r="H38" s="53">
        <f t="shared" si="0"/>
        <v>0</v>
      </c>
      <c r="I38" s="55">
        <v>13019</v>
      </c>
      <c r="J38" s="52">
        <v>0.05</v>
      </c>
      <c r="K38" s="53">
        <f t="shared" si="1"/>
        <v>651</v>
      </c>
      <c r="L38" s="75"/>
      <c r="M38" s="75">
        <v>400</v>
      </c>
      <c r="N38" s="75">
        <f t="shared" si="2"/>
        <v>0</v>
      </c>
      <c r="O38" s="75"/>
      <c r="P38" s="75"/>
      <c r="Q38" s="75">
        <f t="shared" si="3"/>
        <v>0</v>
      </c>
      <c r="R38" s="84">
        <f t="shared" si="4"/>
        <v>651</v>
      </c>
      <c r="S38" s="84" t="s">
        <v>78</v>
      </c>
      <c r="T38" s="85" t="s">
        <v>883</v>
      </c>
      <c r="U38" s="86"/>
      <c r="V38" s="87"/>
      <c r="W38" s="84"/>
    </row>
    <row r="39" s="1" customFormat="1" ht="27" customHeight="1" spans="1:23">
      <c r="A39" s="48">
        <v>36</v>
      </c>
      <c r="B39" s="15"/>
      <c r="C39" s="50"/>
      <c r="D39" s="50" t="s">
        <v>884</v>
      </c>
      <c r="E39" s="50" t="s">
        <v>392</v>
      </c>
      <c r="F39" s="55"/>
      <c r="G39" s="52">
        <v>0.1</v>
      </c>
      <c r="H39" s="53">
        <f t="shared" si="0"/>
        <v>0</v>
      </c>
      <c r="I39" s="55">
        <v>38957</v>
      </c>
      <c r="J39" s="52">
        <v>0.05</v>
      </c>
      <c r="K39" s="53">
        <f t="shared" si="1"/>
        <v>1948</v>
      </c>
      <c r="L39" s="75">
        <v>2</v>
      </c>
      <c r="M39" s="75">
        <v>400</v>
      </c>
      <c r="N39" s="75">
        <f t="shared" si="2"/>
        <v>800</v>
      </c>
      <c r="O39" s="75"/>
      <c r="P39" s="75"/>
      <c r="Q39" s="75">
        <f t="shared" si="3"/>
        <v>0</v>
      </c>
      <c r="R39" s="84">
        <f t="shared" si="4"/>
        <v>2748</v>
      </c>
      <c r="S39" s="84" t="s">
        <v>78</v>
      </c>
      <c r="T39" s="85" t="s">
        <v>885</v>
      </c>
      <c r="U39" s="7"/>
      <c r="V39" s="88" t="s">
        <v>886</v>
      </c>
      <c r="W39" s="89">
        <f>10705*0.1</f>
        <v>1070.5</v>
      </c>
    </row>
    <row r="40" s="1" customFormat="1" ht="27" customHeight="1" spans="1:23">
      <c r="A40" s="48">
        <v>37</v>
      </c>
      <c r="B40" s="15"/>
      <c r="C40" s="50"/>
      <c r="D40" s="50" t="s">
        <v>645</v>
      </c>
      <c r="E40" s="50" t="s">
        <v>887</v>
      </c>
      <c r="F40" s="55"/>
      <c r="G40" s="52">
        <v>0.1</v>
      </c>
      <c r="H40" s="53">
        <f t="shared" si="0"/>
        <v>0</v>
      </c>
      <c r="I40" s="55">
        <v>16243</v>
      </c>
      <c r="J40" s="52">
        <v>0.05</v>
      </c>
      <c r="K40" s="53">
        <f t="shared" si="1"/>
        <v>812</v>
      </c>
      <c r="L40" s="75">
        <v>14</v>
      </c>
      <c r="M40" s="75">
        <v>400</v>
      </c>
      <c r="N40" s="75">
        <f t="shared" si="2"/>
        <v>5600</v>
      </c>
      <c r="O40" s="75"/>
      <c r="P40" s="75"/>
      <c r="Q40" s="75">
        <f t="shared" si="3"/>
        <v>0</v>
      </c>
      <c r="R40" s="84">
        <f t="shared" si="4"/>
        <v>6412</v>
      </c>
      <c r="S40" s="84" t="s">
        <v>74</v>
      </c>
      <c r="T40" s="85" t="s">
        <v>888</v>
      </c>
      <c r="U40" s="7"/>
      <c r="V40" s="88" t="s">
        <v>886</v>
      </c>
      <c r="W40" s="89">
        <f>10705*0.1</f>
        <v>1070.5</v>
      </c>
    </row>
    <row r="41" s="1" customFormat="1" ht="27" customHeight="1" spans="1:23">
      <c r="A41" s="48">
        <v>38</v>
      </c>
      <c r="B41" s="15"/>
      <c r="C41" s="50" t="s">
        <v>612</v>
      </c>
      <c r="D41" s="50" t="s">
        <v>889</v>
      </c>
      <c r="E41" s="50" t="s">
        <v>890</v>
      </c>
      <c r="F41" s="55"/>
      <c r="G41" s="52">
        <v>0.1</v>
      </c>
      <c r="H41" s="53">
        <f t="shared" si="0"/>
        <v>0</v>
      </c>
      <c r="I41" s="55">
        <v>56781</v>
      </c>
      <c r="J41" s="52">
        <v>0.05</v>
      </c>
      <c r="K41" s="53">
        <f t="shared" si="1"/>
        <v>2839</v>
      </c>
      <c r="L41" s="75">
        <v>2</v>
      </c>
      <c r="M41" s="75">
        <v>400</v>
      </c>
      <c r="N41" s="75">
        <f t="shared" si="2"/>
        <v>800</v>
      </c>
      <c r="O41" s="75"/>
      <c r="P41" s="75"/>
      <c r="Q41" s="75">
        <f t="shared" si="3"/>
        <v>0</v>
      </c>
      <c r="R41" s="84">
        <f t="shared" si="4"/>
        <v>3639</v>
      </c>
      <c r="S41" s="84" t="s">
        <v>74</v>
      </c>
      <c r="T41" s="85" t="s">
        <v>891</v>
      </c>
      <c r="U41" s="86"/>
      <c r="V41" s="88" t="s">
        <v>892</v>
      </c>
      <c r="W41" s="89">
        <f>25233*0.05</f>
        <v>1261.65</v>
      </c>
    </row>
    <row r="42" s="1" customFormat="1" ht="27" customHeight="1" spans="1:23">
      <c r="A42" s="48">
        <v>39</v>
      </c>
      <c r="B42" s="15"/>
      <c r="C42" s="54"/>
      <c r="D42" s="50" t="s">
        <v>893</v>
      </c>
      <c r="E42" s="50" t="s">
        <v>894</v>
      </c>
      <c r="F42" s="55">
        <v>6054</v>
      </c>
      <c r="G42" s="52">
        <v>0.1</v>
      </c>
      <c r="H42" s="53">
        <f t="shared" si="0"/>
        <v>605</v>
      </c>
      <c r="I42" s="55">
        <v>9840</v>
      </c>
      <c r="J42" s="52">
        <v>0.05</v>
      </c>
      <c r="K42" s="53">
        <f t="shared" si="1"/>
        <v>492</v>
      </c>
      <c r="L42" s="75">
        <v>6</v>
      </c>
      <c r="M42" s="75">
        <v>400</v>
      </c>
      <c r="N42" s="75">
        <f t="shared" si="2"/>
        <v>2400</v>
      </c>
      <c r="O42" s="75"/>
      <c r="P42" s="75"/>
      <c r="Q42" s="75">
        <f t="shared" si="3"/>
        <v>0</v>
      </c>
      <c r="R42" s="84">
        <f t="shared" si="4"/>
        <v>3497</v>
      </c>
      <c r="S42" s="84" t="s">
        <v>74</v>
      </c>
      <c r="T42" s="85" t="s">
        <v>895</v>
      </c>
      <c r="U42" s="86"/>
      <c r="V42" s="87"/>
      <c r="W42" s="84"/>
    </row>
    <row r="43" s="1" customFormat="1" ht="27" customHeight="1" spans="1:23">
      <c r="A43" s="48">
        <v>40</v>
      </c>
      <c r="B43" s="15"/>
      <c r="C43" s="54"/>
      <c r="D43" s="50" t="s">
        <v>896</v>
      </c>
      <c r="E43" s="50" t="s">
        <v>897</v>
      </c>
      <c r="F43" s="55"/>
      <c r="G43" s="52">
        <v>0.1</v>
      </c>
      <c r="H43" s="53">
        <f t="shared" si="0"/>
        <v>0</v>
      </c>
      <c r="I43" s="55">
        <v>49184</v>
      </c>
      <c r="J43" s="52">
        <v>0.05</v>
      </c>
      <c r="K43" s="53">
        <f t="shared" si="1"/>
        <v>2459</v>
      </c>
      <c r="L43" s="75">
        <v>5</v>
      </c>
      <c r="M43" s="75">
        <v>400</v>
      </c>
      <c r="N43" s="75">
        <f t="shared" si="2"/>
        <v>2000</v>
      </c>
      <c r="O43" s="75"/>
      <c r="P43" s="75"/>
      <c r="Q43" s="75">
        <f t="shared" si="3"/>
        <v>0</v>
      </c>
      <c r="R43" s="84">
        <f t="shared" si="4"/>
        <v>4459</v>
      </c>
      <c r="S43" s="84" t="s">
        <v>78</v>
      </c>
      <c r="T43" s="85" t="s">
        <v>898</v>
      </c>
      <c r="U43" s="7"/>
      <c r="V43" s="88" t="s">
        <v>899</v>
      </c>
      <c r="W43" s="89">
        <f>19752*0.1</f>
        <v>1975.2</v>
      </c>
    </row>
    <row r="44" s="1" customFormat="1" ht="27" customHeight="1" spans="1:23">
      <c r="A44" s="48">
        <v>41</v>
      </c>
      <c r="B44" s="15"/>
      <c r="C44" s="54"/>
      <c r="D44" s="50" t="s">
        <v>900</v>
      </c>
      <c r="E44" s="50" t="s">
        <v>901</v>
      </c>
      <c r="F44" s="55">
        <v>5706</v>
      </c>
      <c r="G44" s="52">
        <v>0.1</v>
      </c>
      <c r="H44" s="53">
        <f t="shared" si="0"/>
        <v>571</v>
      </c>
      <c r="I44" s="55"/>
      <c r="J44" s="52">
        <v>0.05</v>
      </c>
      <c r="K44" s="53">
        <f t="shared" si="1"/>
        <v>0</v>
      </c>
      <c r="L44" s="75">
        <v>4</v>
      </c>
      <c r="M44" s="75">
        <v>400</v>
      </c>
      <c r="N44" s="75">
        <f t="shared" si="2"/>
        <v>1600</v>
      </c>
      <c r="O44" s="75"/>
      <c r="P44" s="75"/>
      <c r="Q44" s="75">
        <f t="shared" si="3"/>
        <v>0</v>
      </c>
      <c r="R44" s="84">
        <f t="shared" si="4"/>
        <v>2171</v>
      </c>
      <c r="S44" s="12" t="s">
        <v>902</v>
      </c>
      <c r="T44" s="85" t="s">
        <v>903</v>
      </c>
      <c r="U44" s="86"/>
      <c r="V44" s="87"/>
      <c r="W44" s="84"/>
    </row>
    <row r="45" s="1" customFormat="1" ht="27" customHeight="1" spans="1:23">
      <c r="A45" s="48">
        <v>42</v>
      </c>
      <c r="B45" s="15"/>
      <c r="C45" s="54"/>
      <c r="D45" s="50" t="s">
        <v>904</v>
      </c>
      <c r="E45" s="50" t="s">
        <v>905</v>
      </c>
      <c r="F45" s="55"/>
      <c r="G45" s="52">
        <v>0.1</v>
      </c>
      <c r="H45" s="53">
        <f t="shared" si="0"/>
        <v>0</v>
      </c>
      <c r="I45" s="55"/>
      <c r="J45" s="52">
        <v>0.05</v>
      </c>
      <c r="K45" s="53">
        <f t="shared" si="1"/>
        <v>0</v>
      </c>
      <c r="L45" s="75">
        <v>4</v>
      </c>
      <c r="M45" s="75">
        <v>400</v>
      </c>
      <c r="N45" s="75">
        <f t="shared" si="2"/>
        <v>1600</v>
      </c>
      <c r="O45" s="75"/>
      <c r="P45" s="75"/>
      <c r="Q45" s="75">
        <f t="shared" si="3"/>
        <v>0</v>
      </c>
      <c r="R45" s="84">
        <f t="shared" si="4"/>
        <v>1600</v>
      </c>
      <c r="S45" s="12" t="s">
        <v>74</v>
      </c>
      <c r="T45" s="85" t="s">
        <v>906</v>
      </c>
      <c r="U45" s="86"/>
      <c r="V45" s="87"/>
      <c r="W45" s="84"/>
    </row>
    <row r="46" s="1" customFormat="1" ht="27" customHeight="1" spans="1:23">
      <c r="A46" s="48">
        <v>43</v>
      </c>
      <c r="B46" s="15"/>
      <c r="C46" s="54"/>
      <c r="D46" s="50" t="s">
        <v>907</v>
      </c>
      <c r="E46" s="50" t="s">
        <v>908</v>
      </c>
      <c r="F46" s="55">
        <v>6605</v>
      </c>
      <c r="G46" s="52">
        <v>0.1</v>
      </c>
      <c r="H46" s="53">
        <f t="shared" si="0"/>
        <v>661</v>
      </c>
      <c r="I46" s="55">
        <v>29643</v>
      </c>
      <c r="J46" s="52">
        <v>0.05</v>
      </c>
      <c r="K46" s="53">
        <f t="shared" si="1"/>
        <v>1482</v>
      </c>
      <c r="L46" s="75">
        <v>2</v>
      </c>
      <c r="M46" s="75">
        <v>400</v>
      </c>
      <c r="N46" s="75">
        <f t="shared" si="2"/>
        <v>800</v>
      </c>
      <c r="O46" s="75"/>
      <c r="P46" s="75"/>
      <c r="Q46" s="75">
        <f t="shared" si="3"/>
        <v>0</v>
      </c>
      <c r="R46" s="84">
        <f t="shared" si="4"/>
        <v>2943</v>
      </c>
      <c r="S46" s="84" t="s">
        <v>74</v>
      </c>
      <c r="T46" s="85" t="s">
        <v>909</v>
      </c>
      <c r="U46" s="7"/>
      <c r="V46" s="88"/>
      <c r="W46" s="89"/>
    </row>
    <row r="47" s="1" customFormat="1" ht="27" customHeight="1" spans="1:23">
      <c r="A47" s="48">
        <v>44</v>
      </c>
      <c r="B47" s="15"/>
      <c r="C47" s="54"/>
      <c r="D47" s="50" t="s">
        <v>678</v>
      </c>
      <c r="E47" s="50" t="s">
        <v>678</v>
      </c>
      <c r="F47" s="55"/>
      <c r="G47" s="52">
        <v>0.1</v>
      </c>
      <c r="H47" s="53">
        <f t="shared" si="0"/>
        <v>0</v>
      </c>
      <c r="I47" s="55">
        <v>1895</v>
      </c>
      <c r="J47" s="52">
        <v>0.05</v>
      </c>
      <c r="K47" s="53">
        <f t="shared" si="1"/>
        <v>95</v>
      </c>
      <c r="L47" s="75">
        <v>3</v>
      </c>
      <c r="M47" s="75">
        <v>400</v>
      </c>
      <c r="N47" s="75">
        <f t="shared" si="2"/>
        <v>1200</v>
      </c>
      <c r="O47" s="75"/>
      <c r="P47" s="75"/>
      <c r="Q47" s="75">
        <f t="shared" si="3"/>
        <v>0</v>
      </c>
      <c r="R47" s="84">
        <f t="shared" si="4"/>
        <v>1295</v>
      </c>
      <c r="S47" s="84" t="s">
        <v>78</v>
      </c>
      <c r="T47" s="85" t="s">
        <v>910</v>
      </c>
      <c r="U47" s="86"/>
      <c r="V47" s="87" t="s">
        <v>854</v>
      </c>
      <c r="W47" s="84">
        <f>6306*0.1</f>
        <v>630.6</v>
      </c>
    </row>
    <row r="48" s="1" customFormat="1" ht="27" customHeight="1" spans="1:23">
      <c r="A48" s="48">
        <v>45</v>
      </c>
      <c r="B48" s="15"/>
      <c r="C48" s="54"/>
      <c r="D48" s="50" t="s">
        <v>419</v>
      </c>
      <c r="E48" s="50" t="s">
        <v>911</v>
      </c>
      <c r="F48" s="55"/>
      <c r="G48" s="52">
        <v>0.1</v>
      </c>
      <c r="H48" s="53">
        <f t="shared" si="0"/>
        <v>0</v>
      </c>
      <c r="I48" s="55"/>
      <c r="J48" s="52">
        <v>0.05</v>
      </c>
      <c r="K48" s="53">
        <f t="shared" si="1"/>
        <v>0</v>
      </c>
      <c r="L48" s="75">
        <v>2</v>
      </c>
      <c r="M48" s="75">
        <v>400</v>
      </c>
      <c r="N48" s="75">
        <f t="shared" si="2"/>
        <v>800</v>
      </c>
      <c r="O48" s="75"/>
      <c r="P48" s="75"/>
      <c r="Q48" s="75">
        <f t="shared" si="3"/>
        <v>0</v>
      </c>
      <c r="R48" s="84">
        <f t="shared" si="4"/>
        <v>800</v>
      </c>
      <c r="S48" s="84" t="s">
        <v>803</v>
      </c>
      <c r="T48" s="85" t="s">
        <v>421</v>
      </c>
      <c r="U48" s="86"/>
      <c r="V48" s="87" t="s">
        <v>854</v>
      </c>
      <c r="W48" s="84">
        <f>6306*0.1</f>
        <v>630.6</v>
      </c>
    </row>
    <row r="49" s="1" customFormat="1" ht="27" customHeight="1" spans="1:23">
      <c r="A49" s="48">
        <v>46</v>
      </c>
      <c r="B49" s="15"/>
      <c r="C49" s="54"/>
      <c r="D49" s="50" t="s">
        <v>912</v>
      </c>
      <c r="E49" s="50" t="s">
        <v>913</v>
      </c>
      <c r="F49" s="55">
        <v>6146</v>
      </c>
      <c r="G49" s="52">
        <v>0.1</v>
      </c>
      <c r="H49" s="53">
        <f t="shared" si="0"/>
        <v>615</v>
      </c>
      <c r="I49" s="55">
        <v>20824</v>
      </c>
      <c r="J49" s="52">
        <v>0.05</v>
      </c>
      <c r="K49" s="53">
        <f t="shared" si="1"/>
        <v>1041</v>
      </c>
      <c r="L49" s="75">
        <v>1</v>
      </c>
      <c r="M49" s="75">
        <v>400</v>
      </c>
      <c r="N49" s="75">
        <f t="shared" si="2"/>
        <v>400</v>
      </c>
      <c r="O49" s="75"/>
      <c r="P49" s="75"/>
      <c r="Q49" s="75">
        <f t="shared" si="3"/>
        <v>0</v>
      </c>
      <c r="R49" s="84">
        <f t="shared" si="4"/>
        <v>2056</v>
      </c>
      <c r="S49" s="84" t="s">
        <v>52</v>
      </c>
      <c r="T49" s="85" t="s">
        <v>914</v>
      </c>
      <c r="U49" s="86"/>
      <c r="V49" s="87" t="s">
        <v>915</v>
      </c>
      <c r="W49" s="84">
        <f>7974*0.1</f>
        <v>797.4</v>
      </c>
    </row>
    <row r="50" s="1" customFormat="1" ht="27" customHeight="1" spans="1:23">
      <c r="A50" s="48">
        <v>47</v>
      </c>
      <c r="B50" s="15"/>
      <c r="C50" s="54"/>
      <c r="D50" s="50" t="s">
        <v>611</v>
      </c>
      <c r="E50" s="50" t="s">
        <v>916</v>
      </c>
      <c r="F50" s="55">
        <v>9797</v>
      </c>
      <c r="G50" s="52">
        <v>0.1</v>
      </c>
      <c r="H50" s="53">
        <f t="shared" si="0"/>
        <v>980</v>
      </c>
      <c r="I50" s="55">
        <v>19602</v>
      </c>
      <c r="J50" s="52">
        <v>0.05</v>
      </c>
      <c r="K50" s="53">
        <f t="shared" si="1"/>
        <v>980</v>
      </c>
      <c r="L50" s="75">
        <v>5</v>
      </c>
      <c r="M50" s="75">
        <v>400</v>
      </c>
      <c r="N50" s="75">
        <f t="shared" si="2"/>
        <v>2000</v>
      </c>
      <c r="O50" s="75"/>
      <c r="P50" s="75"/>
      <c r="Q50" s="75">
        <f t="shared" si="3"/>
        <v>0</v>
      </c>
      <c r="R50" s="84">
        <f t="shared" si="4"/>
        <v>3960</v>
      </c>
      <c r="S50" s="84" t="s">
        <v>803</v>
      </c>
      <c r="T50" s="385" t="s">
        <v>616</v>
      </c>
      <c r="U50" s="7"/>
      <c r="V50" s="88" t="s">
        <v>917</v>
      </c>
      <c r="W50" s="89">
        <f>24100*0.05</f>
        <v>1205</v>
      </c>
    </row>
    <row r="51" s="1" customFormat="1" ht="27" customHeight="1" spans="1:23">
      <c r="A51" s="48">
        <v>48</v>
      </c>
      <c r="B51" s="15"/>
      <c r="C51" s="56" t="s">
        <v>918</v>
      </c>
      <c r="D51" s="50" t="s">
        <v>652</v>
      </c>
      <c r="E51" s="50" t="s">
        <v>919</v>
      </c>
      <c r="F51" s="55"/>
      <c r="G51" s="52">
        <v>0.1</v>
      </c>
      <c r="H51" s="53">
        <f t="shared" si="0"/>
        <v>0</v>
      </c>
      <c r="I51" s="55">
        <v>34163</v>
      </c>
      <c r="J51" s="52">
        <v>0.05</v>
      </c>
      <c r="K51" s="53">
        <f t="shared" si="1"/>
        <v>1708</v>
      </c>
      <c r="L51" s="75">
        <v>3</v>
      </c>
      <c r="M51" s="75">
        <v>400</v>
      </c>
      <c r="N51" s="75">
        <f t="shared" si="2"/>
        <v>1200</v>
      </c>
      <c r="O51" s="75"/>
      <c r="P51" s="75"/>
      <c r="Q51" s="75">
        <f t="shared" si="3"/>
        <v>0</v>
      </c>
      <c r="R51" s="84">
        <f t="shared" si="4"/>
        <v>2908</v>
      </c>
      <c r="S51" s="84" t="s">
        <v>803</v>
      </c>
      <c r="T51" s="85" t="s">
        <v>657</v>
      </c>
      <c r="U51" s="86"/>
      <c r="V51" s="88" t="s">
        <v>920</v>
      </c>
      <c r="W51" s="89">
        <f t="shared" ref="W51:W53" si="5">11789*0.1</f>
        <v>1178.9</v>
      </c>
    </row>
    <row r="52" s="1" customFormat="1" ht="27" customHeight="1" spans="1:23">
      <c r="A52" s="48">
        <v>49</v>
      </c>
      <c r="B52" s="15"/>
      <c r="C52" s="57"/>
      <c r="D52" s="50" t="s">
        <v>460</v>
      </c>
      <c r="E52" s="50" t="s">
        <v>461</v>
      </c>
      <c r="F52" s="55">
        <v>28013</v>
      </c>
      <c r="G52" s="52">
        <v>0.1</v>
      </c>
      <c r="H52" s="53">
        <f t="shared" si="0"/>
        <v>2801</v>
      </c>
      <c r="I52" s="55"/>
      <c r="J52" s="52">
        <v>0.05</v>
      </c>
      <c r="K52" s="53">
        <f t="shared" si="1"/>
        <v>0</v>
      </c>
      <c r="L52" s="75">
        <v>3</v>
      </c>
      <c r="M52" s="75">
        <v>400</v>
      </c>
      <c r="N52" s="75">
        <f t="shared" si="2"/>
        <v>1200</v>
      </c>
      <c r="O52" s="75"/>
      <c r="P52" s="75"/>
      <c r="Q52" s="75">
        <f t="shared" si="3"/>
        <v>0</v>
      </c>
      <c r="R52" s="84">
        <f t="shared" si="4"/>
        <v>4001</v>
      </c>
      <c r="S52" s="84" t="s">
        <v>862</v>
      </c>
      <c r="T52" s="85" t="s">
        <v>921</v>
      </c>
      <c r="U52" s="86"/>
      <c r="V52" s="88" t="s">
        <v>920</v>
      </c>
      <c r="W52" s="89">
        <f t="shared" si="5"/>
        <v>1178.9</v>
      </c>
    </row>
    <row r="53" s="1" customFormat="1" ht="27" customHeight="1" spans="1:23">
      <c r="A53" s="48">
        <v>50</v>
      </c>
      <c r="B53" s="15"/>
      <c r="C53" s="57"/>
      <c r="D53" s="50" t="s">
        <v>191</v>
      </c>
      <c r="E53" s="50" t="s">
        <v>192</v>
      </c>
      <c r="F53" s="55">
        <v>16550</v>
      </c>
      <c r="G53" s="52">
        <v>0.1</v>
      </c>
      <c r="H53" s="53">
        <f t="shared" si="0"/>
        <v>1655</v>
      </c>
      <c r="I53" s="55"/>
      <c r="J53" s="52">
        <v>0.05</v>
      </c>
      <c r="K53" s="53">
        <f t="shared" si="1"/>
        <v>0</v>
      </c>
      <c r="L53" s="75"/>
      <c r="M53" s="75">
        <v>400</v>
      </c>
      <c r="N53" s="75">
        <f t="shared" si="2"/>
        <v>0</v>
      </c>
      <c r="O53" s="75"/>
      <c r="P53" s="75"/>
      <c r="Q53" s="75">
        <f t="shared" si="3"/>
        <v>0</v>
      </c>
      <c r="R53" s="84">
        <f t="shared" si="4"/>
        <v>1655</v>
      </c>
      <c r="S53" s="84" t="s">
        <v>803</v>
      </c>
      <c r="T53" s="85" t="s">
        <v>193</v>
      </c>
      <c r="U53" s="86"/>
      <c r="V53" s="88" t="s">
        <v>920</v>
      </c>
      <c r="W53" s="89">
        <f t="shared" si="5"/>
        <v>1178.9</v>
      </c>
    </row>
    <row r="54" s="1" customFormat="1" ht="27" customHeight="1" spans="1:23">
      <c r="A54" s="48">
        <v>51</v>
      </c>
      <c r="B54" s="15"/>
      <c r="C54" s="49" t="s">
        <v>922</v>
      </c>
      <c r="D54" s="50" t="s">
        <v>603</v>
      </c>
      <c r="E54" s="50" t="s">
        <v>603</v>
      </c>
      <c r="F54" s="55"/>
      <c r="G54" s="52">
        <v>0.1</v>
      </c>
      <c r="H54" s="53">
        <f t="shared" si="0"/>
        <v>0</v>
      </c>
      <c r="I54" s="55">
        <v>54820</v>
      </c>
      <c r="J54" s="52">
        <v>0.05</v>
      </c>
      <c r="K54" s="53">
        <f t="shared" si="1"/>
        <v>2741</v>
      </c>
      <c r="L54" s="75">
        <v>3</v>
      </c>
      <c r="M54" s="75">
        <v>400</v>
      </c>
      <c r="N54" s="75">
        <f t="shared" si="2"/>
        <v>1200</v>
      </c>
      <c r="O54" s="75"/>
      <c r="P54" s="75"/>
      <c r="Q54" s="75">
        <f t="shared" si="3"/>
        <v>0</v>
      </c>
      <c r="R54" s="84">
        <f t="shared" si="4"/>
        <v>3941</v>
      </c>
      <c r="S54" s="84" t="s">
        <v>803</v>
      </c>
      <c r="T54" s="385" t="s">
        <v>608</v>
      </c>
      <c r="U54" s="7"/>
      <c r="V54" s="88" t="s">
        <v>923</v>
      </c>
      <c r="W54" s="89">
        <f t="shared" ref="W54:W71" si="6">5668*0.1+5555*0.91*0.1</f>
        <v>1072.305</v>
      </c>
    </row>
    <row r="55" s="1" customFormat="1" ht="27" customHeight="1" spans="1:23">
      <c r="A55" s="48">
        <v>52</v>
      </c>
      <c r="B55" s="15"/>
      <c r="C55" s="50" t="s">
        <v>924</v>
      </c>
      <c r="D55" s="50" t="s">
        <v>683</v>
      </c>
      <c r="E55" s="50" t="s">
        <v>684</v>
      </c>
      <c r="F55" s="55">
        <v>10116</v>
      </c>
      <c r="G55" s="52">
        <v>0.1</v>
      </c>
      <c r="H55" s="53">
        <f t="shared" ref="H55:H57" si="7">F55*G55</f>
        <v>1011.6</v>
      </c>
      <c r="I55" s="55"/>
      <c r="J55" s="52">
        <v>0.05</v>
      </c>
      <c r="K55" s="53">
        <f t="shared" ref="K55:K57" si="8">I55*J55</f>
        <v>0</v>
      </c>
      <c r="L55" s="75">
        <v>1</v>
      </c>
      <c r="M55" s="75">
        <v>400</v>
      </c>
      <c r="N55" s="75">
        <f t="shared" si="2"/>
        <v>400</v>
      </c>
      <c r="O55" s="75"/>
      <c r="P55" s="75"/>
      <c r="Q55" s="75">
        <f t="shared" si="3"/>
        <v>0</v>
      </c>
      <c r="R55" s="84">
        <f t="shared" si="4"/>
        <v>1412</v>
      </c>
      <c r="S55" s="84" t="s">
        <v>803</v>
      </c>
      <c r="T55" s="385" t="s">
        <v>687</v>
      </c>
      <c r="U55" s="7"/>
      <c r="V55" s="88"/>
      <c r="W55" s="89"/>
    </row>
    <row r="56" s="1" customFormat="1" ht="27" customHeight="1" spans="1:23">
      <c r="A56" s="48">
        <v>53</v>
      </c>
      <c r="B56" s="15"/>
      <c r="C56" s="56" t="s">
        <v>718</v>
      </c>
      <c r="D56" s="50" t="s">
        <v>181</v>
      </c>
      <c r="E56" s="50" t="s">
        <v>181</v>
      </c>
      <c r="F56" s="55">
        <v>8334</v>
      </c>
      <c r="G56" s="52">
        <v>0.1</v>
      </c>
      <c r="H56" s="53">
        <f t="shared" si="7"/>
        <v>833.4</v>
      </c>
      <c r="I56" s="55">
        <v>5224</v>
      </c>
      <c r="J56" s="52">
        <v>0.05</v>
      </c>
      <c r="K56" s="53">
        <f t="shared" si="8"/>
        <v>261.2</v>
      </c>
      <c r="L56" s="75">
        <v>2</v>
      </c>
      <c r="M56" s="75">
        <v>400</v>
      </c>
      <c r="N56" s="75">
        <f t="shared" si="2"/>
        <v>800</v>
      </c>
      <c r="O56" s="75"/>
      <c r="P56" s="75"/>
      <c r="Q56" s="75">
        <f t="shared" si="3"/>
        <v>0</v>
      </c>
      <c r="R56" s="84">
        <f t="shared" si="4"/>
        <v>1895</v>
      </c>
      <c r="S56" s="84" t="s">
        <v>803</v>
      </c>
      <c r="T56" s="85" t="s">
        <v>182</v>
      </c>
      <c r="U56" s="7"/>
      <c r="V56" s="88" t="s">
        <v>925</v>
      </c>
      <c r="W56" s="89">
        <f>14129*0.1</f>
        <v>1412.9</v>
      </c>
    </row>
    <row r="57" s="1" customFormat="1" ht="27" customHeight="1" spans="1:23">
      <c r="A57" s="48">
        <v>54</v>
      </c>
      <c r="B57" s="15"/>
      <c r="C57" s="58"/>
      <c r="D57" s="50" t="s">
        <v>926</v>
      </c>
      <c r="E57" s="50" t="s">
        <v>927</v>
      </c>
      <c r="F57" s="55">
        <v>3893</v>
      </c>
      <c r="G57" s="52">
        <v>0.1</v>
      </c>
      <c r="H57" s="53">
        <f t="shared" si="7"/>
        <v>389.3</v>
      </c>
      <c r="I57" s="55"/>
      <c r="J57" s="52">
        <v>0.05</v>
      </c>
      <c r="K57" s="53">
        <f t="shared" si="8"/>
        <v>0</v>
      </c>
      <c r="L57" s="75">
        <v>1</v>
      </c>
      <c r="M57" s="75">
        <v>400</v>
      </c>
      <c r="N57" s="75">
        <f t="shared" si="2"/>
        <v>400</v>
      </c>
      <c r="O57" s="75"/>
      <c r="P57" s="75"/>
      <c r="Q57" s="75">
        <f t="shared" si="3"/>
        <v>0</v>
      </c>
      <c r="R57" s="84">
        <f t="shared" si="4"/>
        <v>789</v>
      </c>
      <c r="S57" s="84" t="s">
        <v>52</v>
      </c>
      <c r="T57" s="85" t="s">
        <v>928</v>
      </c>
      <c r="U57" s="7"/>
      <c r="V57" s="88" t="s">
        <v>925</v>
      </c>
      <c r="W57" s="89">
        <f>14129*0.1</f>
        <v>1412.9</v>
      </c>
    </row>
    <row r="58" s="27" customFormat="1" ht="27" customHeight="1" spans="1:23">
      <c r="A58" s="59">
        <v>55</v>
      </c>
      <c r="B58" s="60"/>
      <c r="C58" s="61" t="s">
        <v>929</v>
      </c>
      <c r="D58" s="62" t="s">
        <v>726</v>
      </c>
      <c r="E58" s="62" t="s">
        <v>930</v>
      </c>
      <c r="F58" s="63">
        <v>22156</v>
      </c>
      <c r="G58" s="64">
        <v>0.1</v>
      </c>
      <c r="H58" s="65">
        <f t="shared" ref="H58:H71" si="9">ROUND(F58*G58,)</f>
        <v>2216</v>
      </c>
      <c r="I58" s="63">
        <v>33002</v>
      </c>
      <c r="J58" s="64">
        <v>0.05</v>
      </c>
      <c r="K58" s="65">
        <f t="shared" ref="K58:K71" si="10">ROUND(I58*J58,)</f>
        <v>1650</v>
      </c>
      <c r="L58" s="65">
        <f>3+3</f>
        <v>6</v>
      </c>
      <c r="M58" s="75">
        <v>400</v>
      </c>
      <c r="N58" s="65">
        <f t="shared" si="2"/>
        <v>2400</v>
      </c>
      <c r="O58" s="65"/>
      <c r="P58" s="76">
        <v>0.05</v>
      </c>
      <c r="Q58" s="65">
        <f t="shared" si="3"/>
        <v>0</v>
      </c>
      <c r="R58" s="84">
        <f t="shared" si="4"/>
        <v>6266</v>
      </c>
      <c r="S58" s="65" t="s">
        <v>730</v>
      </c>
      <c r="T58" s="90" t="s">
        <v>729</v>
      </c>
      <c r="U58" s="91"/>
      <c r="V58" s="92" t="s">
        <v>923</v>
      </c>
      <c r="W58" s="67">
        <f t="shared" si="6"/>
        <v>1072.305</v>
      </c>
    </row>
    <row r="59" s="27" customFormat="1" ht="27" customHeight="1" spans="1:23">
      <c r="A59" s="59">
        <v>56</v>
      </c>
      <c r="B59" s="60"/>
      <c r="C59" s="66"/>
      <c r="D59" s="62" t="s">
        <v>726</v>
      </c>
      <c r="E59" s="62" t="s">
        <v>931</v>
      </c>
      <c r="F59" s="63">
        <v>42260</v>
      </c>
      <c r="G59" s="64">
        <v>0.1</v>
      </c>
      <c r="H59" s="65">
        <f t="shared" si="9"/>
        <v>4226</v>
      </c>
      <c r="I59" s="63">
        <v>128223</v>
      </c>
      <c r="J59" s="64">
        <v>0.05</v>
      </c>
      <c r="K59" s="65">
        <f t="shared" si="10"/>
        <v>6411</v>
      </c>
      <c r="L59" s="65">
        <f>4+3</f>
        <v>7</v>
      </c>
      <c r="M59" s="75">
        <v>400</v>
      </c>
      <c r="N59" s="65">
        <f t="shared" si="2"/>
        <v>2800</v>
      </c>
      <c r="O59" s="65">
        <v>29223</v>
      </c>
      <c r="P59" s="76">
        <v>0.05</v>
      </c>
      <c r="Q59" s="65">
        <f t="shared" si="3"/>
        <v>1461.15</v>
      </c>
      <c r="R59" s="84">
        <f t="shared" si="4"/>
        <v>14898</v>
      </c>
      <c r="S59" s="65" t="s">
        <v>730</v>
      </c>
      <c r="T59" s="90" t="s">
        <v>729</v>
      </c>
      <c r="U59" s="91"/>
      <c r="V59" s="92" t="s">
        <v>923</v>
      </c>
      <c r="W59" s="67">
        <f t="shared" si="6"/>
        <v>1072.305</v>
      </c>
    </row>
    <row r="60" s="27" customFormat="1" ht="27" customHeight="1" spans="1:23">
      <c r="A60" s="59">
        <v>57</v>
      </c>
      <c r="B60" s="60"/>
      <c r="C60" s="66"/>
      <c r="D60" s="62" t="s">
        <v>726</v>
      </c>
      <c r="E60" s="62" t="s">
        <v>932</v>
      </c>
      <c r="F60" s="63"/>
      <c r="G60" s="64">
        <v>0.1</v>
      </c>
      <c r="H60" s="65">
        <f t="shared" si="9"/>
        <v>0</v>
      </c>
      <c r="I60" s="63"/>
      <c r="J60" s="64">
        <v>0.05</v>
      </c>
      <c r="K60" s="65">
        <f t="shared" si="10"/>
        <v>0</v>
      </c>
      <c r="L60" s="65"/>
      <c r="M60" s="75">
        <v>400</v>
      </c>
      <c r="N60" s="65">
        <f t="shared" si="2"/>
        <v>0</v>
      </c>
      <c r="O60" s="65"/>
      <c r="P60" s="76">
        <v>0.05</v>
      </c>
      <c r="Q60" s="65">
        <f t="shared" si="3"/>
        <v>0</v>
      </c>
      <c r="R60" s="84">
        <f t="shared" si="4"/>
        <v>0</v>
      </c>
      <c r="S60" s="65" t="s">
        <v>730</v>
      </c>
      <c r="T60" s="90" t="s">
        <v>729</v>
      </c>
      <c r="U60" s="91"/>
      <c r="V60" s="92" t="s">
        <v>923</v>
      </c>
      <c r="W60" s="67">
        <f t="shared" si="6"/>
        <v>1072.305</v>
      </c>
    </row>
    <row r="61" s="27" customFormat="1" ht="27" customHeight="1" spans="1:23">
      <c r="A61" s="59">
        <v>58</v>
      </c>
      <c r="B61" s="60"/>
      <c r="C61" s="67" t="s">
        <v>933</v>
      </c>
      <c r="D61" s="62" t="s">
        <v>726</v>
      </c>
      <c r="E61" s="62" t="s">
        <v>934</v>
      </c>
      <c r="F61" s="63">
        <v>52127</v>
      </c>
      <c r="G61" s="64">
        <v>0.1</v>
      </c>
      <c r="H61" s="65">
        <f t="shared" si="9"/>
        <v>5213</v>
      </c>
      <c r="I61" s="63"/>
      <c r="J61" s="64">
        <v>0.05</v>
      </c>
      <c r="K61" s="65">
        <f t="shared" si="10"/>
        <v>0</v>
      </c>
      <c r="L61" s="65">
        <f>2+4</f>
        <v>6</v>
      </c>
      <c r="M61" s="75">
        <v>400</v>
      </c>
      <c r="N61" s="65">
        <f t="shared" si="2"/>
        <v>2400</v>
      </c>
      <c r="O61" s="65">
        <v>12844</v>
      </c>
      <c r="P61" s="76">
        <v>0.05</v>
      </c>
      <c r="Q61" s="65">
        <f t="shared" si="3"/>
        <v>642.2</v>
      </c>
      <c r="R61" s="84">
        <f t="shared" si="4"/>
        <v>8255</v>
      </c>
      <c r="S61" s="65" t="s">
        <v>730</v>
      </c>
      <c r="T61" s="90" t="s">
        <v>729</v>
      </c>
      <c r="U61" s="91"/>
      <c r="V61" s="92" t="s">
        <v>923</v>
      </c>
      <c r="W61" s="67">
        <f t="shared" si="6"/>
        <v>1072.305</v>
      </c>
    </row>
    <row r="62" s="1" customFormat="1" ht="27" customHeight="1" spans="1:23">
      <c r="A62" s="48">
        <v>59</v>
      </c>
      <c r="B62" s="15"/>
      <c r="C62" s="68" t="s">
        <v>935</v>
      </c>
      <c r="D62" s="50" t="s">
        <v>185</v>
      </c>
      <c r="E62" s="50" t="s">
        <v>186</v>
      </c>
      <c r="F62" s="55"/>
      <c r="G62" s="52">
        <v>0.1</v>
      </c>
      <c r="H62" s="53">
        <f t="shared" si="9"/>
        <v>0</v>
      </c>
      <c r="I62" s="55"/>
      <c r="J62" s="52">
        <v>0.05</v>
      </c>
      <c r="K62" s="53">
        <f t="shared" si="10"/>
        <v>0</v>
      </c>
      <c r="L62" s="75">
        <v>1</v>
      </c>
      <c r="M62" s="75">
        <v>400</v>
      </c>
      <c r="N62" s="75">
        <f t="shared" si="2"/>
        <v>400</v>
      </c>
      <c r="O62" s="75"/>
      <c r="P62" s="75"/>
      <c r="Q62" s="75">
        <f t="shared" si="3"/>
        <v>0</v>
      </c>
      <c r="R62" s="84">
        <f t="shared" si="4"/>
        <v>400</v>
      </c>
      <c r="S62" s="84" t="s">
        <v>730</v>
      </c>
      <c r="T62" s="85" t="s">
        <v>936</v>
      </c>
      <c r="U62" s="7"/>
      <c r="V62" s="88" t="s">
        <v>923</v>
      </c>
      <c r="W62" s="89">
        <f t="shared" si="6"/>
        <v>1072.305</v>
      </c>
    </row>
    <row r="63" s="1" customFormat="1" ht="27" customHeight="1" spans="1:23">
      <c r="A63" s="48">
        <v>59</v>
      </c>
      <c r="B63" s="15"/>
      <c r="C63" s="68"/>
      <c r="D63" s="50" t="s">
        <v>751</v>
      </c>
      <c r="E63" s="50" t="s">
        <v>751</v>
      </c>
      <c r="F63" s="55"/>
      <c r="G63" s="52">
        <v>0.1</v>
      </c>
      <c r="H63" s="53">
        <f t="shared" si="9"/>
        <v>0</v>
      </c>
      <c r="I63" s="55"/>
      <c r="J63" s="52">
        <v>0.05</v>
      </c>
      <c r="K63" s="53">
        <f t="shared" si="10"/>
        <v>0</v>
      </c>
      <c r="L63" s="75">
        <v>1</v>
      </c>
      <c r="M63" s="75">
        <v>400</v>
      </c>
      <c r="N63" s="75">
        <f t="shared" si="2"/>
        <v>400</v>
      </c>
      <c r="O63" s="75"/>
      <c r="P63" s="75"/>
      <c r="Q63" s="75">
        <f t="shared" si="3"/>
        <v>0</v>
      </c>
      <c r="R63" s="84">
        <f t="shared" si="4"/>
        <v>400</v>
      </c>
      <c r="S63" s="84" t="s">
        <v>755</v>
      </c>
      <c r="T63" s="385" t="s">
        <v>937</v>
      </c>
      <c r="U63" s="7"/>
      <c r="V63" s="88" t="s">
        <v>923</v>
      </c>
      <c r="W63" s="89">
        <f t="shared" si="6"/>
        <v>1072.305</v>
      </c>
    </row>
    <row r="64" s="1" customFormat="1" ht="27" customHeight="1" spans="1:23">
      <c r="A64" s="48">
        <v>60</v>
      </c>
      <c r="B64" s="15"/>
      <c r="C64" s="69"/>
      <c r="D64" s="50" t="s">
        <v>938</v>
      </c>
      <c r="E64" s="50" t="s">
        <v>939</v>
      </c>
      <c r="F64" s="55"/>
      <c r="G64" s="52">
        <v>0.1</v>
      </c>
      <c r="H64" s="53">
        <f t="shared" si="9"/>
        <v>0</v>
      </c>
      <c r="I64" s="55">
        <v>11425</v>
      </c>
      <c r="J64" s="52">
        <v>0.05</v>
      </c>
      <c r="K64" s="53">
        <f t="shared" si="10"/>
        <v>571</v>
      </c>
      <c r="L64" s="75">
        <v>4</v>
      </c>
      <c r="M64" s="75">
        <v>400</v>
      </c>
      <c r="N64" s="75">
        <f t="shared" si="2"/>
        <v>1600</v>
      </c>
      <c r="O64" s="75"/>
      <c r="P64" s="75"/>
      <c r="Q64" s="75">
        <f t="shared" si="3"/>
        <v>0</v>
      </c>
      <c r="R64" s="84">
        <f t="shared" si="4"/>
        <v>2171</v>
      </c>
      <c r="S64" s="84" t="s">
        <v>74</v>
      </c>
      <c r="T64" s="85" t="s">
        <v>940</v>
      </c>
      <c r="U64" s="7"/>
      <c r="V64" s="88" t="s">
        <v>923</v>
      </c>
      <c r="W64" s="89">
        <f t="shared" si="6"/>
        <v>1072.305</v>
      </c>
    </row>
    <row r="65" s="1" customFormat="1" ht="27" customHeight="1" spans="1:23">
      <c r="A65" s="48">
        <v>61</v>
      </c>
      <c r="B65" s="15"/>
      <c r="C65" s="68" t="s">
        <v>941</v>
      </c>
      <c r="D65" s="50" t="s">
        <v>740</v>
      </c>
      <c r="E65" s="50" t="s">
        <v>942</v>
      </c>
      <c r="F65" s="55">
        <v>10672</v>
      </c>
      <c r="G65" s="52">
        <v>0.1</v>
      </c>
      <c r="H65" s="53">
        <f t="shared" si="9"/>
        <v>1067</v>
      </c>
      <c r="I65" s="55">
        <v>7064</v>
      </c>
      <c r="J65" s="52">
        <v>0.05</v>
      </c>
      <c r="K65" s="53">
        <f t="shared" si="10"/>
        <v>353</v>
      </c>
      <c r="L65" s="75">
        <v>1</v>
      </c>
      <c r="M65" s="75">
        <v>400</v>
      </c>
      <c r="N65" s="75">
        <f t="shared" si="2"/>
        <v>400</v>
      </c>
      <c r="O65" s="75"/>
      <c r="P65" s="75"/>
      <c r="Q65" s="75">
        <f t="shared" si="3"/>
        <v>0</v>
      </c>
      <c r="R65" s="84">
        <f t="shared" si="4"/>
        <v>1820</v>
      </c>
      <c r="S65" s="84" t="s">
        <v>128</v>
      </c>
      <c r="T65" s="85" t="s">
        <v>745</v>
      </c>
      <c r="U65" s="7"/>
      <c r="V65" s="88" t="s">
        <v>923</v>
      </c>
      <c r="W65" s="89">
        <f t="shared" si="6"/>
        <v>1072.305</v>
      </c>
    </row>
    <row r="66" s="1" customFormat="1" ht="27" customHeight="1" spans="1:23">
      <c r="A66" s="48">
        <v>62</v>
      </c>
      <c r="B66" s="15"/>
      <c r="C66" s="69"/>
      <c r="D66" s="50" t="s">
        <v>943</v>
      </c>
      <c r="E66" s="50" t="s">
        <v>944</v>
      </c>
      <c r="F66" s="55">
        <v>3793</v>
      </c>
      <c r="G66" s="52">
        <v>0.1</v>
      </c>
      <c r="H66" s="53">
        <f t="shared" si="9"/>
        <v>379</v>
      </c>
      <c r="I66" s="55">
        <v>7443</v>
      </c>
      <c r="J66" s="52">
        <v>0.05</v>
      </c>
      <c r="K66" s="53">
        <f t="shared" si="10"/>
        <v>372</v>
      </c>
      <c r="L66" s="75">
        <v>1</v>
      </c>
      <c r="M66" s="75">
        <v>400</v>
      </c>
      <c r="N66" s="75">
        <f t="shared" si="2"/>
        <v>400</v>
      </c>
      <c r="O66" s="75"/>
      <c r="P66" s="75"/>
      <c r="Q66" s="75">
        <f t="shared" si="3"/>
        <v>0</v>
      </c>
      <c r="R66" s="84">
        <f t="shared" si="4"/>
        <v>1151</v>
      </c>
      <c r="S66" s="84" t="s">
        <v>74</v>
      </c>
      <c r="T66" s="85" t="s">
        <v>945</v>
      </c>
      <c r="U66" s="7"/>
      <c r="V66" s="88" t="s">
        <v>923</v>
      </c>
      <c r="W66" s="89">
        <f t="shared" si="6"/>
        <v>1072.305</v>
      </c>
    </row>
    <row r="67" s="1" customFormat="1" ht="27" customHeight="1" spans="1:23">
      <c r="A67" s="48">
        <v>63</v>
      </c>
      <c r="B67" s="15"/>
      <c r="C67" s="49" t="s">
        <v>946</v>
      </c>
      <c r="D67" s="50" t="s">
        <v>736</v>
      </c>
      <c r="E67" s="50" t="s">
        <v>947</v>
      </c>
      <c r="F67" s="55">
        <v>14141</v>
      </c>
      <c r="G67" s="52">
        <v>0.1</v>
      </c>
      <c r="H67" s="53">
        <f t="shared" si="9"/>
        <v>1414</v>
      </c>
      <c r="I67" s="55">
        <v>23130</v>
      </c>
      <c r="J67" s="52">
        <v>0.05</v>
      </c>
      <c r="K67" s="53">
        <f t="shared" si="10"/>
        <v>1157</v>
      </c>
      <c r="L67" s="75">
        <v>6</v>
      </c>
      <c r="M67" s="75">
        <v>400</v>
      </c>
      <c r="N67" s="75">
        <f t="shared" si="2"/>
        <v>2400</v>
      </c>
      <c r="O67" s="75"/>
      <c r="P67" s="75"/>
      <c r="Q67" s="75">
        <f t="shared" si="3"/>
        <v>0</v>
      </c>
      <c r="R67" s="84">
        <f t="shared" si="4"/>
        <v>4971</v>
      </c>
      <c r="S67" s="84" t="s">
        <v>74</v>
      </c>
      <c r="T67" s="85" t="s">
        <v>739</v>
      </c>
      <c r="U67" s="7"/>
      <c r="V67" s="88" t="s">
        <v>923</v>
      </c>
      <c r="W67" s="89">
        <f t="shared" si="6"/>
        <v>1072.305</v>
      </c>
    </row>
    <row r="68" s="1" customFormat="1" ht="27" customHeight="1" spans="1:23">
      <c r="A68" s="48">
        <v>64</v>
      </c>
      <c r="B68" s="15"/>
      <c r="C68" s="68" t="s">
        <v>948</v>
      </c>
      <c r="D68" s="56" t="s">
        <v>756</v>
      </c>
      <c r="E68" s="50" t="s">
        <v>949</v>
      </c>
      <c r="F68" s="55"/>
      <c r="G68" s="52">
        <v>0.1</v>
      </c>
      <c r="H68" s="53">
        <f t="shared" si="9"/>
        <v>0</v>
      </c>
      <c r="I68" s="55">
        <v>3847</v>
      </c>
      <c r="J68" s="52">
        <v>0.05</v>
      </c>
      <c r="K68" s="53">
        <f t="shared" si="10"/>
        <v>192</v>
      </c>
      <c r="L68" s="75">
        <v>8</v>
      </c>
      <c r="M68" s="75">
        <v>400</v>
      </c>
      <c r="N68" s="75">
        <f t="shared" ref="N68:N76" si="11">M68*L68</f>
        <v>3200</v>
      </c>
      <c r="O68" s="75"/>
      <c r="P68" s="75"/>
      <c r="Q68" s="75">
        <f t="shared" ref="Q68:Q76" si="12">P68*O68</f>
        <v>0</v>
      </c>
      <c r="R68" s="84">
        <f t="shared" ref="R68:R77" si="13">ROUND(H68+Q68+N68+K68,)</f>
        <v>3392</v>
      </c>
      <c r="S68" s="111" t="s">
        <v>78</v>
      </c>
      <c r="T68" s="112" t="s">
        <v>759</v>
      </c>
      <c r="U68" s="7"/>
      <c r="V68" s="88" t="s">
        <v>923</v>
      </c>
      <c r="W68" s="89">
        <f t="shared" si="6"/>
        <v>1072.305</v>
      </c>
    </row>
    <row r="69" s="1" customFormat="1" ht="27" customHeight="1" spans="1:23">
      <c r="A69" s="48">
        <v>65</v>
      </c>
      <c r="B69" s="15"/>
      <c r="C69" s="93"/>
      <c r="D69" s="94"/>
      <c r="E69" s="50" t="s">
        <v>858</v>
      </c>
      <c r="F69" s="55"/>
      <c r="G69" s="52">
        <v>0.1</v>
      </c>
      <c r="H69" s="53">
        <f t="shared" si="9"/>
        <v>0</v>
      </c>
      <c r="I69" s="55"/>
      <c r="J69" s="52">
        <v>0.05</v>
      </c>
      <c r="K69" s="53">
        <f t="shared" si="10"/>
        <v>0</v>
      </c>
      <c r="L69" s="75"/>
      <c r="M69" s="75">
        <v>400</v>
      </c>
      <c r="N69" s="75">
        <f t="shared" si="11"/>
        <v>0</v>
      </c>
      <c r="O69" s="75"/>
      <c r="P69" s="75"/>
      <c r="Q69" s="75">
        <f t="shared" si="12"/>
        <v>0</v>
      </c>
      <c r="R69" s="84">
        <f t="shared" si="13"/>
        <v>0</v>
      </c>
      <c r="S69" s="113"/>
      <c r="T69" s="114"/>
      <c r="U69" s="7"/>
      <c r="V69" s="88" t="s">
        <v>923</v>
      </c>
      <c r="W69" s="89">
        <f t="shared" si="6"/>
        <v>1072.305</v>
      </c>
    </row>
    <row r="70" s="1" customFormat="1" ht="27" customHeight="1" spans="1:23">
      <c r="A70" s="48">
        <v>66</v>
      </c>
      <c r="B70" s="15"/>
      <c r="C70" s="69"/>
      <c r="D70" s="94"/>
      <c r="E70" s="50" t="s">
        <v>950</v>
      </c>
      <c r="F70" s="55"/>
      <c r="G70" s="52">
        <v>0.1</v>
      </c>
      <c r="H70" s="53">
        <f t="shared" si="9"/>
        <v>0</v>
      </c>
      <c r="I70" s="55">
        <v>15782</v>
      </c>
      <c r="J70" s="52">
        <v>0.05</v>
      </c>
      <c r="K70" s="53">
        <f t="shared" si="10"/>
        <v>789</v>
      </c>
      <c r="L70" s="75">
        <v>4</v>
      </c>
      <c r="M70" s="75">
        <v>400</v>
      </c>
      <c r="N70" s="75">
        <f t="shared" si="11"/>
        <v>1600</v>
      </c>
      <c r="O70" s="75"/>
      <c r="P70" s="75"/>
      <c r="Q70" s="75">
        <f t="shared" si="12"/>
        <v>0</v>
      </c>
      <c r="R70" s="84">
        <f t="shared" si="13"/>
        <v>2389</v>
      </c>
      <c r="S70" s="113"/>
      <c r="T70" s="114"/>
      <c r="U70" s="7"/>
      <c r="V70" s="88" t="s">
        <v>923</v>
      </c>
      <c r="W70" s="89">
        <f t="shared" si="6"/>
        <v>1072.305</v>
      </c>
    </row>
    <row r="71" s="1" customFormat="1" ht="27" customHeight="1" spans="1:23">
      <c r="A71" s="48">
        <v>67</v>
      </c>
      <c r="B71" s="15"/>
      <c r="C71" s="49"/>
      <c r="D71" s="57"/>
      <c r="E71" s="50" t="s">
        <v>951</v>
      </c>
      <c r="F71" s="55"/>
      <c r="G71" s="52">
        <v>0.1</v>
      </c>
      <c r="H71" s="53">
        <f t="shared" si="9"/>
        <v>0</v>
      </c>
      <c r="I71" s="55"/>
      <c r="J71" s="52">
        <v>0.05</v>
      </c>
      <c r="K71" s="53">
        <f t="shared" si="10"/>
        <v>0</v>
      </c>
      <c r="L71" s="75">
        <v>6</v>
      </c>
      <c r="M71" s="75">
        <v>400</v>
      </c>
      <c r="N71" s="75">
        <f t="shared" si="11"/>
        <v>2400</v>
      </c>
      <c r="O71" s="75"/>
      <c r="P71" s="75"/>
      <c r="Q71" s="75">
        <f t="shared" si="12"/>
        <v>0</v>
      </c>
      <c r="R71" s="84">
        <f t="shared" si="13"/>
        <v>2400</v>
      </c>
      <c r="S71" s="115"/>
      <c r="T71" s="116"/>
      <c r="U71" s="7"/>
      <c r="V71" s="88" t="s">
        <v>923</v>
      </c>
      <c r="W71" s="89">
        <f t="shared" si="6"/>
        <v>1072.305</v>
      </c>
    </row>
    <row r="72" s="1" customFormat="1" ht="27" customHeight="1" spans="1:23">
      <c r="A72" s="48">
        <v>55</v>
      </c>
      <c r="B72" s="15"/>
      <c r="C72" s="56" t="s">
        <v>952</v>
      </c>
      <c r="D72" s="50" t="s">
        <v>763</v>
      </c>
      <c r="E72" s="54" t="s">
        <v>763</v>
      </c>
      <c r="F72" s="55"/>
      <c r="G72" s="52">
        <v>0.1</v>
      </c>
      <c r="H72" s="53">
        <f t="shared" ref="H72:H76" si="14">F72*G72</f>
        <v>0</v>
      </c>
      <c r="I72" s="55"/>
      <c r="J72" s="52">
        <v>0.05</v>
      </c>
      <c r="K72" s="53">
        <f t="shared" ref="K72:K76" si="15">I72*J72</f>
        <v>0</v>
      </c>
      <c r="L72" s="75"/>
      <c r="M72" s="75">
        <v>400</v>
      </c>
      <c r="N72" s="75">
        <f t="shared" si="11"/>
        <v>0</v>
      </c>
      <c r="O72" s="75"/>
      <c r="P72" s="75"/>
      <c r="Q72" s="75">
        <f t="shared" si="12"/>
        <v>0</v>
      </c>
      <c r="R72" s="84">
        <f t="shared" si="13"/>
        <v>0</v>
      </c>
      <c r="S72" s="84" t="s">
        <v>862</v>
      </c>
      <c r="T72" s="385" t="s">
        <v>764</v>
      </c>
      <c r="U72" s="7"/>
      <c r="V72" s="88"/>
      <c r="W72" s="89"/>
    </row>
    <row r="73" s="1" customFormat="1" ht="27" customHeight="1" spans="1:23">
      <c r="A73" s="48">
        <v>57</v>
      </c>
      <c r="B73" s="15"/>
      <c r="C73" s="95"/>
      <c r="D73" s="50" t="s">
        <v>765</v>
      </c>
      <c r="E73" s="50" t="s">
        <v>953</v>
      </c>
      <c r="F73" s="55"/>
      <c r="G73" s="52">
        <v>0.1</v>
      </c>
      <c r="H73" s="53">
        <f t="shared" si="14"/>
        <v>0</v>
      </c>
      <c r="I73" s="55"/>
      <c r="J73" s="52">
        <v>0.05</v>
      </c>
      <c r="K73" s="53">
        <f t="shared" si="15"/>
        <v>0</v>
      </c>
      <c r="L73" s="75">
        <v>1</v>
      </c>
      <c r="M73" s="75">
        <v>400</v>
      </c>
      <c r="N73" s="75">
        <f t="shared" si="11"/>
        <v>400</v>
      </c>
      <c r="O73" s="75"/>
      <c r="P73" s="75"/>
      <c r="Q73" s="75">
        <f t="shared" si="12"/>
        <v>0</v>
      </c>
      <c r="R73" s="84">
        <f t="shared" si="13"/>
        <v>400</v>
      </c>
      <c r="S73" s="84" t="s">
        <v>862</v>
      </c>
      <c r="T73" s="385" t="s">
        <v>766</v>
      </c>
      <c r="U73" s="7"/>
      <c r="V73" s="88"/>
      <c r="W73" s="89"/>
    </row>
    <row r="74" s="1" customFormat="1" ht="27" customHeight="1" spans="1:23">
      <c r="A74" s="48">
        <v>56</v>
      </c>
      <c r="B74" s="15"/>
      <c r="C74" s="95"/>
      <c r="D74" s="50" t="s">
        <v>129</v>
      </c>
      <c r="E74" s="54" t="s">
        <v>129</v>
      </c>
      <c r="F74" s="55"/>
      <c r="G74" s="52">
        <v>0.1</v>
      </c>
      <c r="H74" s="53">
        <f t="shared" si="14"/>
        <v>0</v>
      </c>
      <c r="I74" s="55"/>
      <c r="J74" s="52">
        <v>0.05</v>
      </c>
      <c r="K74" s="53">
        <f t="shared" si="15"/>
        <v>0</v>
      </c>
      <c r="L74" s="75"/>
      <c r="M74" s="75">
        <v>400</v>
      </c>
      <c r="N74" s="75">
        <f t="shared" si="11"/>
        <v>0</v>
      </c>
      <c r="O74" s="75"/>
      <c r="P74" s="75"/>
      <c r="Q74" s="75">
        <f t="shared" si="12"/>
        <v>0</v>
      </c>
      <c r="R74" s="84">
        <f t="shared" si="13"/>
        <v>0</v>
      </c>
      <c r="S74" s="84" t="s">
        <v>862</v>
      </c>
      <c r="T74" s="385" t="s">
        <v>130</v>
      </c>
      <c r="U74" s="7"/>
      <c r="V74" s="88"/>
      <c r="W74" s="89"/>
    </row>
    <row r="75" s="1" customFormat="1" ht="27" customHeight="1" spans="1:23">
      <c r="A75" s="48">
        <v>57</v>
      </c>
      <c r="B75" s="15"/>
      <c r="C75" s="95"/>
      <c r="D75" s="50" t="s">
        <v>761</v>
      </c>
      <c r="E75" s="50" t="s">
        <v>761</v>
      </c>
      <c r="F75" s="55"/>
      <c r="G75" s="52">
        <v>0.1</v>
      </c>
      <c r="H75" s="53">
        <f t="shared" si="14"/>
        <v>0</v>
      </c>
      <c r="I75" s="55"/>
      <c r="J75" s="52">
        <v>0.05</v>
      </c>
      <c r="K75" s="53">
        <f t="shared" si="15"/>
        <v>0</v>
      </c>
      <c r="L75" s="75"/>
      <c r="M75" s="75">
        <v>400</v>
      </c>
      <c r="N75" s="75">
        <f t="shared" si="11"/>
        <v>0</v>
      </c>
      <c r="O75" s="75"/>
      <c r="P75" s="75"/>
      <c r="Q75" s="75">
        <f t="shared" si="12"/>
        <v>0</v>
      </c>
      <c r="R75" s="84">
        <f t="shared" si="13"/>
        <v>0</v>
      </c>
      <c r="S75" s="84" t="s">
        <v>862</v>
      </c>
      <c r="T75" s="385" t="s">
        <v>762</v>
      </c>
      <c r="U75" s="7"/>
      <c r="V75" s="88"/>
      <c r="W75" s="89"/>
    </row>
    <row r="76" s="1" customFormat="1" ht="27" customHeight="1" spans="1:23">
      <c r="A76" s="48">
        <v>58</v>
      </c>
      <c r="B76" s="15"/>
      <c r="C76" s="58"/>
      <c r="D76" s="50" t="s">
        <v>771</v>
      </c>
      <c r="E76" s="50" t="s">
        <v>773</v>
      </c>
      <c r="F76" s="55"/>
      <c r="G76" s="52">
        <v>0.1</v>
      </c>
      <c r="H76" s="53">
        <f t="shared" si="14"/>
        <v>0</v>
      </c>
      <c r="I76" s="55"/>
      <c r="J76" s="52">
        <v>0.05</v>
      </c>
      <c r="K76" s="53">
        <f t="shared" si="15"/>
        <v>0</v>
      </c>
      <c r="L76" s="75"/>
      <c r="M76" s="75">
        <v>400</v>
      </c>
      <c r="N76" s="75">
        <f t="shared" si="11"/>
        <v>0</v>
      </c>
      <c r="O76" s="75"/>
      <c r="P76" s="75"/>
      <c r="Q76" s="75">
        <f t="shared" si="12"/>
        <v>0</v>
      </c>
      <c r="R76" s="84">
        <f t="shared" si="13"/>
        <v>0</v>
      </c>
      <c r="S76" s="84" t="s">
        <v>862</v>
      </c>
      <c r="T76" s="385" t="s">
        <v>772</v>
      </c>
      <c r="U76" s="7"/>
      <c r="V76" s="88" t="s">
        <v>954</v>
      </c>
      <c r="W76" s="89">
        <f>4722*0.1</f>
        <v>472.2</v>
      </c>
    </row>
    <row r="77" s="28" customFormat="1" ht="35" customHeight="1" spans="1:23">
      <c r="A77" s="96" t="s">
        <v>16</v>
      </c>
      <c r="B77" s="97"/>
      <c r="C77" s="97"/>
      <c r="D77" s="97"/>
      <c r="E77" s="97"/>
      <c r="F77" s="98"/>
      <c r="G77" s="99"/>
      <c r="H77" s="100">
        <f t="shared" ref="H77:L77" si="16">SUM(H4:H76)</f>
        <v>59554.3</v>
      </c>
      <c r="I77" s="98"/>
      <c r="J77" s="99"/>
      <c r="K77" s="100">
        <f t="shared" si="16"/>
        <v>56108.2</v>
      </c>
      <c r="L77" s="110">
        <f t="shared" si="16"/>
        <v>199</v>
      </c>
      <c r="M77" s="110"/>
      <c r="N77" s="110">
        <f t="shared" ref="N77:Q77" si="17">SUM(N4:N76)</f>
        <v>79600</v>
      </c>
      <c r="O77" s="110">
        <f t="shared" si="17"/>
        <v>42067</v>
      </c>
      <c r="P77" s="110"/>
      <c r="Q77" s="110">
        <f t="shared" si="17"/>
        <v>2103.35</v>
      </c>
      <c r="R77" s="84">
        <f t="shared" si="13"/>
        <v>197366</v>
      </c>
      <c r="S77" s="110"/>
      <c r="T77" s="117"/>
      <c r="U77" s="97"/>
      <c r="V77" s="118"/>
      <c r="W77" s="110"/>
    </row>
    <row r="78" s="28" customFormat="1" ht="35" customHeight="1" spans="1:23">
      <c r="A78" s="101"/>
      <c r="B78" s="102"/>
      <c r="C78" s="102"/>
      <c r="D78" s="102"/>
      <c r="E78" s="103"/>
      <c r="F78" s="104"/>
      <c r="G78" s="105"/>
      <c r="H78" s="106"/>
      <c r="I78" s="104"/>
      <c r="J78" s="105"/>
      <c r="K78" s="106"/>
      <c r="L78" s="106"/>
      <c r="M78" s="106"/>
      <c r="N78" s="106"/>
      <c r="O78" s="106"/>
      <c r="P78" s="106"/>
      <c r="Q78" s="106"/>
      <c r="R78" s="106"/>
      <c r="S78" s="106"/>
      <c r="T78" s="119"/>
      <c r="U78" s="102"/>
      <c r="V78" s="102"/>
      <c r="W78" s="106"/>
    </row>
    <row r="79" customHeight="1" spans="3:20">
      <c r="C79" s="107" t="s">
        <v>955</v>
      </c>
      <c r="D79" s="107"/>
      <c r="E79" s="108"/>
      <c r="F79" s="109" t="s">
        <v>956</v>
      </c>
      <c r="G79" s="108"/>
      <c r="I79" s="109" t="s">
        <v>956</v>
      </c>
      <c r="J79" s="108"/>
      <c r="T79" s="109" t="s">
        <v>957</v>
      </c>
    </row>
  </sheetData>
  <autoFilter ref="A2:U77">
    <extLst/>
  </autoFilter>
  <mergeCells count="35">
    <mergeCell ref="A1:U1"/>
    <mergeCell ref="F2:K2"/>
    <mergeCell ref="L2:N2"/>
    <mergeCell ref="O2:Q2"/>
    <mergeCell ref="C79:D79"/>
    <mergeCell ref="A2:A3"/>
    <mergeCell ref="C2:C3"/>
    <mergeCell ref="C4:C8"/>
    <mergeCell ref="C9:C11"/>
    <mergeCell ref="C12:C14"/>
    <mergeCell ref="C15:C17"/>
    <mergeCell ref="C19:C20"/>
    <mergeCell ref="C21:C24"/>
    <mergeCell ref="C25:C27"/>
    <mergeCell ref="C28:C29"/>
    <mergeCell ref="C30:C32"/>
    <mergeCell ref="C33:C36"/>
    <mergeCell ref="C37:C40"/>
    <mergeCell ref="C41:C50"/>
    <mergeCell ref="C51:C53"/>
    <mergeCell ref="C56:C57"/>
    <mergeCell ref="C58:C60"/>
    <mergeCell ref="C62:C64"/>
    <mergeCell ref="C65:C66"/>
    <mergeCell ref="C68:C71"/>
    <mergeCell ref="C72:C76"/>
    <mergeCell ref="D2:D3"/>
    <mergeCell ref="D68:D71"/>
    <mergeCell ref="E2:E3"/>
    <mergeCell ref="R2:R3"/>
    <mergeCell ref="S2:S3"/>
    <mergeCell ref="S68:S71"/>
    <mergeCell ref="T2:T3"/>
    <mergeCell ref="T68:T71"/>
    <mergeCell ref="U2:U3"/>
  </mergeCells>
  <pageMargins left="0.314583333333333" right="0.196527777777778" top="0.314583333333333" bottom="0.236111111111111" header="0.236111111111111" footer="0.156944444444444"/>
  <pageSetup paperSize="9" orientation="landscape" horizontalDpi="600"/>
  <headerFooter>
    <oddFooter>&amp;C第 &amp;P 页，共 &amp;N 页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zoomScale="80" zoomScaleNormal="80" workbookViewId="0">
      <selection activeCell="C6" sqref="C6"/>
    </sheetView>
  </sheetViews>
  <sheetFormatPr defaultColWidth="9" defaultRowHeight="41.25" customHeight="1"/>
  <cols>
    <col min="1" max="1" width="5.275" style="2" customWidth="1"/>
    <col min="2" max="2" width="12.075" style="2" customWidth="1"/>
    <col min="3" max="3" width="30.1416666666667" style="3" customWidth="1"/>
    <col min="4" max="4" width="11.6666666666667" style="2" customWidth="1"/>
    <col min="5" max="5" width="11.6666666666667" style="4" customWidth="1"/>
    <col min="6" max="6" width="14.4416666666667" style="2" customWidth="1"/>
    <col min="7" max="7" width="14.8583333333333" style="4" customWidth="1"/>
    <col min="8" max="8" width="14.8666666666667" style="4" hidden="1" customWidth="1"/>
    <col min="9" max="9" width="14.3083333333333" style="4" hidden="1" customWidth="1"/>
    <col min="10" max="10" width="16.6666666666667" style="4" customWidth="1"/>
    <col min="11" max="11" width="69.8416666666667" style="2" customWidth="1"/>
    <col min="12" max="12" width="10.25" style="1" customWidth="1"/>
    <col min="13" max="16384" width="9" style="1"/>
  </cols>
  <sheetData>
    <row r="1" s="1" customFormat="1" ht="31" customHeight="1" spans="1:11">
      <c r="A1" s="5" t="s">
        <v>958</v>
      </c>
      <c r="B1" s="5"/>
      <c r="C1" s="5"/>
      <c r="D1" s="5"/>
      <c r="E1" s="6"/>
      <c r="F1" s="5"/>
      <c r="G1" s="5"/>
      <c r="H1" s="5"/>
      <c r="I1" s="5"/>
      <c r="J1" s="5"/>
      <c r="K1" s="5"/>
    </row>
    <row r="2" s="1" customFormat="1" ht="27" customHeight="1" spans="1:11">
      <c r="A2" s="7" t="s">
        <v>1</v>
      </c>
      <c r="B2" s="8" t="s">
        <v>553</v>
      </c>
      <c r="C2" s="9" t="s">
        <v>781</v>
      </c>
      <c r="D2" s="8" t="s">
        <v>782</v>
      </c>
      <c r="E2" s="10" t="s">
        <v>959</v>
      </c>
      <c r="F2" s="11" t="s">
        <v>960</v>
      </c>
      <c r="G2" s="12" t="s">
        <v>7</v>
      </c>
      <c r="H2" s="13" t="s">
        <v>961</v>
      </c>
      <c r="I2" s="13" t="s">
        <v>7</v>
      </c>
      <c r="J2" s="12" t="s">
        <v>591</v>
      </c>
      <c r="K2" s="7" t="s">
        <v>563</v>
      </c>
    </row>
    <row r="3" s="1" customFormat="1" ht="27" customHeight="1" spans="1:11">
      <c r="A3" s="14">
        <v>1</v>
      </c>
      <c r="B3" s="15" t="s">
        <v>633</v>
      </c>
      <c r="C3" s="16" t="s">
        <v>962</v>
      </c>
      <c r="D3" s="17">
        <v>0.05</v>
      </c>
      <c r="E3" s="18">
        <f t="shared" ref="E3:E6" si="0">F3+H3</f>
        <v>33729</v>
      </c>
      <c r="F3" s="19">
        <v>33729</v>
      </c>
      <c r="G3" s="20">
        <f t="shared" ref="G3:G6" si="1">ROUND(F3*D3,)</f>
        <v>1686</v>
      </c>
      <c r="H3" s="19"/>
      <c r="I3" s="19">
        <f t="shared" ref="I3:I6" si="2">ROUND(H3*D3,)</f>
        <v>0</v>
      </c>
      <c r="J3" s="20">
        <f t="shared" ref="J3:J6" si="3">G3+I3</f>
        <v>1686</v>
      </c>
      <c r="K3" s="25"/>
    </row>
    <row r="4" s="1" customFormat="1" ht="27" customHeight="1" spans="1:11">
      <c r="A4" s="14">
        <v>2</v>
      </c>
      <c r="B4" s="15" t="s">
        <v>836</v>
      </c>
      <c r="C4" s="16" t="s">
        <v>963</v>
      </c>
      <c r="D4" s="17">
        <v>0.03</v>
      </c>
      <c r="E4" s="18">
        <f t="shared" si="0"/>
        <v>105523</v>
      </c>
      <c r="F4" s="19">
        <v>105523</v>
      </c>
      <c r="G4" s="20">
        <f t="shared" si="1"/>
        <v>3166</v>
      </c>
      <c r="H4" s="19"/>
      <c r="I4" s="19">
        <f t="shared" si="2"/>
        <v>0</v>
      </c>
      <c r="J4" s="20">
        <f t="shared" si="3"/>
        <v>3166</v>
      </c>
      <c r="K4" s="26" t="s">
        <v>964</v>
      </c>
    </row>
    <row r="5" s="1" customFormat="1" ht="27" customHeight="1" spans="1:11">
      <c r="A5" s="14">
        <v>3</v>
      </c>
      <c r="B5" s="15" t="s">
        <v>633</v>
      </c>
      <c r="C5" s="16" t="s">
        <v>965</v>
      </c>
      <c r="D5" s="17">
        <v>0.05</v>
      </c>
      <c r="E5" s="18">
        <f t="shared" si="0"/>
        <v>94060</v>
      </c>
      <c r="F5" s="19">
        <v>94060</v>
      </c>
      <c r="G5" s="20">
        <f t="shared" si="1"/>
        <v>4703</v>
      </c>
      <c r="H5" s="19"/>
      <c r="I5" s="19">
        <f t="shared" si="2"/>
        <v>0</v>
      </c>
      <c r="J5" s="20">
        <f t="shared" si="3"/>
        <v>4703</v>
      </c>
      <c r="K5" s="26" t="s">
        <v>966</v>
      </c>
    </row>
    <row r="6" s="1" customFormat="1" ht="27" customHeight="1" spans="1:11">
      <c r="A6" s="14">
        <v>4</v>
      </c>
      <c r="B6" s="15" t="s">
        <v>867</v>
      </c>
      <c r="C6" s="16" t="s">
        <v>967</v>
      </c>
      <c r="D6" s="17">
        <v>0.04</v>
      </c>
      <c r="E6" s="18">
        <f t="shared" si="0"/>
        <v>117230</v>
      </c>
      <c r="F6" s="19">
        <v>117230</v>
      </c>
      <c r="G6" s="20">
        <f t="shared" si="1"/>
        <v>4689</v>
      </c>
      <c r="H6" s="19"/>
      <c r="I6" s="19">
        <f t="shared" si="2"/>
        <v>0</v>
      </c>
      <c r="J6" s="20">
        <f t="shared" si="3"/>
        <v>4689</v>
      </c>
      <c r="K6" s="26" t="s">
        <v>968</v>
      </c>
    </row>
    <row r="7" s="1" customFormat="1" ht="35" customHeight="1" spans="1:11">
      <c r="A7" s="21" t="s">
        <v>16</v>
      </c>
      <c r="B7" s="22"/>
      <c r="C7" s="23"/>
      <c r="D7" s="22"/>
      <c r="E7" s="24"/>
      <c r="F7" s="22"/>
      <c r="G7" s="24">
        <f>SUM(G3:G6)</f>
        <v>14244</v>
      </c>
      <c r="H7" s="24"/>
      <c r="I7" s="24">
        <f>SUM(I3:I4)</f>
        <v>0</v>
      </c>
      <c r="J7" s="24">
        <f>SUM(J3:J6)</f>
        <v>14244</v>
      </c>
      <c r="K7" s="22"/>
    </row>
    <row r="9" customHeight="1" spans="6:6">
      <c r="F9" s="2" t="s">
        <v>969</v>
      </c>
    </row>
  </sheetData>
  <mergeCells count="1">
    <mergeCell ref="A1:K1"/>
  </mergeCells>
  <pageMargins left="0.75" right="0.75" top="1" bottom="1" header="0.51" footer="0.5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DJ部</vt:lpstr>
      <vt:lpstr>商务部 实发</vt:lpstr>
      <vt:lpstr>商务部业绩奖励</vt:lpstr>
      <vt:lpstr>商务部酒水奖励（现金）</vt:lpstr>
      <vt:lpstr>商务部红酒啤酒洋酒奖励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bit1423320137</cp:lastModifiedBy>
  <dcterms:created xsi:type="dcterms:W3CDTF">2024-05-21T03:30:00Z</dcterms:created>
  <dcterms:modified xsi:type="dcterms:W3CDTF">2024-05-22T02:27:19Z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E7A48D90F067455399B7C63301A03B1F_11</vt:lpwstr>
  </property>
  <property fmtid="{D5CDD505-2E9C-101B-9397-08002B2CF9AE}" pid="3" name="KSOProductBuildVer">
    <vt:lpwstr>2052-12.1.0.16729</vt:lpwstr>
  </property>
</Properties>
</file>