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95"/>
  </bookViews>
  <sheets>
    <sheet name="3F账单统计表 (2)" sheetId="1" r:id="rId1"/>
  </sheets>
  <definedNames>
    <definedName name="_xlnm._FilterDatabase" localSheetId="0" hidden="1">'3F账单统计表 (2)'!$A$5:$BQ$695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pengqin</author>
    <author>Administrator</author>
  </authors>
  <commentList>
    <comment ref="AP3" authorId="0">
      <text>
        <r>
          <rPr>
            <b/>
            <sz val="9"/>
            <rFont val="宋体"/>
            <charset val="134"/>
          </rPr>
          <t>pengqin:</t>
        </r>
        <r>
          <rPr>
            <sz val="9"/>
            <rFont val="宋体"/>
            <charset val="134"/>
          </rPr>
          <t xml:space="preserve">
不计业绩，不计提成</t>
        </r>
      </text>
    </comment>
    <comment ref="BF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黄色标记部分为95折买单</t>
        </r>
      </text>
    </comment>
    <comment ref="F59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马爹利尚选XXO10990*5</t>
        </r>
      </text>
    </comment>
    <comment ref="F326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黑桃A
8990*1</t>
        </r>
      </text>
    </comment>
    <comment ref="F49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麦卡伦18年 5*13900</t>
        </r>
      </text>
    </comment>
  </commentList>
</comments>
</file>

<file path=xl/sharedStrings.xml><?xml version="1.0" encoding="utf-8"?>
<sst xmlns="http://schemas.openxmlformats.org/spreadsheetml/2006/main" count="2165" uniqueCount="340">
  <si>
    <t>维也纳2024年04月帐单统计表（单价6000元以上洋酒业绩提成一律按20%执行）</t>
  </si>
  <si>
    <t>日期</t>
  </si>
  <si>
    <t>流水号</t>
  </si>
  <si>
    <t>房号</t>
  </si>
  <si>
    <t>商务</t>
  </si>
  <si>
    <t>DJ</t>
  </si>
  <si>
    <t>散客</t>
  </si>
  <si>
    <t>会员卡</t>
  </si>
  <si>
    <r>
      <t>SD</t>
    </r>
    <r>
      <rPr>
        <sz val="11"/>
        <color indexed="8"/>
        <rFont val="宋体"/>
        <charset val="134"/>
      </rPr>
      <t>赠送卡</t>
    </r>
  </si>
  <si>
    <t>免单，挂单</t>
  </si>
  <si>
    <t>烟/赔偿</t>
  </si>
  <si>
    <t>火腿</t>
  </si>
  <si>
    <t>业绩</t>
  </si>
  <si>
    <t>合计</t>
  </si>
  <si>
    <t>备注</t>
  </si>
  <si>
    <t>刷卡</t>
  </si>
  <si>
    <t>现金</t>
  </si>
  <si>
    <t>支付宝</t>
  </si>
  <si>
    <t>人数</t>
  </si>
  <si>
    <t>酒水买单方式</t>
  </si>
  <si>
    <t>其他</t>
  </si>
  <si>
    <t>订房人</t>
  </si>
  <si>
    <t>跟台</t>
  </si>
  <si>
    <t>6000+酒类</t>
  </si>
  <si>
    <t>洋酒业绩</t>
  </si>
  <si>
    <t>红酒业绩</t>
  </si>
  <si>
    <t>啤酒业绩</t>
  </si>
  <si>
    <t>小吃</t>
  </si>
  <si>
    <t>其他业绩</t>
  </si>
  <si>
    <t>业绩小计</t>
  </si>
  <si>
    <t>卡号</t>
  </si>
  <si>
    <t>烟赔偿</t>
  </si>
  <si>
    <t>全单</t>
  </si>
  <si>
    <t>95折</t>
  </si>
  <si>
    <t>免服买单</t>
  </si>
  <si>
    <t>小费</t>
  </si>
  <si>
    <t>手续费</t>
  </si>
  <si>
    <t>杂支</t>
  </si>
  <si>
    <t>手续</t>
  </si>
  <si>
    <t>酒水</t>
  </si>
  <si>
    <t>4.01</t>
  </si>
  <si>
    <r>
      <t>李林</t>
    </r>
    <r>
      <rPr>
        <sz val="11"/>
        <rFont val="Tahoma"/>
        <family val="2"/>
        <charset val="134"/>
      </rPr>
      <t>.</t>
    </r>
    <r>
      <rPr>
        <sz val="11"/>
        <rFont val="宋体"/>
        <charset val="134"/>
      </rPr>
      <t>郑文</t>
    </r>
  </si>
  <si>
    <t>金莲花</t>
  </si>
  <si>
    <t>4.02已结</t>
  </si>
  <si>
    <t>阿布扎比</t>
  </si>
  <si>
    <r>
      <t>G6.</t>
    </r>
    <r>
      <rPr>
        <sz val="11"/>
        <rFont val="宋体"/>
        <charset val="134"/>
      </rPr>
      <t>张娅</t>
    </r>
  </si>
  <si>
    <t>4.09已结</t>
  </si>
  <si>
    <r>
      <t>L3.</t>
    </r>
    <r>
      <rPr>
        <sz val="11"/>
        <rFont val="宋体"/>
        <charset val="134"/>
      </rPr>
      <t>李华娟</t>
    </r>
  </si>
  <si>
    <t>戴高乐</t>
  </si>
  <si>
    <r>
      <t>C1.</t>
    </r>
    <r>
      <rPr>
        <sz val="11"/>
        <rFont val="宋体"/>
        <charset val="134"/>
      </rPr>
      <t>李帅</t>
    </r>
  </si>
  <si>
    <t>4.10已结</t>
  </si>
  <si>
    <t>王亿.王学</t>
  </si>
  <si>
    <t>4.11已结</t>
  </si>
  <si>
    <r>
      <t>DJ.</t>
    </r>
    <r>
      <rPr>
        <sz val="11"/>
        <rFont val="宋体"/>
        <charset val="134"/>
      </rPr>
      <t>张雪</t>
    </r>
  </si>
  <si>
    <t>莱格赛</t>
  </si>
  <si>
    <r>
      <t>L2.</t>
    </r>
    <r>
      <rPr>
        <sz val="11"/>
        <rFont val="宋体"/>
        <charset val="134"/>
      </rPr>
      <t>潘潘</t>
    </r>
  </si>
  <si>
    <t>波音</t>
  </si>
  <si>
    <r>
      <t>DJ.</t>
    </r>
    <r>
      <rPr>
        <sz val="11"/>
        <rFont val="宋体"/>
        <charset val="134"/>
      </rPr>
      <t>刘敏</t>
    </r>
  </si>
  <si>
    <t>4.08已结</t>
  </si>
  <si>
    <t>湾流</t>
  </si>
  <si>
    <t>C1.李帅</t>
  </si>
  <si>
    <t>4.18已结</t>
  </si>
  <si>
    <t>拉图</t>
  </si>
  <si>
    <r>
      <t>乔洋</t>
    </r>
    <r>
      <rPr>
        <sz val="11"/>
        <rFont val="Tahoma"/>
        <family val="2"/>
        <charset val="134"/>
      </rPr>
      <t>.</t>
    </r>
    <r>
      <rPr>
        <sz val="11"/>
        <rFont val="宋体"/>
        <charset val="134"/>
      </rPr>
      <t>韩涵</t>
    </r>
  </si>
  <si>
    <t>4.03已结</t>
  </si>
  <si>
    <t>庞巴迪</t>
  </si>
  <si>
    <r>
      <t>阳阳</t>
    </r>
    <r>
      <rPr>
        <sz val="11"/>
        <rFont val="Tahoma"/>
        <family val="2"/>
        <charset val="134"/>
      </rPr>
      <t>.</t>
    </r>
    <r>
      <rPr>
        <sz val="11"/>
        <rFont val="宋体"/>
        <charset val="134"/>
      </rPr>
      <t>付莉</t>
    </r>
  </si>
  <si>
    <t>超音速</t>
  </si>
  <si>
    <r>
      <t>DJ.</t>
    </r>
    <r>
      <rPr>
        <sz val="11"/>
        <rFont val="宋体"/>
        <charset val="134"/>
      </rPr>
      <t>张悦</t>
    </r>
  </si>
  <si>
    <t>4.02</t>
  </si>
  <si>
    <t>赫尔辛基</t>
  </si>
  <si>
    <r>
      <t>DJ.</t>
    </r>
    <r>
      <rPr>
        <sz val="11"/>
        <rFont val="宋体"/>
        <charset val="134"/>
      </rPr>
      <t>李萍</t>
    </r>
  </si>
  <si>
    <t>4.15已结</t>
  </si>
  <si>
    <r>
      <t>L3.</t>
    </r>
    <r>
      <rPr>
        <sz val="11"/>
        <rFont val="宋体"/>
        <charset val="134"/>
      </rPr>
      <t>何文迪</t>
    </r>
  </si>
  <si>
    <t>皇家厅</t>
  </si>
  <si>
    <t>张琳</t>
  </si>
  <si>
    <r>
      <t>G3.</t>
    </r>
    <r>
      <rPr>
        <sz val="11"/>
        <rFont val="宋体"/>
        <charset val="134"/>
      </rPr>
      <t>欧阳</t>
    </r>
  </si>
  <si>
    <r>
      <t>王亿</t>
    </r>
    <r>
      <rPr>
        <sz val="11"/>
        <rFont val="Tahoma"/>
        <family val="2"/>
        <charset val="134"/>
      </rPr>
      <t>.</t>
    </r>
    <r>
      <rPr>
        <sz val="11"/>
        <rFont val="宋体"/>
        <charset val="134"/>
      </rPr>
      <t>王欣</t>
    </r>
  </si>
  <si>
    <t>头等舱</t>
  </si>
  <si>
    <r>
      <t>L3.</t>
    </r>
    <r>
      <rPr>
        <sz val="11"/>
        <rFont val="宋体"/>
        <charset val="134"/>
      </rPr>
      <t>韩小燕</t>
    </r>
  </si>
  <si>
    <r>
      <t>高丹</t>
    </r>
    <r>
      <rPr>
        <sz val="11"/>
        <rFont val="Tahoma"/>
        <family val="2"/>
        <charset val="134"/>
      </rPr>
      <t>.</t>
    </r>
    <r>
      <rPr>
        <sz val="11"/>
        <rFont val="宋体"/>
        <charset val="134"/>
      </rPr>
      <t>海林</t>
    </r>
  </si>
  <si>
    <t>王亿.王欣</t>
  </si>
  <si>
    <t>阳阳.付莉</t>
  </si>
  <si>
    <t>4.07已结</t>
  </si>
  <si>
    <t>阿波罗</t>
  </si>
  <si>
    <t>L3.韩小燕</t>
  </si>
  <si>
    <r>
      <t>阳阳</t>
    </r>
    <r>
      <rPr>
        <sz val="11"/>
        <rFont val="Tahoma"/>
        <family val="2"/>
        <charset val="134"/>
      </rPr>
      <t>.</t>
    </r>
    <r>
      <rPr>
        <sz val="11"/>
        <rFont val="宋体"/>
        <charset val="134"/>
      </rPr>
      <t>黄婉秋</t>
    </r>
  </si>
  <si>
    <t>退酒，无奖励</t>
  </si>
  <si>
    <r>
      <t>L1.</t>
    </r>
    <r>
      <rPr>
        <sz val="11"/>
        <rFont val="宋体"/>
        <charset val="134"/>
      </rPr>
      <t>陈玉</t>
    </r>
  </si>
  <si>
    <t>柏翠</t>
  </si>
  <si>
    <r>
      <t>乔洋</t>
    </r>
    <r>
      <rPr>
        <sz val="11"/>
        <rFont val="Tahoma"/>
        <family val="2"/>
        <charset val="134"/>
      </rPr>
      <t>.</t>
    </r>
    <r>
      <rPr>
        <sz val="11"/>
        <rFont val="宋体"/>
        <charset val="134"/>
      </rPr>
      <t>陈萌</t>
    </r>
  </si>
  <si>
    <r>
      <t>天天</t>
    </r>
    <r>
      <rPr>
        <sz val="11"/>
        <rFont val="Tahoma"/>
        <family val="2"/>
        <charset val="134"/>
      </rPr>
      <t>.</t>
    </r>
    <r>
      <rPr>
        <sz val="11"/>
        <rFont val="宋体"/>
        <charset val="134"/>
      </rPr>
      <t>燕子</t>
    </r>
  </si>
  <si>
    <t>4.12已结</t>
  </si>
  <si>
    <t>蓝莓</t>
  </si>
  <si>
    <t>拉菲</t>
  </si>
  <si>
    <r>
      <t>G3.</t>
    </r>
    <r>
      <rPr>
        <sz val="11"/>
        <rFont val="宋体"/>
        <charset val="134"/>
      </rPr>
      <t>希希</t>
    </r>
  </si>
  <si>
    <r>
      <t>DJ.</t>
    </r>
    <r>
      <rPr>
        <sz val="11"/>
        <rFont val="宋体"/>
        <charset val="134"/>
      </rPr>
      <t>梁淼</t>
    </r>
  </si>
  <si>
    <t>空客</t>
  </si>
  <si>
    <r>
      <t>DJ.</t>
    </r>
    <r>
      <rPr>
        <sz val="11"/>
        <rFont val="宋体"/>
        <charset val="134"/>
      </rPr>
      <t>李香桃</t>
    </r>
  </si>
  <si>
    <r>
      <t>W1.</t>
    </r>
    <r>
      <rPr>
        <sz val="11"/>
        <rFont val="宋体"/>
        <charset val="134"/>
      </rPr>
      <t>杨婷</t>
    </r>
  </si>
  <si>
    <t>免服，无奖励</t>
  </si>
  <si>
    <t>4.05已结</t>
  </si>
  <si>
    <r>
      <t>天天</t>
    </r>
    <r>
      <rPr>
        <sz val="11"/>
        <rFont val="Tahoma"/>
        <family val="2"/>
        <charset val="134"/>
      </rPr>
      <t>.</t>
    </r>
    <r>
      <rPr>
        <sz val="11"/>
        <rFont val="宋体"/>
        <charset val="134"/>
      </rPr>
      <t>陈文婷</t>
    </r>
  </si>
  <si>
    <t>4.03</t>
  </si>
  <si>
    <r>
      <t>DJ.</t>
    </r>
    <r>
      <rPr>
        <sz val="11"/>
        <rFont val="宋体"/>
        <charset val="134"/>
      </rPr>
      <t>曾汐</t>
    </r>
  </si>
  <si>
    <r>
      <t>DJ.</t>
    </r>
    <r>
      <rPr>
        <sz val="11"/>
        <rFont val="宋体"/>
        <charset val="134"/>
      </rPr>
      <t>王佳</t>
    </r>
  </si>
  <si>
    <t>4.04已结</t>
  </si>
  <si>
    <t>卡内基</t>
  </si>
  <si>
    <t>高丹.海林</t>
  </si>
  <si>
    <r>
      <t>K.</t>
    </r>
    <r>
      <rPr>
        <sz val="11"/>
        <rFont val="宋体"/>
        <charset val="134"/>
      </rPr>
      <t>李道华</t>
    </r>
  </si>
  <si>
    <t>天天.陈文婷</t>
  </si>
  <si>
    <r>
      <t>阳阳</t>
    </r>
    <r>
      <rPr>
        <sz val="11"/>
        <rFont val="Tahoma"/>
        <family val="2"/>
        <charset val="134"/>
      </rPr>
      <t>.</t>
    </r>
    <r>
      <rPr>
        <sz val="11"/>
        <rFont val="宋体"/>
        <charset val="134"/>
      </rPr>
      <t>张耀</t>
    </r>
  </si>
  <si>
    <t>陈卓</t>
  </si>
  <si>
    <r>
      <t>0.83</t>
    </r>
    <r>
      <rPr>
        <sz val="11"/>
        <rFont val="宋体"/>
        <charset val="134"/>
      </rPr>
      <t>，计业绩不计提成，奖励</t>
    </r>
  </si>
  <si>
    <r>
      <t>商务</t>
    </r>
    <r>
      <rPr>
        <sz val="11"/>
        <rFont val="Tahoma"/>
        <family val="2"/>
        <charset val="134"/>
      </rPr>
      <t>.</t>
    </r>
    <r>
      <rPr>
        <sz val="11"/>
        <rFont val="宋体"/>
        <charset val="134"/>
      </rPr>
      <t>杜晓东</t>
    </r>
  </si>
  <si>
    <r>
      <t>W2.</t>
    </r>
    <r>
      <rPr>
        <sz val="11"/>
        <rFont val="宋体"/>
        <charset val="134"/>
      </rPr>
      <t>冉冉</t>
    </r>
  </si>
  <si>
    <t>4.04</t>
  </si>
  <si>
    <r>
      <t>DJ.</t>
    </r>
    <r>
      <rPr>
        <sz val="11"/>
        <rFont val="宋体"/>
        <charset val="134"/>
      </rPr>
      <t>陈陈</t>
    </r>
  </si>
  <si>
    <r>
      <t>DJ.</t>
    </r>
    <r>
      <rPr>
        <sz val="11"/>
        <rFont val="宋体"/>
        <charset val="134"/>
      </rPr>
      <t>亮亮</t>
    </r>
  </si>
  <si>
    <t>C.KK</t>
  </si>
  <si>
    <t>法兰克福</t>
  </si>
  <si>
    <t>阳阳.玫朵</t>
  </si>
  <si>
    <t>L1.陈玉</t>
  </si>
  <si>
    <r>
      <t>陈卓</t>
    </r>
    <r>
      <rPr>
        <sz val="11"/>
        <rFont val="Tahoma"/>
        <family val="2"/>
        <charset val="134"/>
      </rPr>
      <t>.</t>
    </r>
    <r>
      <rPr>
        <sz val="11"/>
        <rFont val="宋体"/>
        <charset val="134"/>
      </rPr>
      <t>韩雨</t>
    </r>
  </si>
  <si>
    <r>
      <t>DJ.</t>
    </r>
    <r>
      <rPr>
        <sz val="11"/>
        <rFont val="宋体"/>
        <charset val="134"/>
      </rPr>
      <t>黄靖一</t>
    </r>
  </si>
  <si>
    <t>4.05</t>
  </si>
  <si>
    <r>
      <t>DJ.</t>
    </r>
    <r>
      <rPr>
        <sz val="11"/>
        <rFont val="宋体"/>
        <charset val="134"/>
      </rPr>
      <t>西西</t>
    </r>
  </si>
  <si>
    <r>
      <t>DJ.</t>
    </r>
    <r>
      <rPr>
        <sz val="11"/>
        <rFont val="宋体"/>
        <charset val="134"/>
      </rPr>
      <t>杨菲菲</t>
    </r>
  </si>
  <si>
    <t>4.20已结</t>
  </si>
  <si>
    <t>阳阳.张耀</t>
  </si>
  <si>
    <t>4.30已结</t>
  </si>
  <si>
    <r>
      <t>DJ.</t>
    </r>
    <r>
      <rPr>
        <sz val="11"/>
        <rFont val="宋体"/>
        <charset val="134"/>
      </rPr>
      <t>高明明</t>
    </r>
  </si>
  <si>
    <r>
      <t>0.91</t>
    </r>
    <r>
      <rPr>
        <sz val="11"/>
        <rFont val="宋体"/>
        <charset val="134"/>
      </rPr>
      <t>，计业绩不计提成，</t>
    </r>
    <r>
      <rPr>
        <sz val="11"/>
        <rFont val="Tahoma"/>
        <family val="2"/>
        <charset val="134"/>
      </rPr>
      <t>5%</t>
    </r>
    <r>
      <rPr>
        <sz val="11"/>
        <rFont val="宋体"/>
        <charset val="134"/>
      </rPr>
      <t>奖励</t>
    </r>
  </si>
  <si>
    <t>乔洋.陈萌</t>
  </si>
  <si>
    <t>4.16已结</t>
  </si>
  <si>
    <r>
      <t>张琳</t>
    </r>
    <r>
      <rPr>
        <sz val="11"/>
        <rFont val="Tahoma"/>
        <family val="2"/>
        <charset val="134"/>
      </rPr>
      <t>.</t>
    </r>
    <r>
      <rPr>
        <sz val="11"/>
        <rFont val="宋体"/>
        <charset val="134"/>
      </rPr>
      <t>何小小</t>
    </r>
  </si>
  <si>
    <r>
      <t>DJ.</t>
    </r>
    <r>
      <rPr>
        <sz val="11"/>
        <rFont val="宋体"/>
        <charset val="134"/>
      </rPr>
      <t>二妹</t>
    </r>
  </si>
  <si>
    <t>任小小</t>
  </si>
  <si>
    <t>4.06已结</t>
  </si>
  <si>
    <t>4.13已结</t>
  </si>
  <si>
    <t>4.21已结</t>
  </si>
  <si>
    <t>K.李道华</t>
  </si>
  <si>
    <t>票，无奖励</t>
  </si>
  <si>
    <t>4.19已结</t>
  </si>
  <si>
    <t>商务.杜晓东</t>
  </si>
  <si>
    <t>4.06</t>
  </si>
  <si>
    <r>
      <t>C.</t>
    </r>
    <r>
      <rPr>
        <sz val="11"/>
        <rFont val="宋体"/>
        <charset val="134"/>
      </rPr>
      <t>兰兰</t>
    </r>
  </si>
  <si>
    <t>实消，无奖励</t>
  </si>
  <si>
    <r>
      <t>L2.</t>
    </r>
    <r>
      <rPr>
        <sz val="11"/>
        <rFont val="宋体"/>
        <charset val="134"/>
      </rPr>
      <t>赵蕾</t>
    </r>
  </si>
  <si>
    <t>降低消，无奖励</t>
  </si>
  <si>
    <r>
      <t>L1.</t>
    </r>
    <r>
      <rPr>
        <sz val="11"/>
        <rFont val="宋体"/>
        <charset val="134"/>
      </rPr>
      <t>小雪</t>
    </r>
  </si>
  <si>
    <r>
      <t>DJ.</t>
    </r>
    <r>
      <rPr>
        <sz val="11"/>
        <rFont val="宋体"/>
        <charset val="134"/>
      </rPr>
      <t>周锐洁</t>
    </r>
  </si>
  <si>
    <r>
      <t>DJ.</t>
    </r>
    <r>
      <rPr>
        <sz val="11"/>
        <rFont val="宋体"/>
        <charset val="134"/>
      </rPr>
      <t>郭倩</t>
    </r>
  </si>
  <si>
    <t>4.17已结</t>
  </si>
  <si>
    <t>4.07</t>
  </si>
  <si>
    <r>
      <t>天天</t>
    </r>
    <r>
      <rPr>
        <sz val="11"/>
        <rFont val="Tahoma"/>
        <family val="2"/>
        <charset val="134"/>
      </rPr>
      <t>.</t>
    </r>
    <r>
      <rPr>
        <sz val="11"/>
        <rFont val="宋体"/>
        <charset val="134"/>
      </rPr>
      <t>贺微</t>
    </r>
  </si>
  <si>
    <t>高丹</t>
  </si>
  <si>
    <r>
      <t>阳阳</t>
    </r>
    <r>
      <rPr>
        <sz val="11"/>
        <rFont val="Tahoma"/>
        <family val="2"/>
        <charset val="134"/>
      </rPr>
      <t>.</t>
    </r>
    <r>
      <rPr>
        <sz val="11"/>
        <rFont val="宋体"/>
        <charset val="134"/>
      </rPr>
      <t>雍雍</t>
    </r>
  </si>
  <si>
    <r>
      <t>DJ.</t>
    </r>
    <r>
      <rPr>
        <sz val="11"/>
        <rFont val="宋体"/>
        <charset val="134"/>
      </rPr>
      <t>安妮</t>
    </r>
  </si>
  <si>
    <t>希思罗</t>
  </si>
  <si>
    <r>
      <t>思思</t>
    </r>
    <r>
      <rPr>
        <sz val="11"/>
        <rFont val="Tahoma"/>
        <family val="2"/>
        <charset val="134"/>
      </rPr>
      <t>.</t>
    </r>
    <r>
      <rPr>
        <sz val="11"/>
        <rFont val="宋体"/>
        <charset val="134"/>
      </rPr>
      <t>周晓晓</t>
    </r>
  </si>
  <si>
    <r>
      <t>DJ.</t>
    </r>
    <r>
      <rPr>
        <sz val="11"/>
        <rFont val="宋体"/>
        <charset val="134"/>
      </rPr>
      <t>小惠</t>
    </r>
  </si>
  <si>
    <r>
      <t>天天</t>
    </r>
    <r>
      <rPr>
        <sz val="11"/>
        <rFont val="Tahoma"/>
        <family val="2"/>
        <charset val="134"/>
      </rPr>
      <t>.</t>
    </r>
    <r>
      <rPr>
        <sz val="11"/>
        <rFont val="宋体"/>
        <charset val="134"/>
      </rPr>
      <t>向兰</t>
    </r>
  </si>
  <si>
    <r>
      <t>阳阳</t>
    </r>
    <r>
      <rPr>
        <sz val="11"/>
        <rFont val="Tahoma"/>
        <family val="2"/>
        <charset val="134"/>
      </rPr>
      <t>.</t>
    </r>
    <r>
      <rPr>
        <sz val="11"/>
        <rFont val="宋体"/>
        <charset val="134"/>
      </rPr>
      <t>王天真</t>
    </r>
  </si>
  <si>
    <t>思思.周晓晓</t>
  </si>
  <si>
    <t>天天.贺微</t>
  </si>
  <si>
    <r>
      <t>阳阳</t>
    </r>
    <r>
      <rPr>
        <sz val="11"/>
        <rFont val="Tahoma"/>
        <family val="2"/>
        <charset val="134"/>
      </rPr>
      <t>.</t>
    </r>
    <r>
      <rPr>
        <sz val="11"/>
        <rFont val="宋体"/>
        <charset val="134"/>
      </rPr>
      <t>若涵</t>
    </r>
  </si>
  <si>
    <t>4.14已结</t>
  </si>
  <si>
    <r>
      <t>DJ.</t>
    </r>
    <r>
      <rPr>
        <sz val="11"/>
        <rFont val="宋体"/>
        <charset val="134"/>
      </rPr>
      <t>潇潇</t>
    </r>
  </si>
  <si>
    <t>4.08</t>
  </si>
  <si>
    <t>G6.张娅</t>
  </si>
  <si>
    <r>
      <t>DJ.</t>
    </r>
    <r>
      <rPr>
        <sz val="11"/>
        <rFont val="宋体"/>
        <charset val="134"/>
      </rPr>
      <t>张可可</t>
    </r>
  </si>
  <si>
    <r>
      <t>DJ.</t>
    </r>
    <r>
      <rPr>
        <sz val="11"/>
        <rFont val="宋体"/>
        <charset val="134"/>
      </rPr>
      <t>欣欣</t>
    </r>
  </si>
  <si>
    <r>
      <t>总办</t>
    </r>
    <r>
      <rPr>
        <sz val="11"/>
        <rFont val="Tahoma"/>
        <family val="2"/>
        <charset val="134"/>
      </rPr>
      <t>.</t>
    </r>
    <r>
      <rPr>
        <sz val="11"/>
        <rFont val="宋体"/>
        <charset val="134"/>
      </rPr>
      <t>胡杜鑫</t>
    </r>
  </si>
  <si>
    <t>4.26已结</t>
  </si>
  <si>
    <t>华尔兹</t>
  </si>
  <si>
    <t>阳阳.黄婉秋</t>
  </si>
  <si>
    <r>
      <t>阳阳</t>
    </r>
    <r>
      <rPr>
        <sz val="11"/>
        <rFont val="Tahoma"/>
        <family val="2"/>
        <charset val="134"/>
      </rPr>
      <t>.</t>
    </r>
    <r>
      <rPr>
        <sz val="11"/>
        <rFont val="宋体"/>
        <charset val="134"/>
      </rPr>
      <t>罗拉</t>
    </r>
  </si>
  <si>
    <t>DJ.高明明</t>
  </si>
  <si>
    <t>天天.向兰</t>
  </si>
  <si>
    <t>4.09</t>
  </si>
  <si>
    <t>乔洋</t>
  </si>
  <si>
    <r>
      <t>DJ.</t>
    </r>
    <r>
      <rPr>
        <sz val="11"/>
        <rFont val="宋体"/>
        <charset val="134"/>
      </rPr>
      <t>雷一东</t>
    </r>
  </si>
  <si>
    <t>DJ.小惠</t>
  </si>
  <si>
    <r>
      <t>DJ.</t>
    </r>
    <r>
      <rPr>
        <sz val="11"/>
        <rFont val="宋体"/>
        <charset val="134"/>
      </rPr>
      <t>李佳欣</t>
    </r>
  </si>
  <si>
    <t>总办</t>
  </si>
  <si>
    <t>L1.小雪</t>
  </si>
  <si>
    <t>赠送超标，无奖励</t>
  </si>
  <si>
    <t>总办.胡杜鑫</t>
  </si>
  <si>
    <r>
      <t>6050,87%</t>
    </r>
    <r>
      <rPr>
        <sz val="11"/>
        <rFont val="宋体"/>
        <charset val="134"/>
      </rPr>
      <t>，</t>
    </r>
    <r>
      <rPr>
        <sz val="11"/>
        <rFont val="Tahoma"/>
        <family val="2"/>
        <charset val="134"/>
      </rPr>
      <t>3150,83%</t>
    </r>
    <r>
      <rPr>
        <sz val="11"/>
        <rFont val="宋体"/>
        <charset val="134"/>
      </rPr>
      <t>，</t>
    </r>
    <r>
      <rPr>
        <sz val="11"/>
        <rFont val="Tahoma"/>
        <family val="2"/>
        <charset val="134"/>
      </rPr>
      <t>13%</t>
    </r>
    <r>
      <rPr>
        <sz val="11"/>
        <rFont val="宋体"/>
        <charset val="134"/>
      </rPr>
      <t>提成，无奖励</t>
    </r>
  </si>
  <si>
    <r>
      <t>李林</t>
    </r>
    <r>
      <rPr>
        <sz val="11"/>
        <rFont val="Tahoma"/>
        <family val="2"/>
        <charset val="134"/>
      </rPr>
      <t>.</t>
    </r>
    <r>
      <rPr>
        <sz val="11"/>
        <rFont val="宋体"/>
        <charset val="134"/>
      </rPr>
      <t>刘西</t>
    </r>
  </si>
  <si>
    <t>0.8，计业绩不计提成，无奖励</t>
  </si>
  <si>
    <t>阿姆斯特丹</t>
  </si>
  <si>
    <t>阳阳</t>
  </si>
  <si>
    <r>
      <t>K.</t>
    </r>
    <r>
      <rPr>
        <sz val="11"/>
        <rFont val="宋体"/>
        <charset val="134"/>
      </rPr>
      <t>吴菲</t>
    </r>
  </si>
  <si>
    <r>
      <t>李林</t>
    </r>
    <r>
      <rPr>
        <sz val="11"/>
        <rFont val="Tahoma"/>
        <family val="2"/>
        <charset val="134"/>
      </rPr>
      <t>.</t>
    </r>
    <r>
      <rPr>
        <sz val="11"/>
        <rFont val="宋体"/>
        <charset val="134"/>
      </rPr>
      <t>韩雪</t>
    </r>
  </si>
  <si>
    <t>4.23已结</t>
  </si>
  <si>
    <r>
      <t>DJ.</t>
    </r>
    <r>
      <rPr>
        <sz val="11"/>
        <rFont val="宋体"/>
        <charset val="134"/>
      </rPr>
      <t>小辉</t>
    </r>
  </si>
  <si>
    <t>李林.刘西</t>
  </si>
  <si>
    <r>
      <t>王亿</t>
    </r>
    <r>
      <rPr>
        <sz val="11"/>
        <rFont val="Tahoma"/>
        <family val="2"/>
        <charset val="134"/>
      </rPr>
      <t>.</t>
    </r>
    <r>
      <rPr>
        <sz val="11"/>
        <rFont val="宋体"/>
        <charset val="134"/>
      </rPr>
      <t>韩亿</t>
    </r>
  </si>
  <si>
    <t>4.10</t>
  </si>
  <si>
    <t>天天.燕子</t>
  </si>
  <si>
    <t>李林.韩雪</t>
  </si>
  <si>
    <r>
      <t>阳阳</t>
    </r>
    <r>
      <rPr>
        <sz val="11"/>
        <rFont val="Tahoma"/>
        <family val="2"/>
        <charset val="134"/>
      </rPr>
      <t>.</t>
    </r>
    <r>
      <rPr>
        <sz val="11"/>
        <rFont val="宋体"/>
        <charset val="134"/>
      </rPr>
      <t>玫朵</t>
    </r>
  </si>
  <si>
    <t>张琳.何小小</t>
  </si>
  <si>
    <t>W1.余丽</t>
  </si>
  <si>
    <r>
      <t>DJ.</t>
    </r>
    <r>
      <rPr>
        <sz val="11"/>
        <rFont val="宋体"/>
        <charset val="134"/>
      </rPr>
      <t>李文瑾</t>
    </r>
  </si>
  <si>
    <r>
      <t>DJ.</t>
    </r>
    <r>
      <rPr>
        <sz val="11"/>
        <rFont val="宋体"/>
        <charset val="134"/>
      </rPr>
      <t>王梓</t>
    </r>
  </si>
  <si>
    <t>K.吴菲</t>
  </si>
  <si>
    <t>7折，计业绩不计提成</t>
  </si>
  <si>
    <t>4.11</t>
  </si>
  <si>
    <t>L3.何文迪</t>
  </si>
  <si>
    <t>4.22已结</t>
  </si>
  <si>
    <t>C.兰兰</t>
  </si>
  <si>
    <t>阳阳.雍雍</t>
  </si>
  <si>
    <r>
      <t>DJ.</t>
    </r>
    <r>
      <rPr>
        <sz val="11"/>
        <rFont val="宋体"/>
        <charset val="134"/>
      </rPr>
      <t>余妹妹</t>
    </r>
  </si>
  <si>
    <r>
      <t>7</t>
    </r>
    <r>
      <rPr>
        <sz val="11"/>
        <rFont val="宋体"/>
        <charset val="134"/>
      </rPr>
      <t>折，计业绩不计提成</t>
    </r>
  </si>
  <si>
    <r>
      <t>免单</t>
    </r>
    <r>
      <rPr>
        <sz val="11"/>
        <rFont val="Tahoma"/>
        <family val="2"/>
        <charset val="134"/>
      </rPr>
      <t>5231</t>
    </r>
    <r>
      <rPr>
        <sz val="11"/>
        <rFont val="宋体"/>
        <charset val="134"/>
      </rPr>
      <t>，TSBX20240425020</t>
    </r>
  </si>
  <si>
    <t>W2.雯雯</t>
  </si>
  <si>
    <t>4.12</t>
  </si>
  <si>
    <r>
      <t>K.</t>
    </r>
    <r>
      <rPr>
        <sz val="11"/>
        <rFont val="宋体"/>
        <charset val="134"/>
      </rPr>
      <t>孙洁</t>
    </r>
  </si>
  <si>
    <r>
      <t>数瓶子，</t>
    </r>
    <r>
      <rPr>
        <sz val="11"/>
        <rFont val="Tahoma"/>
        <family val="2"/>
        <charset val="134"/>
      </rPr>
      <t>10%</t>
    </r>
    <r>
      <rPr>
        <sz val="11"/>
        <rFont val="宋体"/>
        <charset val="134"/>
      </rPr>
      <t>提成，无奖励</t>
    </r>
  </si>
  <si>
    <r>
      <t>L1.</t>
    </r>
    <r>
      <rPr>
        <sz val="11"/>
        <rFont val="宋体"/>
        <charset val="134"/>
      </rPr>
      <t>雷丹</t>
    </r>
  </si>
  <si>
    <t>维也纳</t>
  </si>
  <si>
    <t>4.28已结</t>
  </si>
  <si>
    <r>
      <t>0.91</t>
    </r>
    <r>
      <rPr>
        <sz val="11"/>
        <rFont val="宋体"/>
        <charset val="134"/>
      </rPr>
      <t>，计业绩不计提成，无奖励</t>
    </r>
  </si>
  <si>
    <r>
      <t>DJ.</t>
    </r>
    <r>
      <rPr>
        <sz val="11"/>
        <rFont val="宋体"/>
        <charset val="134"/>
      </rPr>
      <t>唐蓉</t>
    </r>
  </si>
  <si>
    <t>自带酒水，无奖励</t>
  </si>
  <si>
    <r>
      <t>DJ.</t>
    </r>
    <r>
      <rPr>
        <sz val="11"/>
        <rFont val="宋体"/>
        <charset val="134"/>
      </rPr>
      <t>蔡倩</t>
    </r>
  </si>
  <si>
    <t>L2.赵蕾</t>
  </si>
  <si>
    <t>阳阳.罗拉</t>
  </si>
  <si>
    <t>阳阳.若涵</t>
  </si>
  <si>
    <t>L2.潘潘</t>
  </si>
  <si>
    <t>4.13</t>
  </si>
  <si>
    <t>DJ.郭倩</t>
  </si>
  <si>
    <t>K.孙洁</t>
  </si>
  <si>
    <r>
      <t>思思</t>
    </r>
    <r>
      <rPr>
        <sz val="11"/>
        <rFont val="Tahoma"/>
        <family val="2"/>
        <charset val="134"/>
      </rPr>
      <t>.</t>
    </r>
    <r>
      <rPr>
        <sz val="11"/>
        <rFont val="宋体"/>
        <charset val="134"/>
      </rPr>
      <t>曹珊珊</t>
    </r>
  </si>
  <si>
    <r>
      <t>W2.</t>
    </r>
    <r>
      <rPr>
        <sz val="11"/>
        <rFont val="宋体"/>
        <charset val="134"/>
      </rPr>
      <t>于倩</t>
    </r>
  </si>
  <si>
    <t>F5</t>
  </si>
  <si>
    <t>4.25已结</t>
  </si>
  <si>
    <t>DJ.李萍</t>
  </si>
  <si>
    <t>4.14</t>
  </si>
  <si>
    <t>计业绩不计提成</t>
  </si>
  <si>
    <r>
      <t>阳阳</t>
    </r>
    <r>
      <rPr>
        <sz val="11"/>
        <rFont val="Tahoma"/>
        <family val="2"/>
        <charset val="134"/>
      </rPr>
      <t>.</t>
    </r>
    <r>
      <rPr>
        <sz val="11"/>
        <rFont val="宋体"/>
        <charset val="134"/>
      </rPr>
      <t>鲜美</t>
    </r>
  </si>
  <si>
    <t>4.29已结</t>
  </si>
  <si>
    <t>DJ.周锐洁</t>
  </si>
  <si>
    <t>4.15</t>
  </si>
  <si>
    <t>李姐</t>
  </si>
  <si>
    <t>乔洋.韩涵</t>
  </si>
  <si>
    <t>G3.欧阳</t>
  </si>
  <si>
    <t>WHT</t>
  </si>
  <si>
    <r>
      <t>免单</t>
    </r>
    <r>
      <rPr>
        <sz val="11"/>
        <rFont val="Tahoma"/>
        <family val="2"/>
        <charset val="134"/>
      </rPr>
      <t>5515</t>
    </r>
    <r>
      <rPr>
        <sz val="11"/>
        <rFont val="宋体"/>
        <charset val="134"/>
      </rPr>
      <t>，TSBX20240428023</t>
    </r>
  </si>
  <si>
    <r>
      <t>DJ.</t>
    </r>
    <r>
      <rPr>
        <sz val="11"/>
        <rFont val="宋体"/>
        <charset val="134"/>
      </rPr>
      <t>肖静</t>
    </r>
  </si>
  <si>
    <r>
      <t>W1.</t>
    </r>
    <r>
      <rPr>
        <sz val="11"/>
        <rFont val="宋体"/>
        <charset val="134"/>
      </rPr>
      <t>于丽</t>
    </r>
  </si>
  <si>
    <t>4.27已结</t>
  </si>
  <si>
    <t>4.16</t>
  </si>
  <si>
    <t>DJ.杨菲菲</t>
  </si>
  <si>
    <t>4.17</t>
  </si>
  <si>
    <r>
      <t>王亿</t>
    </r>
    <r>
      <rPr>
        <sz val="11"/>
        <rFont val="Tahoma"/>
        <family val="2"/>
        <charset val="134"/>
      </rPr>
      <t>.</t>
    </r>
    <r>
      <rPr>
        <sz val="11"/>
        <rFont val="宋体"/>
        <charset val="134"/>
      </rPr>
      <t>潘月</t>
    </r>
  </si>
  <si>
    <r>
      <t>张琳</t>
    </r>
    <r>
      <rPr>
        <sz val="11"/>
        <rFont val="Tahoma"/>
        <family val="2"/>
        <charset val="134"/>
      </rPr>
      <t>.</t>
    </r>
    <r>
      <rPr>
        <sz val="11"/>
        <rFont val="宋体"/>
        <charset val="134"/>
      </rPr>
      <t>王源</t>
    </r>
  </si>
  <si>
    <t>DJ.张可可</t>
  </si>
  <si>
    <t>王亿.潘月</t>
  </si>
  <si>
    <r>
      <t>免单</t>
    </r>
    <r>
      <rPr>
        <sz val="11"/>
        <rFont val="Tahoma"/>
        <family val="2"/>
        <charset val="134"/>
      </rPr>
      <t>5520</t>
    </r>
    <r>
      <rPr>
        <sz val="11"/>
        <rFont val="宋体"/>
        <charset val="134"/>
      </rPr>
      <t>，TSBX20240422017</t>
    </r>
  </si>
  <si>
    <t>DJ.潇潇</t>
  </si>
  <si>
    <r>
      <t>DJ.</t>
    </r>
    <r>
      <rPr>
        <sz val="11"/>
        <rFont val="宋体"/>
        <charset val="134"/>
      </rPr>
      <t>张佑</t>
    </r>
  </si>
  <si>
    <t>DJ.肖静</t>
  </si>
  <si>
    <t>贵宾</t>
  </si>
  <si>
    <t>W1.于丽</t>
  </si>
  <si>
    <t>4.18</t>
  </si>
  <si>
    <t>G3.希希</t>
  </si>
  <si>
    <r>
      <t>免开瓶费，</t>
    </r>
    <r>
      <rPr>
        <sz val="11"/>
        <rFont val="Tahoma"/>
        <family val="2"/>
        <charset val="134"/>
      </rPr>
      <t>5%</t>
    </r>
    <r>
      <rPr>
        <sz val="11"/>
        <rFont val="宋体"/>
        <charset val="134"/>
      </rPr>
      <t>奖励</t>
    </r>
  </si>
  <si>
    <t>4.24已结</t>
  </si>
  <si>
    <r>
      <t>任小小</t>
    </r>
    <r>
      <rPr>
        <sz val="11"/>
        <rFont val="Tahoma"/>
        <family val="2"/>
        <charset val="134"/>
      </rPr>
      <t>.</t>
    </r>
    <r>
      <rPr>
        <sz val="11"/>
        <rFont val="宋体"/>
        <charset val="134"/>
      </rPr>
      <t>琳琳</t>
    </r>
  </si>
  <si>
    <t>L1.雷丹</t>
  </si>
  <si>
    <r>
      <t>95</t>
    </r>
    <r>
      <rPr>
        <sz val="11"/>
        <rFont val="宋体"/>
        <charset val="134"/>
      </rPr>
      <t>折</t>
    </r>
  </si>
  <si>
    <t>DJ.曾汐</t>
  </si>
  <si>
    <r>
      <t>会员卡</t>
    </r>
    <r>
      <rPr>
        <sz val="11"/>
        <rFont val="Tahoma"/>
        <family val="2"/>
        <charset val="134"/>
      </rPr>
      <t>0.83</t>
    </r>
    <r>
      <rPr>
        <sz val="11"/>
        <rFont val="宋体"/>
        <charset val="134"/>
      </rPr>
      <t>，计业绩不计提成</t>
    </r>
  </si>
  <si>
    <t>4.19</t>
  </si>
  <si>
    <t>思思.曹珊珊</t>
  </si>
  <si>
    <t>DJ.王梓</t>
  </si>
  <si>
    <t>张琳.王源</t>
  </si>
  <si>
    <t>DJ.李文瑾</t>
  </si>
  <si>
    <r>
      <t>W2.</t>
    </r>
    <r>
      <rPr>
        <sz val="11"/>
        <rFont val="宋体"/>
        <charset val="134"/>
      </rPr>
      <t>雯雯</t>
    </r>
  </si>
  <si>
    <t>4.20</t>
  </si>
  <si>
    <r>
      <t>DJ.</t>
    </r>
    <r>
      <rPr>
        <sz val="11"/>
        <rFont val="宋体"/>
        <charset val="134"/>
      </rPr>
      <t>贺小兰</t>
    </r>
  </si>
  <si>
    <t>W2.于倩</t>
  </si>
  <si>
    <t>思思</t>
  </si>
  <si>
    <r>
      <t>20%</t>
    </r>
    <r>
      <rPr>
        <sz val="11"/>
        <rFont val="宋体"/>
        <charset val="134"/>
      </rPr>
      <t>提成，无奖励</t>
    </r>
  </si>
  <si>
    <t>DJ.蔡倩</t>
  </si>
  <si>
    <t>DJ.唐蓉</t>
  </si>
  <si>
    <t>DJ.黄靖一</t>
  </si>
  <si>
    <t>DJ.刘敏</t>
  </si>
  <si>
    <t>DJ.余妹妹</t>
  </si>
  <si>
    <t>4.21</t>
  </si>
  <si>
    <t>无奖励</t>
  </si>
  <si>
    <t>DJ.二妹</t>
  </si>
  <si>
    <t>DJ.小辉</t>
  </si>
  <si>
    <t>续</t>
  </si>
  <si>
    <t>4.22</t>
  </si>
  <si>
    <t>DJ.安妮</t>
  </si>
  <si>
    <r>
      <t>DJ.</t>
    </r>
    <r>
      <rPr>
        <sz val="11"/>
        <rFont val="宋体"/>
        <charset val="134"/>
      </rPr>
      <t>颜言</t>
    </r>
  </si>
  <si>
    <t>王亿.韩亿</t>
  </si>
  <si>
    <r>
      <t>W1.</t>
    </r>
    <r>
      <rPr>
        <sz val="11"/>
        <rFont val="宋体"/>
        <charset val="134"/>
      </rPr>
      <t>杨红</t>
    </r>
  </si>
  <si>
    <t>4.23</t>
  </si>
  <si>
    <t>李林.郑文</t>
  </si>
  <si>
    <t>DJ.亮亮</t>
  </si>
  <si>
    <t>4.24</t>
  </si>
  <si>
    <t>DJ.陈陈</t>
  </si>
  <si>
    <t>任小小.琳琳</t>
  </si>
  <si>
    <t>W2.冉冉</t>
  </si>
  <si>
    <t>DJ.张悦</t>
  </si>
  <si>
    <t>4.25</t>
  </si>
  <si>
    <t>L3.李华娟</t>
  </si>
  <si>
    <t>实消，不计提成，无奖励</t>
  </si>
  <si>
    <r>
      <t>DJ.</t>
    </r>
    <r>
      <rPr>
        <sz val="11"/>
        <rFont val="宋体"/>
        <charset val="134"/>
      </rPr>
      <t>盛娇</t>
    </r>
  </si>
  <si>
    <t>4.26</t>
  </si>
  <si>
    <t>DJ.李佳欣</t>
  </si>
  <si>
    <r>
      <t>免单</t>
    </r>
    <r>
      <rPr>
        <sz val="11"/>
        <rFont val="Tahoma"/>
        <family val="2"/>
        <charset val="134"/>
      </rPr>
      <t>8335</t>
    </r>
    <r>
      <rPr>
        <sz val="11"/>
        <rFont val="宋体"/>
        <charset val="134"/>
      </rPr>
      <t>，</t>
    </r>
    <r>
      <rPr>
        <sz val="11"/>
        <rFont val="Tahoma"/>
        <family val="2"/>
        <charset val="134"/>
      </rPr>
      <t>TSBX20240430028</t>
    </r>
  </si>
  <si>
    <r>
      <t>任小小</t>
    </r>
    <r>
      <rPr>
        <sz val="11"/>
        <rFont val="Tahoma"/>
        <family val="2"/>
        <charset val="134"/>
      </rPr>
      <t>.</t>
    </r>
    <r>
      <rPr>
        <sz val="11"/>
        <rFont val="宋体"/>
        <charset val="134"/>
      </rPr>
      <t>任小小</t>
    </r>
  </si>
  <si>
    <t>20%提成，无奖励</t>
  </si>
  <si>
    <t>4.27</t>
  </si>
  <si>
    <r>
      <t>乔洋</t>
    </r>
    <r>
      <rPr>
        <sz val="11"/>
        <rFont val="Tahoma"/>
        <family val="2"/>
        <charset val="134"/>
      </rPr>
      <t>.乔洋</t>
    </r>
  </si>
  <si>
    <r>
      <t>0.83</t>
    </r>
    <r>
      <rPr>
        <sz val="11"/>
        <rFont val="宋体"/>
        <charset val="134"/>
      </rPr>
      <t>，</t>
    </r>
    <r>
      <rPr>
        <sz val="11"/>
        <rFont val="Tahoma"/>
        <family val="2"/>
        <charset val="134"/>
      </rPr>
      <t>13%</t>
    </r>
    <r>
      <rPr>
        <sz val="11"/>
        <rFont val="宋体"/>
        <charset val="134"/>
      </rPr>
      <t>提成</t>
    </r>
  </si>
  <si>
    <r>
      <t>挂单</t>
    </r>
    <r>
      <rPr>
        <sz val="11"/>
        <rFont val="Tahoma"/>
        <family val="2"/>
        <charset val="134"/>
      </rPr>
      <t>14542</t>
    </r>
  </si>
  <si>
    <t>任小小.任小小</t>
  </si>
  <si>
    <t>4.28</t>
  </si>
  <si>
    <r>
      <t>金莲花</t>
    </r>
    <r>
      <rPr>
        <sz val="11"/>
        <rFont val="Tahoma"/>
        <family val="2"/>
        <charset val="134"/>
      </rPr>
      <t>.</t>
    </r>
    <r>
      <rPr>
        <sz val="11"/>
        <rFont val="宋体"/>
        <charset val="134"/>
      </rPr>
      <t>金莲花</t>
    </r>
  </si>
  <si>
    <r>
      <t>免单</t>
    </r>
    <r>
      <rPr>
        <sz val="11"/>
        <rFont val="Tahoma"/>
        <family val="2"/>
        <charset val="134"/>
      </rPr>
      <t>6801</t>
    </r>
    <r>
      <rPr>
        <sz val="11"/>
        <rFont val="宋体"/>
        <charset val="134"/>
      </rPr>
      <t>，TSBX20240507002</t>
    </r>
  </si>
  <si>
    <t>陈卓.韩雨</t>
  </si>
  <si>
    <t>阳阳.鲜美</t>
  </si>
  <si>
    <r>
      <t>G6.</t>
    </r>
    <r>
      <rPr>
        <sz val="11"/>
        <rFont val="宋体"/>
        <charset val="134"/>
      </rPr>
      <t>彭霞</t>
    </r>
  </si>
  <si>
    <t>4.29</t>
  </si>
  <si>
    <t>金莲花.金莲花</t>
  </si>
  <si>
    <t>4.30</t>
  </si>
  <si>
    <t>DJ.雷一东</t>
  </si>
  <si>
    <r>
      <t>免单</t>
    </r>
    <r>
      <rPr>
        <sz val="11"/>
        <rFont val="Tahoma"/>
        <family val="2"/>
        <charset val="134"/>
      </rPr>
      <t>4422</t>
    </r>
    <r>
      <rPr>
        <sz val="11"/>
        <rFont val="宋体"/>
        <charset val="134"/>
      </rPr>
      <t>，TSBX20240507003</t>
    </r>
  </si>
  <si>
    <r>
      <t>畅饮，</t>
    </r>
    <r>
      <rPr>
        <sz val="11"/>
        <rFont val="Tahoma"/>
        <family val="2"/>
        <charset val="134"/>
      </rPr>
      <t>15%</t>
    </r>
    <r>
      <rPr>
        <sz val="11"/>
        <rFont val="宋体"/>
        <charset val="134"/>
      </rPr>
      <t>提成，无奖励</t>
    </r>
  </si>
  <si>
    <r>
      <t>免单</t>
    </r>
    <r>
      <rPr>
        <sz val="11"/>
        <rFont val="Tahoma"/>
        <family val="2"/>
        <charset val="134"/>
      </rPr>
      <t>9741</t>
    </r>
    <r>
      <rPr>
        <sz val="11"/>
        <rFont val="宋体"/>
        <charset val="134"/>
      </rPr>
      <t>，TSBX20240507004</t>
    </r>
  </si>
  <si>
    <t>阳阳.王天真</t>
  </si>
  <si>
    <t>DJ.贺小兰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</si>
</sst>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#,##0.00_ "/>
  </numFmts>
  <fonts count="31">
    <font>
      <sz val="12"/>
      <name val="宋体"/>
      <charset val="134"/>
    </font>
    <font>
      <sz val="11"/>
      <name val="Tahoma"/>
      <family val="2"/>
      <charset val="134"/>
    </font>
    <font>
      <sz val="11"/>
      <name val="Arial"/>
      <family val="2"/>
      <charset val="0"/>
    </font>
    <font>
      <sz val="11"/>
      <name val="宋体"/>
      <charset val="134"/>
    </font>
    <font>
      <b/>
      <sz val="20"/>
      <color rgb="FF000000"/>
      <name val="宋体"/>
      <charset val="134"/>
    </font>
    <font>
      <sz val="11"/>
      <color indexed="8"/>
      <name val="宋体"/>
      <charset val="134"/>
    </font>
    <font>
      <sz val="11"/>
      <color indexed="8"/>
      <name val="Tahoma"/>
      <family val="2"/>
      <charset val="134"/>
    </font>
    <font>
      <sz val="11"/>
      <color rgb="FF000000"/>
      <name val="宋体"/>
      <charset val="134"/>
    </font>
    <font>
      <sz val="11"/>
      <color rgb="FF000000"/>
      <name val="Tahoma"/>
      <family val="2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D2F7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1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9" fillId="8" borderId="18" applyNumberFormat="0" applyAlignment="0" applyProtection="0">
      <alignment vertical="center"/>
    </xf>
    <xf numFmtId="0" fontId="20" fillId="8" borderId="17" applyNumberFormat="0" applyAlignment="0" applyProtection="0">
      <alignment vertical="center"/>
    </xf>
    <xf numFmtId="0" fontId="21" fillId="9" borderId="19" applyNumberFormat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93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176" fontId="2" fillId="2" borderId="1" xfId="0" applyNumberFormat="1" applyFont="1" applyFill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176" fontId="1" fillId="2" borderId="1" xfId="0" applyNumberFormat="1" applyFont="1" applyFill="1" applyBorder="1" applyAlignment="1">
      <alignment horizontal="right" vertical="center"/>
    </xf>
    <xf numFmtId="176" fontId="1" fillId="0" borderId="1" xfId="0" applyNumberFormat="1" applyFont="1" applyBorder="1" applyAlignment="1">
      <alignment horizontal="left" vertical="center"/>
    </xf>
    <xf numFmtId="176" fontId="1" fillId="2" borderId="1" xfId="0" applyNumberFormat="1" applyFont="1" applyFill="1" applyBorder="1" applyAlignment="1">
      <alignment horizontal="left" vertical="center"/>
    </xf>
    <xf numFmtId="176" fontId="1" fillId="0" borderId="1" xfId="0" applyNumberFormat="1" applyFont="1" applyBorder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76" fontId="1" fillId="0" borderId="2" xfId="0" applyNumberFormat="1" applyFont="1" applyBorder="1">
      <alignment vertical="center"/>
    </xf>
    <xf numFmtId="176" fontId="1" fillId="0" borderId="2" xfId="0" applyNumberFormat="1" applyFont="1" applyFill="1" applyBorder="1">
      <alignment vertical="center"/>
    </xf>
    <xf numFmtId="176" fontId="1" fillId="0" borderId="2" xfId="0" applyNumberFormat="1" applyFont="1" applyFill="1" applyBorder="1">
      <alignment vertical="center"/>
    </xf>
    <xf numFmtId="176" fontId="1" fillId="0" borderId="1" xfId="0" applyNumberFormat="1" applyFont="1" applyFill="1" applyBorder="1">
      <alignment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49" fontId="4" fillId="0" borderId="3" xfId="49" applyNumberFormat="1" applyFont="1" applyBorder="1" applyAlignment="1">
      <alignment horizontal="center" vertical="center"/>
    </xf>
    <xf numFmtId="0" fontId="4" fillId="0" borderId="4" xfId="49" applyFont="1" applyBorder="1" applyAlignment="1">
      <alignment horizontal="center" vertical="center"/>
    </xf>
    <xf numFmtId="49" fontId="4" fillId="0" borderId="5" xfId="49" applyNumberFormat="1" applyFont="1" applyBorder="1" applyAlignment="1">
      <alignment horizontal="center" vertical="center"/>
    </xf>
    <xf numFmtId="0" fontId="4" fillId="0" borderId="6" xfId="49" applyFont="1" applyBorder="1" applyAlignment="1">
      <alignment horizontal="center" vertical="center"/>
    </xf>
    <xf numFmtId="49" fontId="5" fillId="3" borderId="1" xfId="49" applyNumberFormat="1" applyFont="1" applyFill="1" applyBorder="1" applyAlignment="1">
      <alignment horizontal="center" vertical="center"/>
    </xf>
    <xf numFmtId="0" fontId="5" fillId="3" borderId="1" xfId="49" applyFont="1" applyFill="1" applyBorder="1" applyAlignment="1">
      <alignment horizontal="center" vertical="center"/>
    </xf>
    <xf numFmtId="0" fontId="6" fillId="3" borderId="1" xfId="49" applyFont="1" applyFill="1" applyBorder="1" applyAlignment="1">
      <alignment horizontal="center" vertical="center"/>
    </xf>
    <xf numFmtId="0" fontId="5" fillId="2" borderId="3" xfId="49" applyFont="1" applyFill="1" applyBorder="1" applyAlignment="1">
      <alignment horizontal="center" vertical="center"/>
    </xf>
    <xf numFmtId="0" fontId="5" fillId="2" borderId="4" xfId="49" applyFont="1" applyFill="1" applyBorder="1" applyAlignment="1">
      <alignment horizontal="center" vertical="center"/>
    </xf>
    <xf numFmtId="0" fontId="5" fillId="2" borderId="5" xfId="49" applyFont="1" applyFill="1" applyBorder="1" applyAlignment="1">
      <alignment horizontal="center" vertical="center"/>
    </xf>
    <xf numFmtId="0" fontId="5" fillId="2" borderId="6" xfId="49" applyFont="1" applyFill="1" applyBorder="1" applyAlignment="1">
      <alignment horizontal="center" vertical="center"/>
    </xf>
    <xf numFmtId="49" fontId="6" fillId="3" borderId="1" xfId="49" applyNumberFormat="1" applyFont="1" applyFill="1" applyBorder="1" applyAlignment="1">
      <alignment horizontal="center" vertical="center"/>
    </xf>
    <xf numFmtId="176" fontId="5" fillId="2" borderId="1" xfId="49" applyNumberFormat="1" applyFont="1" applyFill="1" applyBorder="1" applyAlignment="1">
      <alignment horizontal="center" vertical="center"/>
    </xf>
    <xf numFmtId="0" fontId="6" fillId="0" borderId="7" xfId="49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2" borderId="8" xfId="49" applyFont="1" applyFill="1" applyBorder="1" applyAlignment="1">
      <alignment horizontal="center" vertical="center"/>
    </xf>
    <xf numFmtId="0" fontId="6" fillId="3" borderId="3" xfId="49" applyFont="1" applyFill="1" applyBorder="1" applyAlignment="1">
      <alignment horizontal="center" vertical="center"/>
    </xf>
    <xf numFmtId="0" fontId="6" fillId="3" borderId="4" xfId="49" applyFont="1" applyFill="1" applyBorder="1" applyAlignment="1">
      <alignment horizontal="center" vertical="center"/>
    </xf>
    <xf numFmtId="0" fontId="5" fillId="2" borderId="9" xfId="49" applyFont="1" applyFill="1" applyBorder="1" applyAlignment="1">
      <alignment horizontal="center" vertical="center"/>
    </xf>
    <xf numFmtId="0" fontId="6" fillId="3" borderId="5" xfId="49" applyFont="1" applyFill="1" applyBorder="1" applyAlignment="1">
      <alignment horizontal="center" vertical="center"/>
    </xf>
    <xf numFmtId="0" fontId="6" fillId="3" borderId="6" xfId="49" applyFont="1" applyFill="1" applyBorder="1" applyAlignment="1">
      <alignment horizontal="center" vertical="center"/>
    </xf>
    <xf numFmtId="176" fontId="7" fillId="2" borderId="1" xfId="49" applyNumberFormat="1" applyFont="1" applyFill="1" applyBorder="1" applyAlignment="1">
      <alignment horizontal="center" vertical="center"/>
    </xf>
    <xf numFmtId="0" fontId="6" fillId="3" borderId="8" xfId="49" applyFont="1" applyFill="1" applyBorder="1" applyAlignment="1">
      <alignment horizontal="center" vertical="center"/>
    </xf>
    <xf numFmtId="0" fontId="5" fillId="4" borderId="3" xfId="49" applyFont="1" applyFill="1" applyBorder="1" applyAlignment="1">
      <alignment horizontal="center" vertical="center"/>
    </xf>
    <xf numFmtId="0" fontId="5" fillId="4" borderId="4" xfId="49" applyFont="1" applyFill="1" applyBorder="1" applyAlignment="1">
      <alignment horizontal="center" vertical="center"/>
    </xf>
    <xf numFmtId="0" fontId="6" fillId="3" borderId="9" xfId="49" applyFont="1" applyFill="1" applyBorder="1" applyAlignment="1">
      <alignment horizontal="center" vertical="center"/>
    </xf>
    <xf numFmtId="0" fontId="5" fillId="4" borderId="5" xfId="49" applyFont="1" applyFill="1" applyBorder="1" applyAlignment="1">
      <alignment horizontal="center" vertical="center"/>
    </xf>
    <xf numFmtId="0" fontId="5" fillId="4" borderId="6" xfId="49" applyFont="1" applyFill="1" applyBorder="1" applyAlignment="1">
      <alignment horizontal="center" vertical="center"/>
    </xf>
    <xf numFmtId="176" fontId="5" fillId="3" borderId="1" xfId="49" applyNumberFormat="1" applyFont="1" applyFill="1" applyBorder="1" applyAlignment="1">
      <alignment horizontal="center" vertical="center"/>
    </xf>
    <xf numFmtId="0" fontId="5" fillId="4" borderId="1" xfId="49" applyFont="1" applyFill="1" applyBorder="1" applyAlignment="1">
      <alignment horizontal="center" vertical="center"/>
    </xf>
    <xf numFmtId="0" fontId="5" fillId="4" borderId="8" xfId="49" applyFont="1" applyFill="1" applyBorder="1" applyAlignment="1">
      <alignment horizontal="center" vertical="center"/>
    </xf>
    <xf numFmtId="0" fontId="5" fillId="3" borderId="3" xfId="49" applyFont="1" applyFill="1" applyBorder="1" applyAlignment="1">
      <alignment horizontal="center" vertical="center"/>
    </xf>
    <xf numFmtId="0" fontId="5" fillId="3" borderId="4" xfId="49" applyFont="1" applyFill="1" applyBorder="1" applyAlignment="1">
      <alignment horizontal="center" vertical="center"/>
    </xf>
    <xf numFmtId="0" fontId="5" fillId="4" borderId="9" xfId="49" applyFont="1" applyFill="1" applyBorder="1" applyAlignment="1">
      <alignment horizontal="center" vertical="center"/>
    </xf>
    <xf numFmtId="0" fontId="5" fillId="3" borderId="5" xfId="49" applyFont="1" applyFill="1" applyBorder="1" applyAlignment="1">
      <alignment horizontal="center" vertical="center"/>
    </xf>
    <xf numFmtId="0" fontId="5" fillId="3" borderId="6" xfId="49" applyFont="1" applyFill="1" applyBorder="1" applyAlignment="1">
      <alignment horizontal="center" vertical="center"/>
    </xf>
    <xf numFmtId="49" fontId="7" fillId="3" borderId="1" xfId="49" applyNumberFormat="1" applyFont="1" applyFill="1" applyBorder="1" applyAlignment="1">
      <alignment horizontal="center" vertical="center" wrapText="1"/>
    </xf>
    <xf numFmtId="177" fontId="5" fillId="3" borderId="1" xfId="49" applyNumberFormat="1" applyFont="1" applyFill="1" applyBorder="1" applyAlignment="1">
      <alignment horizontal="center" vertical="center"/>
    </xf>
    <xf numFmtId="0" fontId="5" fillId="3" borderId="8" xfId="49" applyFont="1" applyFill="1" applyBorder="1" applyAlignment="1">
      <alignment horizontal="center" vertical="center"/>
    </xf>
    <xf numFmtId="176" fontId="8" fillId="3" borderId="1" xfId="49" applyNumberFormat="1" applyFont="1" applyFill="1" applyBorder="1" applyAlignment="1">
      <alignment horizontal="center" vertical="center"/>
    </xf>
    <xf numFmtId="176" fontId="6" fillId="2" borderId="1" xfId="49" applyNumberFormat="1" applyFont="1" applyFill="1" applyBorder="1" applyAlignment="1">
      <alignment horizontal="center" vertical="center" wrapText="1"/>
    </xf>
    <xf numFmtId="176" fontId="7" fillId="2" borderId="1" xfId="49" applyNumberFormat="1" applyFont="1" applyFill="1" applyBorder="1" applyAlignment="1">
      <alignment horizontal="center" vertical="center" wrapText="1"/>
    </xf>
    <xf numFmtId="0" fontId="5" fillId="3" borderId="9" xfId="49" applyFont="1" applyFill="1" applyBorder="1" applyAlignment="1">
      <alignment horizontal="center" vertical="center"/>
    </xf>
    <xf numFmtId="176" fontId="6" fillId="3" borderId="1" xfId="49" applyNumberFormat="1" applyFont="1" applyFill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5" fillId="3" borderId="2" xfId="49" applyNumberFormat="1" applyFont="1" applyFill="1" applyBorder="1" applyAlignment="1">
      <alignment horizontal="center" vertical="center"/>
    </xf>
    <xf numFmtId="176" fontId="5" fillId="3" borderId="10" xfId="49" applyNumberFormat="1" applyFont="1" applyFill="1" applyBorder="1" applyAlignment="1">
      <alignment horizontal="center" vertical="center"/>
    </xf>
    <xf numFmtId="176" fontId="5" fillId="3" borderId="10" xfId="49" applyNumberFormat="1" applyFont="1" applyFill="1" applyBorder="1" applyAlignment="1">
      <alignment horizontal="center" vertical="center"/>
    </xf>
    <xf numFmtId="176" fontId="5" fillId="3" borderId="11" xfId="49" applyNumberFormat="1" applyFont="1" applyFill="1" applyBorder="1" applyAlignment="1">
      <alignment horizontal="center" vertical="center"/>
    </xf>
    <xf numFmtId="176" fontId="5" fillId="3" borderId="1" xfId="49" applyNumberFormat="1" applyFont="1" applyFill="1" applyBorder="1" applyAlignment="1">
      <alignment horizontal="center" vertical="center"/>
    </xf>
    <xf numFmtId="176" fontId="5" fillId="3" borderId="10" xfId="49" applyNumberFormat="1" applyFont="1" applyFill="1" applyBorder="1" applyAlignment="1">
      <alignment horizontal="center" vertical="center"/>
    </xf>
    <xf numFmtId="176" fontId="5" fillId="3" borderId="11" xfId="49" applyNumberFormat="1" applyFont="1" applyFill="1" applyBorder="1" applyAlignment="1">
      <alignment horizontal="center" vertical="center"/>
    </xf>
    <xf numFmtId="176" fontId="5" fillId="3" borderId="11" xfId="49" applyNumberFormat="1" applyFont="1" applyFill="1" applyBorder="1" applyAlignment="1">
      <alignment horizontal="center" vertical="center"/>
    </xf>
    <xf numFmtId="176" fontId="6" fillId="0" borderId="7" xfId="49" applyNumberFormat="1" applyFont="1" applyFill="1" applyBorder="1" applyAlignment="1">
      <alignment horizontal="center" vertical="center"/>
    </xf>
    <xf numFmtId="176" fontId="3" fillId="0" borderId="2" xfId="0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76" fontId="5" fillId="3" borderId="3" xfId="49" applyNumberFormat="1" applyFont="1" applyFill="1" applyBorder="1" applyAlignment="1">
      <alignment horizontal="center" vertical="center"/>
    </xf>
    <xf numFmtId="176" fontId="5" fillId="3" borderId="8" xfId="49" applyNumberFormat="1" applyFont="1" applyFill="1" applyBorder="1" applyAlignment="1">
      <alignment horizontal="center" vertical="center"/>
    </xf>
    <xf numFmtId="0" fontId="7" fillId="3" borderId="7" xfId="49" applyFont="1" applyFill="1" applyBorder="1" applyAlignment="1">
      <alignment horizontal="center" vertical="center"/>
    </xf>
    <xf numFmtId="176" fontId="5" fillId="3" borderId="5" xfId="49" applyNumberFormat="1" applyFont="1" applyFill="1" applyBorder="1" applyAlignment="1">
      <alignment horizontal="center" vertical="center"/>
    </xf>
    <xf numFmtId="176" fontId="5" fillId="3" borderId="9" xfId="49" applyNumberFormat="1" applyFont="1" applyFill="1" applyBorder="1" applyAlignment="1">
      <alignment horizontal="center" vertical="center"/>
    </xf>
    <xf numFmtId="0" fontId="7" fillId="3" borderId="12" xfId="49" applyFont="1" applyFill="1" applyBorder="1" applyAlignment="1">
      <alignment horizontal="center" vertical="center"/>
    </xf>
    <xf numFmtId="176" fontId="5" fillId="3" borderId="1" xfId="49" applyNumberFormat="1" applyFont="1" applyFill="1" applyBorder="1" applyAlignment="1">
      <alignment horizontal="center" vertical="center" wrapText="1"/>
    </xf>
    <xf numFmtId="176" fontId="5" fillId="3" borderId="1" xfId="49" applyNumberFormat="1" applyFont="1" applyFill="1" applyBorder="1" applyAlignment="1">
      <alignment vertical="center"/>
    </xf>
    <xf numFmtId="176" fontId="3" fillId="5" borderId="1" xfId="49" applyNumberFormat="1" applyFont="1" applyFill="1" applyBorder="1" applyAlignment="1">
      <alignment horizontal="center" vertical="center"/>
    </xf>
    <xf numFmtId="176" fontId="5" fillId="5" borderId="1" xfId="49" applyNumberFormat="1" applyFont="1" applyFill="1" applyBorder="1" applyAlignment="1">
      <alignment horizontal="center" vertical="center" wrapText="1"/>
    </xf>
    <xf numFmtId="0" fontId="6" fillId="3" borderId="13" xfId="49" applyFont="1" applyFill="1" applyBorder="1" applyAlignment="1">
      <alignment horizontal="center" vertical="center"/>
    </xf>
    <xf numFmtId="176" fontId="5" fillId="3" borderId="7" xfId="49" applyNumberFormat="1" applyFont="1" applyFill="1" applyBorder="1" applyAlignment="1">
      <alignment horizontal="center" vertical="center"/>
    </xf>
    <xf numFmtId="176" fontId="5" fillId="3" borderId="12" xfId="49" applyNumberFormat="1" applyFont="1" applyFill="1" applyBorder="1" applyAlignment="1">
      <alignment horizontal="center" vertical="center"/>
    </xf>
    <xf numFmtId="176" fontId="5" fillId="3" borderId="13" xfId="49" applyNumberFormat="1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36195</xdr:colOff>
      <xdr:row>176</xdr:row>
      <xdr:rowOff>76200</xdr:rowOff>
    </xdr:from>
    <xdr:to>
      <xdr:col>0</xdr:col>
      <xdr:colOff>340995</xdr:colOff>
      <xdr:row>177</xdr:row>
      <xdr:rowOff>114300</xdr:rowOff>
    </xdr:to>
    <xdr:sp>
      <xdr:nvSpPr>
        <xdr:cNvPr id="2" name="图片 1"/>
        <xdr:cNvSpPr>
          <a:spLocks noChangeAspect="1"/>
        </xdr:cNvSpPr>
      </xdr:nvSpPr>
      <xdr:spPr>
        <a:xfrm>
          <a:off x="36195" y="467258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695"/>
  <sheetViews>
    <sheetView tabSelected="1" zoomScale="80" zoomScaleNormal="80" zoomScaleSheetLayoutView="60" workbookViewId="0">
      <pane xSplit="21" ySplit="5" topLeftCell="V6" activePane="bottomRight" state="frozen"/>
      <selection/>
      <selection pane="topRight"/>
      <selection pane="bottomLeft"/>
      <selection pane="bottomRight" activeCell="G10" sqref="G10"/>
    </sheetView>
  </sheetViews>
  <sheetFormatPr defaultColWidth="12.625" defaultRowHeight="21" customHeight="1"/>
  <cols>
    <col min="1" max="1" width="6" style="1" customWidth="1"/>
    <col min="2" max="2" width="10.625" style="2" customWidth="1"/>
    <col min="3" max="3" width="9.5" style="3" customWidth="1"/>
    <col min="4" max="4" width="12.25" style="3" customWidth="1"/>
    <col min="5" max="6" width="10.15" style="3" customWidth="1"/>
    <col min="7" max="7" width="8.75" style="3" customWidth="1"/>
    <col min="8" max="8" width="8.25" style="3" customWidth="1"/>
    <col min="9" max="10" width="8.75" style="3" customWidth="1"/>
    <col min="11" max="11" width="8.75" style="4" customWidth="1"/>
    <col min="12" max="12" width="8.75" style="5" customWidth="1"/>
    <col min="13" max="19" width="7.375" style="3" hidden="1" customWidth="1"/>
    <col min="20" max="20" width="7.5" style="6" hidden="1" customWidth="1"/>
    <col min="21" max="21" width="7.5" style="7" hidden="1" customWidth="1"/>
    <col min="22" max="28" width="6.25" style="3" hidden="1" customWidth="1"/>
    <col min="29" max="29" width="6.25" style="8" hidden="1" customWidth="1"/>
    <col min="30" max="30" width="6.25" style="9" hidden="1" customWidth="1"/>
    <col min="31" max="31" width="6.625" style="1" hidden="1" customWidth="1"/>
    <col min="32" max="39" width="7.75" style="3" hidden="1" customWidth="1"/>
    <col min="40" max="40" width="7.375" style="9" hidden="1" customWidth="1"/>
    <col min="41" max="41" width="5.5" style="10" hidden="1" customWidth="1"/>
    <col min="42" max="43" width="5.875" style="10" hidden="1" customWidth="1"/>
    <col min="44" max="44" width="5.75" style="2" customWidth="1"/>
    <col min="45" max="45" width="9.25" style="10" customWidth="1"/>
    <col min="46" max="47" width="6.25" style="11" customWidth="1"/>
    <col min="48" max="48" width="10.625" style="12" customWidth="1"/>
    <col min="49" max="49" width="6.875" style="10" customWidth="1"/>
    <col min="50" max="50" width="21.4083333333333" style="13" customWidth="1"/>
    <col min="51" max="52" width="10.25" style="14" customWidth="1"/>
    <col min="53" max="53" width="8.375" style="15" customWidth="1"/>
    <col min="54" max="54" width="8.375" style="16" customWidth="1"/>
    <col min="55" max="55" width="7.125" style="17" customWidth="1"/>
    <col min="56" max="56" width="5.625" style="17" customWidth="1"/>
    <col min="57" max="57" width="7.80833333333333" style="17" customWidth="1"/>
    <col min="58" max="58" width="6.8" style="10" customWidth="1"/>
    <col min="59" max="63" width="6.125" style="10" customWidth="1"/>
    <col min="64" max="64" width="7" style="18" customWidth="1"/>
    <col min="65" max="65" width="13.5" style="10" customWidth="1"/>
    <col min="66" max="255" width="12.625" style="19"/>
  </cols>
  <sheetData>
    <row r="1" customHeight="1" spans="1:6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</row>
    <row r="2" ht="9" customHeight="1" spans="1:65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</row>
    <row r="3" ht="17.1" customHeight="1" spans="1:65">
      <c r="A3" s="24" t="s">
        <v>1</v>
      </c>
      <c r="B3" s="25" t="s">
        <v>2</v>
      </c>
      <c r="C3" s="26" t="s">
        <v>3</v>
      </c>
      <c r="D3" s="27" t="s">
        <v>4</v>
      </c>
      <c r="E3" s="28"/>
      <c r="F3" s="28"/>
      <c r="G3" s="28"/>
      <c r="H3" s="28"/>
      <c r="I3" s="28"/>
      <c r="J3" s="28"/>
      <c r="K3" s="28"/>
      <c r="L3" s="35"/>
      <c r="M3" s="36" t="s">
        <v>5</v>
      </c>
      <c r="N3" s="37"/>
      <c r="O3" s="37"/>
      <c r="P3" s="37"/>
      <c r="Q3" s="37"/>
      <c r="R3" s="37"/>
      <c r="S3" s="37"/>
      <c r="T3" s="37"/>
      <c r="U3" s="42"/>
      <c r="V3" s="43" t="s">
        <v>6</v>
      </c>
      <c r="W3" s="44"/>
      <c r="X3" s="44"/>
      <c r="Y3" s="44"/>
      <c r="Z3" s="44"/>
      <c r="AA3" s="44"/>
      <c r="AB3" s="44"/>
      <c r="AC3" s="44"/>
      <c r="AD3" s="50"/>
      <c r="AE3" s="51" t="s">
        <v>7</v>
      </c>
      <c r="AF3" s="52"/>
      <c r="AG3" s="52"/>
      <c r="AH3" s="52"/>
      <c r="AI3" s="52"/>
      <c r="AJ3" s="52"/>
      <c r="AK3" s="52"/>
      <c r="AL3" s="52"/>
      <c r="AM3" s="52"/>
      <c r="AN3" s="52"/>
      <c r="AO3" s="58"/>
      <c r="AP3" s="59" t="s">
        <v>8</v>
      </c>
      <c r="AQ3" s="59"/>
      <c r="AR3" s="51" t="s">
        <v>9</v>
      </c>
      <c r="AS3" s="58"/>
      <c r="AT3" s="60" t="s">
        <v>10</v>
      </c>
      <c r="AU3" s="61" t="s">
        <v>11</v>
      </c>
      <c r="AV3" s="48" t="s">
        <v>12</v>
      </c>
      <c r="AW3" s="48" t="s">
        <v>13</v>
      </c>
      <c r="AX3" s="25" t="s">
        <v>14</v>
      </c>
      <c r="AY3" s="65" t="s">
        <v>15</v>
      </c>
      <c r="AZ3" s="66"/>
      <c r="BA3" s="67"/>
      <c r="BB3" s="67"/>
      <c r="BC3" s="67"/>
      <c r="BD3" s="68"/>
      <c r="BE3" s="68"/>
      <c r="BF3" s="76" t="s">
        <v>16</v>
      </c>
      <c r="BG3" s="77"/>
      <c r="BH3" s="48" t="s">
        <v>17</v>
      </c>
      <c r="BI3" s="48"/>
      <c r="BJ3" s="48"/>
      <c r="BK3" s="48"/>
      <c r="BL3" s="78" t="s">
        <v>18</v>
      </c>
      <c r="BM3" s="87" t="s">
        <v>14</v>
      </c>
    </row>
    <row r="4" ht="17.1" customHeight="1" spans="1:65">
      <c r="A4" s="24"/>
      <c r="B4" s="25"/>
      <c r="C4" s="26"/>
      <c r="D4" s="29"/>
      <c r="E4" s="30"/>
      <c r="F4" s="30"/>
      <c r="G4" s="30"/>
      <c r="H4" s="30"/>
      <c r="I4" s="30"/>
      <c r="J4" s="30"/>
      <c r="K4" s="30"/>
      <c r="L4" s="38"/>
      <c r="M4" s="39"/>
      <c r="N4" s="40"/>
      <c r="O4" s="40"/>
      <c r="P4" s="40"/>
      <c r="Q4" s="40"/>
      <c r="R4" s="40"/>
      <c r="S4" s="40"/>
      <c r="T4" s="40"/>
      <c r="U4" s="45"/>
      <c r="V4" s="46"/>
      <c r="W4" s="47"/>
      <c r="X4" s="47"/>
      <c r="Y4" s="47"/>
      <c r="Z4" s="47"/>
      <c r="AA4" s="47"/>
      <c r="AB4" s="47"/>
      <c r="AC4" s="47"/>
      <c r="AD4" s="53"/>
      <c r="AE4" s="54"/>
      <c r="AF4" s="55"/>
      <c r="AG4" s="55"/>
      <c r="AH4" s="55"/>
      <c r="AI4" s="55"/>
      <c r="AJ4" s="55"/>
      <c r="AK4" s="55"/>
      <c r="AL4" s="55"/>
      <c r="AM4" s="55"/>
      <c r="AN4" s="55"/>
      <c r="AO4" s="62"/>
      <c r="AP4" s="59"/>
      <c r="AQ4" s="59"/>
      <c r="AR4" s="54"/>
      <c r="AS4" s="62"/>
      <c r="AT4" s="60"/>
      <c r="AU4" s="60"/>
      <c r="AV4" s="48"/>
      <c r="AW4" s="48"/>
      <c r="AX4" s="25"/>
      <c r="AY4" s="69" t="s">
        <v>13</v>
      </c>
      <c r="AZ4" s="69" t="s">
        <v>19</v>
      </c>
      <c r="BA4" s="69"/>
      <c r="BB4" s="69"/>
      <c r="BC4" s="70" t="s">
        <v>20</v>
      </c>
      <c r="BD4" s="71"/>
      <c r="BE4" s="71"/>
      <c r="BF4" s="79"/>
      <c r="BG4" s="80"/>
      <c r="BH4" s="48"/>
      <c r="BI4" s="48"/>
      <c r="BJ4" s="48"/>
      <c r="BK4" s="48"/>
      <c r="BL4" s="81"/>
      <c r="BM4" s="88"/>
    </row>
    <row r="5" ht="18" customHeight="1" spans="1:65">
      <c r="A5" s="31"/>
      <c r="B5" s="26"/>
      <c r="C5" s="26"/>
      <c r="D5" s="32" t="s">
        <v>21</v>
      </c>
      <c r="E5" s="32" t="s">
        <v>22</v>
      </c>
      <c r="F5" s="32" t="s">
        <v>23</v>
      </c>
      <c r="G5" s="32" t="s">
        <v>24</v>
      </c>
      <c r="H5" s="32" t="s">
        <v>25</v>
      </c>
      <c r="I5" s="32" t="s">
        <v>26</v>
      </c>
      <c r="J5" s="32" t="s">
        <v>27</v>
      </c>
      <c r="K5" s="41" t="s">
        <v>28</v>
      </c>
      <c r="L5" s="41" t="s">
        <v>29</v>
      </c>
      <c r="M5" s="25" t="s">
        <v>21</v>
      </c>
      <c r="N5" s="25" t="s">
        <v>22</v>
      </c>
      <c r="O5" s="25" t="s">
        <v>23</v>
      </c>
      <c r="P5" s="25" t="s">
        <v>24</v>
      </c>
      <c r="Q5" s="25" t="s">
        <v>25</v>
      </c>
      <c r="R5" s="25" t="s">
        <v>26</v>
      </c>
      <c r="S5" s="25" t="s">
        <v>27</v>
      </c>
      <c r="T5" s="48" t="s">
        <v>28</v>
      </c>
      <c r="U5" s="32" t="s">
        <v>29</v>
      </c>
      <c r="V5" s="49" t="s">
        <v>21</v>
      </c>
      <c r="W5" s="49" t="s">
        <v>22</v>
      </c>
      <c r="X5" s="49" t="s">
        <v>23</v>
      </c>
      <c r="Y5" s="49" t="s">
        <v>24</v>
      </c>
      <c r="Z5" s="49" t="s">
        <v>25</v>
      </c>
      <c r="AA5" s="49" t="s">
        <v>26</v>
      </c>
      <c r="AB5" s="49" t="s">
        <v>27</v>
      </c>
      <c r="AC5" s="49" t="s">
        <v>28</v>
      </c>
      <c r="AD5" s="49" t="s">
        <v>29</v>
      </c>
      <c r="AE5" s="56" t="s">
        <v>30</v>
      </c>
      <c r="AF5" s="57" t="s">
        <v>21</v>
      </c>
      <c r="AG5" s="57" t="s">
        <v>22</v>
      </c>
      <c r="AH5" s="57" t="s">
        <v>23</v>
      </c>
      <c r="AI5" s="57" t="s">
        <v>24</v>
      </c>
      <c r="AJ5" s="57" t="s">
        <v>25</v>
      </c>
      <c r="AK5" s="57" t="s">
        <v>26</v>
      </c>
      <c r="AL5" s="57" t="s">
        <v>27</v>
      </c>
      <c r="AM5" s="48" t="s">
        <v>28</v>
      </c>
      <c r="AN5" s="32" t="s">
        <v>29</v>
      </c>
      <c r="AO5" s="48" t="s">
        <v>31</v>
      </c>
      <c r="AP5" s="57" t="s">
        <v>21</v>
      </c>
      <c r="AQ5" s="48" t="s">
        <v>12</v>
      </c>
      <c r="AR5" s="25" t="s">
        <v>21</v>
      </c>
      <c r="AS5" s="63" t="s">
        <v>12</v>
      </c>
      <c r="AT5" s="60"/>
      <c r="AU5" s="60"/>
      <c r="AV5" s="63"/>
      <c r="AW5" s="48"/>
      <c r="AX5" s="26"/>
      <c r="AY5" s="69"/>
      <c r="AZ5" s="72" t="s">
        <v>32</v>
      </c>
      <c r="BA5" s="48" t="s">
        <v>33</v>
      </c>
      <c r="BB5" s="48" t="s">
        <v>34</v>
      </c>
      <c r="BC5" s="48" t="s">
        <v>35</v>
      </c>
      <c r="BD5" s="48" t="s">
        <v>36</v>
      </c>
      <c r="BE5" s="48" t="s">
        <v>37</v>
      </c>
      <c r="BF5" s="82" t="s">
        <v>38</v>
      </c>
      <c r="BG5" s="83" t="s">
        <v>39</v>
      </c>
      <c r="BH5" s="84" t="s">
        <v>13</v>
      </c>
      <c r="BI5" s="84" t="s">
        <v>39</v>
      </c>
      <c r="BJ5" s="84" t="s">
        <v>35</v>
      </c>
      <c r="BK5" s="85" t="s">
        <v>36</v>
      </c>
      <c r="BL5" s="86"/>
      <c r="BM5" s="89"/>
    </row>
    <row r="6" customHeight="1" spans="1:64">
      <c r="A6" s="1" t="s">
        <v>40</v>
      </c>
      <c r="B6" s="33">
        <v>10059570</v>
      </c>
      <c r="C6" s="3">
        <v>311</v>
      </c>
      <c r="D6" s="34" t="s">
        <v>41</v>
      </c>
      <c r="E6" s="3">
        <v>980</v>
      </c>
      <c r="I6" s="3">
        <f>2142+159</f>
        <v>2301</v>
      </c>
      <c r="K6" s="4">
        <f>4300-3748</f>
        <v>552</v>
      </c>
      <c r="L6" s="5">
        <f>E6+F6+H6+I6+J6+G6+K6</f>
        <v>3833</v>
      </c>
      <c r="U6" s="7">
        <f>N6+O6+P6+Q6+S6+R6+T6</f>
        <v>0</v>
      </c>
      <c r="AD6" s="9">
        <f>W6+X6+Y6+Z6+AA6+AB6+AC6</f>
        <v>0</v>
      </c>
      <c r="AF6" s="34"/>
      <c r="AG6" s="34"/>
      <c r="AH6" s="34"/>
      <c r="AN6" s="9">
        <f>AG6+AH6+AI6+AJ6+AK6+AL6+AM6</f>
        <v>0</v>
      </c>
      <c r="AT6" s="11">
        <f>100+318+49</f>
        <v>467</v>
      </c>
      <c r="AV6" s="64">
        <f>L6+U6+AD6</f>
        <v>3833</v>
      </c>
      <c r="AW6" s="73">
        <f>AT6+AV6+AU6</f>
        <v>4300</v>
      </c>
      <c r="AY6" s="74">
        <f>AZ6+BA6+BB6+BC6+BD6+BE6</f>
        <v>4300</v>
      </c>
      <c r="BA6" s="15">
        <v>4300</v>
      </c>
      <c r="BL6" s="18">
        <v>3</v>
      </c>
    </row>
    <row r="7" customHeight="1" spans="1:65">
      <c r="A7" s="1" t="s">
        <v>40</v>
      </c>
      <c r="B7" s="33">
        <v>10059571</v>
      </c>
      <c r="C7" s="3">
        <v>312</v>
      </c>
      <c r="D7" s="34" t="s">
        <v>42</v>
      </c>
      <c r="E7" s="3">
        <v>980</v>
      </c>
      <c r="I7" s="3">
        <f>3570+2856</f>
        <v>6426</v>
      </c>
      <c r="K7" s="4">
        <f>9500-8301</f>
        <v>1199</v>
      </c>
      <c r="L7" s="5">
        <f>E7+F7+H7+I7+J7+G7+K7</f>
        <v>8605</v>
      </c>
      <c r="U7" s="7">
        <f>N7+O7+P7+Q7+S7+R7+T7</f>
        <v>0</v>
      </c>
      <c r="AD7" s="9">
        <f>W7+X7+Y7+Z7+AA7+AB7+AC7</f>
        <v>0</v>
      </c>
      <c r="AF7" s="34"/>
      <c r="AG7" s="34"/>
      <c r="AH7" s="34"/>
      <c r="AN7" s="9">
        <f>AG7+AH7+AI7+AJ7+AK7+AL7+AM7</f>
        <v>0</v>
      </c>
      <c r="AT7" s="11">
        <f>100+795</f>
        <v>895</v>
      </c>
      <c r="AV7" s="64">
        <f>L7+U7+AD7</f>
        <v>8605</v>
      </c>
      <c r="AW7" s="73">
        <f>AT7+AV7+AU7</f>
        <v>9500</v>
      </c>
      <c r="AY7" s="74">
        <f>AZ7+BA7+BB7+BC7+BD7+BE7</f>
        <v>9500</v>
      </c>
      <c r="BA7" s="15">
        <v>9500</v>
      </c>
      <c r="BL7" s="18">
        <v>5</v>
      </c>
      <c r="BM7" s="90" t="s">
        <v>43</v>
      </c>
    </row>
    <row r="8" customHeight="1" spans="1:65">
      <c r="A8" s="1" t="s">
        <v>40</v>
      </c>
      <c r="B8" s="33">
        <v>10059572</v>
      </c>
      <c r="C8" s="34" t="s">
        <v>44</v>
      </c>
      <c r="D8" s="3" t="s">
        <v>45</v>
      </c>
      <c r="E8" s="3">
        <v>1880</v>
      </c>
      <c r="I8" s="3">
        <f>1749+3816</f>
        <v>5565</v>
      </c>
      <c r="J8" s="3">
        <v>129</v>
      </c>
      <c r="K8" s="4">
        <f>9900-8340-129</f>
        <v>1431</v>
      </c>
      <c r="L8" s="5">
        <f>E8+F8+H8+I8+J8+G8+K8</f>
        <v>9005</v>
      </c>
      <c r="U8" s="7">
        <f>N8+O8+P8+Q8+S8+R8+T8</f>
        <v>0</v>
      </c>
      <c r="AD8" s="9">
        <f>W8+X8+Y8+Z8+AA8+AB8+AC8</f>
        <v>0</v>
      </c>
      <c r="AF8" s="34"/>
      <c r="AG8" s="34"/>
      <c r="AH8" s="34"/>
      <c r="AN8" s="9">
        <f>AG8+AH8+AI8+AJ8+AK8+AL8+AM8</f>
        <v>0</v>
      </c>
      <c r="AT8" s="11">
        <f>100+795</f>
        <v>895</v>
      </c>
      <c r="AV8" s="64">
        <f>L8+U8+AD8</f>
        <v>9005</v>
      </c>
      <c r="AW8" s="73">
        <f>AT8+AV8+AU8</f>
        <v>9900</v>
      </c>
      <c r="AY8" s="74">
        <f>AZ8+BA8+BB8+BC8+BD8+BE8</f>
        <v>9900</v>
      </c>
      <c r="BA8" s="15">
        <v>9900</v>
      </c>
      <c r="BL8" s="18">
        <v>8</v>
      </c>
      <c r="BM8" s="90" t="s">
        <v>46</v>
      </c>
    </row>
    <row r="9" customHeight="1" spans="1:65">
      <c r="A9" s="1" t="s">
        <v>40</v>
      </c>
      <c r="B9" s="33">
        <v>10059573</v>
      </c>
      <c r="C9" s="3">
        <v>310</v>
      </c>
      <c r="D9" s="3" t="s">
        <v>47</v>
      </c>
      <c r="E9" s="3">
        <v>980</v>
      </c>
      <c r="G9" s="3">
        <v>4690</v>
      </c>
      <c r="K9" s="4">
        <f>7200-5929</f>
        <v>1271</v>
      </c>
      <c r="L9" s="5">
        <f>E9+F9+H9+I9+J9+G9+K9</f>
        <v>6941</v>
      </c>
      <c r="U9" s="7">
        <f>N9+O9+P9+Q9+S9+R9+T9</f>
        <v>0</v>
      </c>
      <c r="AD9" s="9">
        <f>W9+X9+Y9+Z9+AA9+AB9+AC9</f>
        <v>0</v>
      </c>
      <c r="AF9" s="34"/>
      <c r="AG9" s="34"/>
      <c r="AH9" s="34"/>
      <c r="AN9" s="9">
        <f>AG9+AH9+AI9+AJ9+AK9+AL9+AM9</f>
        <v>0</v>
      </c>
      <c r="AT9" s="11">
        <f>100+159</f>
        <v>259</v>
      </c>
      <c r="AV9" s="64">
        <f>L9+U9+AD9</f>
        <v>6941</v>
      </c>
      <c r="AW9" s="73">
        <f>AT9+AV9+AU9</f>
        <v>7200</v>
      </c>
      <c r="AY9" s="74">
        <f>AZ9+BA9+BB9+BC9+BD9+BE9</f>
        <v>7200</v>
      </c>
      <c r="BA9" s="15">
        <v>7200</v>
      </c>
      <c r="BL9" s="18">
        <v>3</v>
      </c>
      <c r="BM9" s="90" t="s">
        <v>46</v>
      </c>
    </row>
    <row r="10" customHeight="1" spans="1:65">
      <c r="A10" s="1" t="s">
        <v>40</v>
      </c>
      <c r="B10" s="33">
        <v>10059574</v>
      </c>
      <c r="C10" s="34" t="s">
        <v>48</v>
      </c>
      <c r="D10" s="3" t="s">
        <v>49</v>
      </c>
      <c r="E10" s="3">
        <v>1880</v>
      </c>
      <c r="G10" s="3">
        <v>4690</v>
      </c>
      <c r="I10" s="3">
        <v>3096</v>
      </c>
      <c r="K10" s="4">
        <f>12360-10243</f>
        <v>2117</v>
      </c>
      <c r="L10" s="5">
        <f>E10+F10+H10+I10+J10+G10+K10</f>
        <v>11783</v>
      </c>
      <c r="U10" s="7">
        <f>N10+O10+P10+Q10+S10+R10+T10</f>
        <v>0</v>
      </c>
      <c r="AD10" s="9">
        <f>W10+X10+Y10+Z10+AA10+AB10+AC10</f>
        <v>0</v>
      </c>
      <c r="AF10" s="34"/>
      <c r="AG10" s="34"/>
      <c r="AH10" s="34"/>
      <c r="AN10" s="9">
        <f>AG10+AH10+AI10+AJ10+AK10+AL10+AM10</f>
        <v>0</v>
      </c>
      <c r="AT10" s="11">
        <f>100+477</f>
        <v>577</v>
      </c>
      <c r="AV10" s="64">
        <f>L10+U10+AD10</f>
        <v>11783</v>
      </c>
      <c r="AW10" s="73">
        <f>AT10+AV10+AU10</f>
        <v>12360</v>
      </c>
      <c r="AY10" s="74">
        <f>AZ10+BA10+BB10+BC10+BD10+BE10</f>
        <v>12860</v>
      </c>
      <c r="AZ10" s="14">
        <v>12360</v>
      </c>
      <c r="BC10" s="17">
        <v>490</v>
      </c>
      <c r="BD10" s="17">
        <v>10</v>
      </c>
      <c r="BL10" s="18">
        <v>8</v>
      </c>
      <c r="BM10" s="90" t="s">
        <v>50</v>
      </c>
    </row>
    <row r="11" customHeight="1" spans="1:65">
      <c r="A11" s="1" t="s">
        <v>40</v>
      </c>
      <c r="B11" s="33">
        <v>10059575</v>
      </c>
      <c r="C11" s="3">
        <v>308</v>
      </c>
      <c r="D11" s="34" t="s">
        <v>51</v>
      </c>
      <c r="E11" s="3">
        <v>980</v>
      </c>
      <c r="I11" s="3">
        <f>2856+1428</f>
        <v>4284</v>
      </c>
      <c r="K11" s="4">
        <f>6600-5890</f>
        <v>710</v>
      </c>
      <c r="L11" s="5">
        <f>E11+F11+H11+I11+J11+G11+K11</f>
        <v>5974</v>
      </c>
      <c r="U11" s="7">
        <f>N11+O11+P11+Q11+S11+R11+T11</f>
        <v>0</v>
      </c>
      <c r="AD11" s="9">
        <f>W11+X11+Y11+Z11+AA11+AB11+AC11</f>
        <v>0</v>
      </c>
      <c r="AF11" s="34"/>
      <c r="AG11" s="34"/>
      <c r="AH11" s="34"/>
      <c r="AN11" s="9">
        <f>AG11+AH11+AI11+AJ11+AK11+AL11+AM11</f>
        <v>0</v>
      </c>
      <c r="AT11" s="11">
        <f>100+477+49</f>
        <v>626</v>
      </c>
      <c r="AV11" s="64">
        <f>L11+U11+AD11</f>
        <v>5974</v>
      </c>
      <c r="AW11" s="73">
        <f>AT11+AV11+AU11</f>
        <v>6600</v>
      </c>
      <c r="AY11" s="74">
        <f>AZ11+BA11+BB11+BC11+BD11+BE11</f>
        <v>6600</v>
      </c>
      <c r="BA11" s="15">
        <v>6600</v>
      </c>
      <c r="BL11" s="18">
        <v>3</v>
      </c>
      <c r="BM11" s="90" t="s">
        <v>52</v>
      </c>
    </row>
    <row r="12" customHeight="1" spans="1:65">
      <c r="A12" s="1" t="s">
        <v>40</v>
      </c>
      <c r="B12" s="33">
        <v>10059576</v>
      </c>
      <c r="C12" s="3">
        <v>318</v>
      </c>
      <c r="L12" s="5">
        <f>E12+F12+H12+I12+J12+G12+K12</f>
        <v>0</v>
      </c>
      <c r="M12" s="3" t="s">
        <v>53</v>
      </c>
      <c r="N12" s="3">
        <v>980</v>
      </c>
      <c r="R12" s="3">
        <v>2856</v>
      </c>
      <c r="T12" s="6">
        <v>487</v>
      </c>
      <c r="U12" s="7">
        <f>N12+O12+P12+Q12+S12+R12+T12</f>
        <v>4323</v>
      </c>
      <c r="AD12" s="9">
        <f>W12+X12+Y12+Z12+AA12+AB12+AC12</f>
        <v>0</v>
      </c>
      <c r="AF12" s="34"/>
      <c r="AG12" s="34"/>
      <c r="AH12" s="34"/>
      <c r="AN12" s="9">
        <f>AG12+AH12+AI12+AJ12+AK12+AL12+AM12</f>
        <v>0</v>
      </c>
      <c r="AT12" s="11">
        <f>100+477</f>
        <v>577</v>
      </c>
      <c r="AV12" s="64">
        <f>L12+U12+AD12</f>
        <v>4323</v>
      </c>
      <c r="AW12" s="73">
        <f>AT12+AV12+AU12</f>
        <v>4900</v>
      </c>
      <c r="AY12" s="74">
        <f>AZ12+BA12+BB12+BC12+BD12+BE12</f>
        <v>4200</v>
      </c>
      <c r="BA12" s="15">
        <v>4200</v>
      </c>
      <c r="BG12" s="10">
        <v>700</v>
      </c>
      <c r="BL12" s="18">
        <v>3</v>
      </c>
      <c r="BM12" s="90" t="s">
        <v>43</v>
      </c>
    </row>
    <row r="13" customHeight="1" spans="1:64">
      <c r="A13" s="1" t="s">
        <v>40</v>
      </c>
      <c r="B13" s="33">
        <v>10059577</v>
      </c>
      <c r="C13" s="34" t="s">
        <v>54</v>
      </c>
      <c r="D13" s="3" t="s">
        <v>55</v>
      </c>
      <c r="E13" s="3">
        <v>2180</v>
      </c>
      <c r="I13" s="3">
        <f>8268+1908</f>
        <v>10176</v>
      </c>
      <c r="K13" s="4">
        <f>15200-13470</f>
        <v>1730</v>
      </c>
      <c r="L13" s="5">
        <f>E13+F13+H13+I13+J13+G13+K13</f>
        <v>14086</v>
      </c>
      <c r="U13" s="7">
        <f>N13+O13+P13+Q13+S13+R13+T13</f>
        <v>0</v>
      </c>
      <c r="AD13" s="9">
        <f>W13+X13+Y13+Z13+AA13+AB13+AC13</f>
        <v>0</v>
      </c>
      <c r="AF13" s="34"/>
      <c r="AG13" s="34"/>
      <c r="AH13" s="34"/>
      <c r="AN13" s="9">
        <f>AG13+AH13+AI13+AJ13+AK13+AL13+AM13</f>
        <v>0</v>
      </c>
      <c r="AT13" s="11">
        <f>100+507+507</f>
        <v>1114</v>
      </c>
      <c r="AV13" s="64">
        <f>L13+U13+AD13</f>
        <v>14086</v>
      </c>
      <c r="AW13" s="73">
        <f>AT13+AV13+AU13</f>
        <v>15200</v>
      </c>
      <c r="AY13" s="74">
        <f>AZ13+BA13+BB13+BC13+BD13+BE13</f>
        <v>15200</v>
      </c>
      <c r="BA13" s="15">
        <v>15200</v>
      </c>
      <c r="BL13" s="18">
        <v>3</v>
      </c>
    </row>
    <row r="14" customHeight="1" spans="1:65">
      <c r="A14" s="1" t="s">
        <v>40</v>
      </c>
      <c r="B14" s="33">
        <v>10059578</v>
      </c>
      <c r="C14" s="34" t="s">
        <v>56</v>
      </c>
      <c r="L14" s="5">
        <f>E14+F14+H14+I14+J14+G14+K14</f>
        <v>0</v>
      </c>
      <c r="M14" s="3" t="s">
        <v>57</v>
      </c>
      <c r="N14" s="3">
        <v>3180</v>
      </c>
      <c r="P14" s="3">
        <v>18380</v>
      </c>
      <c r="S14" s="3">
        <v>495</v>
      </c>
      <c r="T14" s="6">
        <v>2893</v>
      </c>
      <c r="U14" s="7">
        <f>N14+O14+P14+Q14+S14+R14+T14</f>
        <v>24948</v>
      </c>
      <c r="AD14" s="9">
        <f>W14+X14+Y14+Z14+AA14+AB14+AC14</f>
        <v>0</v>
      </c>
      <c r="AF14" s="34"/>
      <c r="AG14" s="34"/>
      <c r="AH14" s="34"/>
      <c r="AN14" s="9">
        <f>AG14+AH14+AI14+AJ14+AK14+AL14+AM14</f>
        <v>0</v>
      </c>
      <c r="AT14" s="11">
        <f>100+169+1183</f>
        <v>1452</v>
      </c>
      <c r="AV14" s="64">
        <f>L14+U14+AD14</f>
        <v>24948</v>
      </c>
      <c r="AW14" s="73">
        <f>AT14+AV14+AU14</f>
        <v>26400</v>
      </c>
      <c r="AY14" s="74">
        <f>AZ14+BA14+BB14+BC14+BD14+BE14</f>
        <v>26400</v>
      </c>
      <c r="BA14" s="15">
        <v>26400</v>
      </c>
      <c r="BL14" s="18">
        <v>7</v>
      </c>
      <c r="BM14" s="90" t="s">
        <v>58</v>
      </c>
    </row>
    <row r="15" customHeight="1" spans="1:65">
      <c r="A15" s="1" t="s">
        <v>40</v>
      </c>
      <c r="B15" s="33">
        <v>10059579</v>
      </c>
      <c r="C15" s="34" t="s">
        <v>59</v>
      </c>
      <c r="D15" s="3" t="s">
        <v>60</v>
      </c>
      <c r="E15" s="3">
        <v>2180</v>
      </c>
      <c r="G15" s="3">
        <v>4890</v>
      </c>
      <c r="I15" s="3">
        <v>4452</v>
      </c>
      <c r="J15" s="3">
        <f>129+129</f>
        <v>258</v>
      </c>
      <c r="K15" s="4">
        <f>15800-12556</f>
        <v>3244</v>
      </c>
      <c r="L15" s="5">
        <f>E15+F15+H15+I15+J15+G15+K15</f>
        <v>15024</v>
      </c>
      <c r="U15" s="7">
        <f>N15+O15+P15+Q15+S15+R15+T15</f>
        <v>0</v>
      </c>
      <c r="AD15" s="9">
        <f>W15+X15+Y15+Z15+AA15+AB15+AC15</f>
        <v>0</v>
      </c>
      <c r="AF15" s="34"/>
      <c r="AG15" s="34"/>
      <c r="AH15" s="34"/>
      <c r="AN15" s="9">
        <f>AG15+AH15+AI15+AJ15+AK15+AL15+AM15</f>
        <v>0</v>
      </c>
      <c r="AT15" s="11">
        <f>100+676</f>
        <v>776</v>
      </c>
      <c r="AV15" s="64">
        <f>L15+U15+AD15</f>
        <v>15024</v>
      </c>
      <c r="AW15" s="73">
        <f>AT15+AV15+AU15</f>
        <v>15800</v>
      </c>
      <c r="AY15" s="74">
        <f>AZ15+BA15+BB15+BC15+BD15+BE15</f>
        <v>16300</v>
      </c>
      <c r="AZ15" s="14">
        <v>15800</v>
      </c>
      <c r="BC15" s="17">
        <v>490</v>
      </c>
      <c r="BD15" s="17">
        <v>10</v>
      </c>
      <c r="BL15" s="18">
        <v>4</v>
      </c>
      <c r="BM15" s="90" t="s">
        <v>61</v>
      </c>
    </row>
    <row r="16" customHeight="1" spans="1:65">
      <c r="A16" s="1" t="s">
        <v>40</v>
      </c>
      <c r="B16" s="33">
        <v>10059580</v>
      </c>
      <c r="C16" s="34" t="s">
        <v>62</v>
      </c>
      <c r="D16" s="34" t="s">
        <v>63</v>
      </c>
      <c r="E16" s="3">
        <v>2180</v>
      </c>
      <c r="G16" s="3">
        <v>4690</v>
      </c>
      <c r="I16" s="3">
        <v>1428</v>
      </c>
      <c r="J16" s="3">
        <v>129</v>
      </c>
      <c r="K16" s="4">
        <f>9900-8696</f>
        <v>1204</v>
      </c>
      <c r="L16" s="5">
        <f>E16+F16+H16+I16+J16+G16+K16</f>
        <v>9631</v>
      </c>
      <c r="U16" s="7">
        <f>N16+O16+P16+Q16+S16+R16+T16</f>
        <v>0</v>
      </c>
      <c r="AD16" s="9">
        <f>W16+X16+Y16+Z16+AA16+AB16+AC16</f>
        <v>0</v>
      </c>
      <c r="AF16" s="34"/>
      <c r="AG16" s="34"/>
      <c r="AH16" s="34"/>
      <c r="AN16" s="9">
        <f>AG16+AH16+AI16+AJ16+AK16+AL16+AM16</f>
        <v>0</v>
      </c>
      <c r="AT16" s="11">
        <f>100+169</f>
        <v>269</v>
      </c>
      <c r="AV16" s="64">
        <f>L16+U16+AD16</f>
        <v>9631</v>
      </c>
      <c r="AW16" s="73">
        <f>AT16+AV16+AU16</f>
        <v>9900</v>
      </c>
      <c r="AY16" s="74">
        <f>AZ16+BA16+BB16+BC16+BD16+BE16</f>
        <v>9900</v>
      </c>
      <c r="BA16" s="15">
        <v>9900</v>
      </c>
      <c r="BL16" s="18">
        <v>1</v>
      </c>
      <c r="BM16" s="90" t="s">
        <v>64</v>
      </c>
    </row>
    <row r="17" customHeight="1" spans="1:65">
      <c r="A17" s="1" t="s">
        <v>40</v>
      </c>
      <c r="B17" s="33">
        <v>10059581</v>
      </c>
      <c r="C17" s="34" t="s">
        <v>65</v>
      </c>
      <c r="D17" s="34" t="s">
        <v>66</v>
      </c>
      <c r="E17" s="3">
        <v>2180</v>
      </c>
      <c r="I17" s="3">
        <v>6902</v>
      </c>
      <c r="K17" s="4">
        <f>12800-10872</f>
        <v>1928</v>
      </c>
      <c r="L17" s="5">
        <f>E17+F17+H17+I17+J17+G17+K17</f>
        <v>11010</v>
      </c>
      <c r="U17" s="7">
        <f>N17+O17+P17+Q17+S17+R17+T17</f>
        <v>0</v>
      </c>
      <c r="AD17" s="9">
        <f>W17+X17+Y17+Z17+AA17+AB17+AC17</f>
        <v>0</v>
      </c>
      <c r="AF17" s="34"/>
      <c r="AG17" s="34"/>
      <c r="AH17" s="34"/>
      <c r="AN17" s="9">
        <f>AG17+AH17+AI17+AJ17+AK17+AL17+AM17</f>
        <v>0</v>
      </c>
      <c r="AT17" s="11">
        <f>100+507+1183</f>
        <v>1790</v>
      </c>
      <c r="AV17" s="64">
        <f>L17+U17+AD17</f>
        <v>11010</v>
      </c>
      <c r="AW17" s="73">
        <f>AT17+AV17+AU17</f>
        <v>12800</v>
      </c>
      <c r="AY17" s="74">
        <f>AZ17+BA17+BB17+BC17+BD17+BE17</f>
        <v>12800</v>
      </c>
      <c r="BA17" s="15">
        <v>12800</v>
      </c>
      <c r="BL17" s="18">
        <v>9</v>
      </c>
      <c r="BM17" s="90" t="s">
        <v>43</v>
      </c>
    </row>
    <row r="18" customHeight="1" spans="1:64">
      <c r="A18" s="1" t="s">
        <v>40</v>
      </c>
      <c r="B18" s="33">
        <v>10059582</v>
      </c>
      <c r="C18" s="34" t="s">
        <v>67</v>
      </c>
      <c r="L18" s="5">
        <f>E18+F18+H18+I18+J18+G18+K18</f>
        <v>0</v>
      </c>
      <c r="M18" s="3" t="s">
        <v>68</v>
      </c>
      <c r="N18" s="3">
        <v>2180</v>
      </c>
      <c r="Q18" s="3">
        <v>8320</v>
      </c>
      <c r="T18" s="6">
        <v>2053</v>
      </c>
      <c r="U18" s="7">
        <f>N18+O18+P18+Q18+S18+R18+T18</f>
        <v>12553</v>
      </c>
      <c r="AD18" s="9">
        <f>W18+X18+Y18+Z18+AA18+AB18+AC18</f>
        <v>0</v>
      </c>
      <c r="AF18" s="34"/>
      <c r="AG18" s="34"/>
      <c r="AH18" s="34"/>
      <c r="AN18" s="9">
        <f>AG18+AH18+AI18+AJ18+AK18+AL18+AM18</f>
        <v>0</v>
      </c>
      <c r="AT18" s="11">
        <f>100+507</f>
        <v>607</v>
      </c>
      <c r="AV18" s="64">
        <f>L18+U18+AD18</f>
        <v>12553</v>
      </c>
      <c r="AW18" s="73">
        <f>AT18+AV18+AU18</f>
        <v>13160</v>
      </c>
      <c r="AX18" s="75" t="s">
        <v>32</v>
      </c>
      <c r="AY18" s="74">
        <f>AZ18+BA18+BB18+BC18+BD18+BE18</f>
        <v>21085</v>
      </c>
      <c r="BE18" s="17">
        <f>85+3000+600+200+17000+200</f>
        <v>21085</v>
      </c>
      <c r="BG18" s="10">
        <v>13160</v>
      </c>
      <c r="BL18" s="18">
        <v>2</v>
      </c>
    </row>
    <row r="19" customHeight="1" spans="1:65">
      <c r="A19" s="1" t="s">
        <v>69</v>
      </c>
      <c r="B19" s="33">
        <v>10059583</v>
      </c>
      <c r="C19" s="34" t="s">
        <v>70</v>
      </c>
      <c r="L19" s="5">
        <f>E19+F19+H19+I19+J19+G19+K19</f>
        <v>0</v>
      </c>
      <c r="M19" s="3" t="s">
        <v>71</v>
      </c>
      <c r="N19" s="3">
        <v>1880</v>
      </c>
      <c r="P19" s="3">
        <v>12390</v>
      </c>
      <c r="S19" s="3">
        <v>69</v>
      </c>
      <c r="T19" s="6">
        <v>2074</v>
      </c>
      <c r="U19" s="7">
        <f>N19+O19+P19+Q19+S19+R19+T19</f>
        <v>16413</v>
      </c>
      <c r="AD19" s="9">
        <f>W19+X19+Y19+Z19+AA19+AB19+AC19</f>
        <v>0</v>
      </c>
      <c r="AF19" s="34"/>
      <c r="AG19" s="34"/>
      <c r="AH19" s="34"/>
      <c r="AN19" s="9">
        <f>AG19+AH19+AI19+AJ19+AK19+AL19+AM19</f>
        <v>0</v>
      </c>
      <c r="AT19" s="11">
        <f>100+318+169</f>
        <v>587</v>
      </c>
      <c r="AV19" s="64">
        <f>L19+U19+AD19</f>
        <v>16413</v>
      </c>
      <c r="AW19" s="73">
        <f>AT19+AV19+AU19</f>
        <v>17000</v>
      </c>
      <c r="AY19" s="74">
        <f>AZ19+BA19+BB19+BC19+BD19+BE19</f>
        <v>17000</v>
      </c>
      <c r="BA19" s="15">
        <v>17000</v>
      </c>
      <c r="BL19" s="18">
        <v>6</v>
      </c>
      <c r="BM19" s="90" t="s">
        <v>72</v>
      </c>
    </row>
    <row r="20" customHeight="1" spans="1:65">
      <c r="A20" s="1" t="s">
        <v>69</v>
      </c>
      <c r="B20" s="33">
        <v>10059584</v>
      </c>
      <c r="C20" s="3">
        <v>311</v>
      </c>
      <c r="D20" s="3" t="s">
        <v>73</v>
      </c>
      <c r="E20" s="3">
        <v>980</v>
      </c>
      <c r="I20" s="3">
        <v>2856</v>
      </c>
      <c r="K20" s="4">
        <v>486</v>
      </c>
      <c r="L20" s="5">
        <f>E20+F20+H20+I20+J20+G20+K20</f>
        <v>4322</v>
      </c>
      <c r="U20" s="7">
        <f>N20+O20+P20+Q20+S20+R20+T20</f>
        <v>0</v>
      </c>
      <c r="AD20" s="9">
        <f>W20+X20+Y20+Z20+AA20+AB20+AC20</f>
        <v>0</v>
      </c>
      <c r="AF20" s="34"/>
      <c r="AG20" s="34"/>
      <c r="AH20" s="34"/>
      <c r="AN20" s="9">
        <f>AG20+AH20+AI20+AJ20+AK20+AL20+AM20</f>
        <v>0</v>
      </c>
      <c r="AT20" s="11">
        <v>418</v>
      </c>
      <c r="AV20" s="64">
        <f>L20+U20+AD20</f>
        <v>4322</v>
      </c>
      <c r="AW20" s="73">
        <f>AT20+AV20+AU20</f>
        <v>4740</v>
      </c>
      <c r="AY20" s="74">
        <f>AZ20+BA20+BB20+BC20+BD20+BE20</f>
        <v>4740</v>
      </c>
      <c r="BA20" s="15">
        <v>4740</v>
      </c>
      <c r="BL20" s="18">
        <v>2</v>
      </c>
      <c r="BM20" s="90" t="s">
        <v>46</v>
      </c>
    </row>
    <row r="21" customHeight="1" spans="1:65">
      <c r="A21" s="1" t="s">
        <v>69</v>
      </c>
      <c r="B21" s="33">
        <v>10059585</v>
      </c>
      <c r="C21" s="34" t="s">
        <v>74</v>
      </c>
      <c r="D21" s="34" t="s">
        <v>75</v>
      </c>
      <c r="E21" s="3">
        <v>1880</v>
      </c>
      <c r="G21" s="3">
        <v>11800</v>
      </c>
      <c r="J21" s="3">
        <f>69+49+168</f>
        <v>286</v>
      </c>
      <c r="K21" s="4">
        <f>21600-15764</f>
        <v>5836</v>
      </c>
      <c r="L21" s="5">
        <f>E21+F21+H21+I21+J21+G21+K21</f>
        <v>19802</v>
      </c>
      <c r="U21" s="7">
        <f>N21+O21+P21+Q21+S21+R21+T21</f>
        <v>0</v>
      </c>
      <c r="AD21" s="9">
        <f>W21+X21+Y21+Z21+AA21+AB21+AC21</f>
        <v>0</v>
      </c>
      <c r="AF21" s="34"/>
      <c r="AG21" s="34"/>
      <c r="AH21" s="34"/>
      <c r="AN21" s="9">
        <f>AG21+AH21+AI21+AJ21+AK21+AL21+AM21</f>
        <v>0</v>
      </c>
      <c r="AT21" s="11">
        <f>100+1431+147+120</f>
        <v>1798</v>
      </c>
      <c r="AV21" s="64">
        <f>L21+U21+AD21</f>
        <v>19802</v>
      </c>
      <c r="AW21" s="73">
        <f>AT21+AV21+AU21</f>
        <v>21600</v>
      </c>
      <c r="AY21" s="74">
        <f>AZ21+BA21+BB21+BC21+BD21+BE21</f>
        <v>21600</v>
      </c>
      <c r="BA21" s="15">
        <v>21600</v>
      </c>
      <c r="BL21" s="18">
        <v>8</v>
      </c>
      <c r="BM21" s="90" t="s">
        <v>64</v>
      </c>
    </row>
    <row r="22" customHeight="1" spans="1:65">
      <c r="A22" s="1" t="s">
        <v>69</v>
      </c>
      <c r="B22" s="33">
        <v>10059586</v>
      </c>
      <c r="C22" s="3">
        <v>303</v>
      </c>
      <c r="D22" s="3" t="s">
        <v>76</v>
      </c>
      <c r="E22" s="3">
        <v>980</v>
      </c>
      <c r="I22" s="3">
        <v>2856</v>
      </c>
      <c r="K22" s="4">
        <f>4650-4095</f>
        <v>555</v>
      </c>
      <c r="L22" s="5">
        <f>E22+F22+H22+I22+J22+G22+K22</f>
        <v>4391</v>
      </c>
      <c r="U22" s="7">
        <f>N22+O22+P22+Q22+S22+R22+T22</f>
        <v>0</v>
      </c>
      <c r="AD22" s="9">
        <f>W22+X22+Y22+Z22+AA22+AB22+AC22</f>
        <v>0</v>
      </c>
      <c r="AF22" s="34"/>
      <c r="AG22" s="34"/>
      <c r="AH22" s="34"/>
      <c r="AN22" s="9">
        <f>AG22+AH22+AI22+AJ22+AK22+AL22+AM22</f>
        <v>0</v>
      </c>
      <c r="AT22" s="11">
        <f>100+159</f>
        <v>259</v>
      </c>
      <c r="AV22" s="64">
        <f>L22+U22+AD22</f>
        <v>4391</v>
      </c>
      <c r="AW22" s="73">
        <f>AT22+AV22+AU22</f>
        <v>4650</v>
      </c>
      <c r="AY22" s="74">
        <f>AZ22+BA22+BB22+BC22+BD22+BE22</f>
        <v>4650</v>
      </c>
      <c r="BA22" s="15">
        <v>4650</v>
      </c>
      <c r="BL22" s="18">
        <v>1</v>
      </c>
      <c r="BM22" s="90" t="s">
        <v>64</v>
      </c>
    </row>
    <row r="23" customHeight="1" spans="1:65">
      <c r="A23" s="1" t="s">
        <v>69</v>
      </c>
      <c r="B23" s="33">
        <v>10059587</v>
      </c>
      <c r="C23" s="34" t="s">
        <v>62</v>
      </c>
      <c r="L23" s="5">
        <f>E23+F23+H23+I23+J23+G23+K23</f>
        <v>0</v>
      </c>
      <c r="M23" s="3" t="s">
        <v>57</v>
      </c>
      <c r="N23" s="3">
        <v>2180</v>
      </c>
      <c r="P23" s="3">
        <v>9190</v>
      </c>
      <c r="S23" s="3">
        <v>138</v>
      </c>
      <c r="T23" s="6">
        <v>2107</v>
      </c>
      <c r="U23" s="7">
        <f>N23+O23+P23+Q23+S23+R23+T23</f>
        <v>13615</v>
      </c>
      <c r="AD23" s="9">
        <f>W23+X23+Y23+Z23+AA23+AB23+AC23</f>
        <v>0</v>
      </c>
      <c r="AF23" s="34"/>
      <c r="AG23" s="34"/>
      <c r="AH23" s="34"/>
      <c r="AN23" s="9">
        <f>AG23+AH23+AI23+AJ23+AK23+AL23+AM23</f>
        <v>0</v>
      </c>
      <c r="AT23" s="11">
        <f>100+49+636</f>
        <v>785</v>
      </c>
      <c r="AV23" s="64">
        <f>L23+U23+AD23</f>
        <v>13615</v>
      </c>
      <c r="AW23" s="73">
        <f>AT23+AV23+AU23</f>
        <v>14400</v>
      </c>
      <c r="AY23" s="74">
        <f>AZ23+BA23+BB23+BC23+BD23+BE23</f>
        <v>14400</v>
      </c>
      <c r="BA23" s="15">
        <v>14400</v>
      </c>
      <c r="BL23" s="18">
        <v>4</v>
      </c>
      <c r="BM23" s="90" t="s">
        <v>58</v>
      </c>
    </row>
    <row r="24" customHeight="1" spans="1:64">
      <c r="A24" s="1" t="s">
        <v>69</v>
      </c>
      <c r="B24" s="33">
        <v>10059588</v>
      </c>
      <c r="C24" s="3" t="s">
        <v>44</v>
      </c>
      <c r="D24" s="34" t="s">
        <v>77</v>
      </c>
      <c r="E24" s="3">
        <v>1880</v>
      </c>
      <c r="G24" s="3">
        <v>8690</v>
      </c>
      <c r="I24" s="3">
        <v>3816</v>
      </c>
      <c r="J24" s="3">
        <f>129+168+129+169</f>
        <v>595</v>
      </c>
      <c r="K24" s="4">
        <f>19505-16671</f>
        <v>2834</v>
      </c>
      <c r="L24" s="5">
        <f>E24+F24+H24+I24+J24+G24+K24</f>
        <v>17815</v>
      </c>
      <c r="U24" s="7">
        <f>N24+O24+P24+Q24+S24+R24+T24</f>
        <v>0</v>
      </c>
      <c r="AD24" s="9">
        <f>W24+X24+Y24+Z24+AA24+AB24+AC24</f>
        <v>0</v>
      </c>
      <c r="AF24" s="34"/>
      <c r="AG24" s="34"/>
      <c r="AH24" s="34"/>
      <c r="AN24" s="9">
        <f>AG24+AH24+AI24+AJ24+AK24+AL24+AM24</f>
        <v>0</v>
      </c>
      <c r="AT24" s="11">
        <f>100+1590</f>
        <v>1690</v>
      </c>
      <c r="AV24" s="64">
        <f>L24+U24+AD24</f>
        <v>17815</v>
      </c>
      <c r="AW24" s="73">
        <f>AT24+AV24+AU24</f>
        <v>19505</v>
      </c>
      <c r="AY24" s="74">
        <f>AZ24+BA24+BB24+BC24+BD24+BE24</f>
        <v>19675</v>
      </c>
      <c r="BA24" s="15">
        <v>19505</v>
      </c>
      <c r="BC24" s="17">
        <v>170</v>
      </c>
      <c r="BL24" s="18">
        <v>10</v>
      </c>
    </row>
    <row r="25" customHeight="1" spans="1:65">
      <c r="A25" s="1" t="s">
        <v>69</v>
      </c>
      <c r="B25" s="33">
        <v>10059589</v>
      </c>
      <c r="C25" s="34" t="s">
        <v>78</v>
      </c>
      <c r="D25" s="3" t="s">
        <v>79</v>
      </c>
      <c r="E25" s="3">
        <v>2580</v>
      </c>
      <c r="G25" s="3">
        <v>4890</v>
      </c>
      <c r="I25" s="3">
        <v>7632</v>
      </c>
      <c r="K25" s="4">
        <f>21200-16933</f>
        <v>4267</v>
      </c>
      <c r="L25" s="5">
        <f>E25+F25+H25+I25+J25+G25+K25</f>
        <v>19369</v>
      </c>
      <c r="U25" s="7">
        <f>N25+O25+P25+Q25+S25+R25+T25</f>
        <v>0</v>
      </c>
      <c r="AD25" s="9">
        <f>W25+X25+Y25+Z25+AA25+AB25+AC25</f>
        <v>0</v>
      </c>
      <c r="AF25" s="34"/>
      <c r="AG25" s="34"/>
      <c r="AH25" s="34"/>
      <c r="AN25" s="9">
        <f>AG25+AH25+AI25+AJ25+AK25+AL25+AM25</f>
        <v>0</v>
      </c>
      <c r="AT25" s="11">
        <f>100+507+1014+100+110</f>
        <v>1831</v>
      </c>
      <c r="AV25" s="64">
        <f>L25+U25+AD25</f>
        <v>19369</v>
      </c>
      <c r="AW25" s="73">
        <f>AT25+AV25+AU25</f>
        <v>21200</v>
      </c>
      <c r="AY25" s="74">
        <f>AZ25+BA25+BB25+BC25+BD25+BE25</f>
        <v>21500</v>
      </c>
      <c r="BA25" s="15">
        <v>21200</v>
      </c>
      <c r="BC25" s="17">
        <v>290</v>
      </c>
      <c r="BD25" s="17">
        <v>10</v>
      </c>
      <c r="BL25" s="18">
        <v>8</v>
      </c>
      <c r="BM25" s="90" t="s">
        <v>72</v>
      </c>
    </row>
    <row r="26" customHeight="1" spans="1:64">
      <c r="A26" s="1" t="s">
        <v>69</v>
      </c>
      <c r="B26" s="33">
        <v>10059590</v>
      </c>
      <c r="C26" s="3">
        <v>312</v>
      </c>
      <c r="D26" s="34" t="s">
        <v>80</v>
      </c>
      <c r="E26" s="3">
        <v>980</v>
      </c>
      <c r="I26" s="3">
        <f>3816+1908</f>
        <v>5724</v>
      </c>
      <c r="J26" s="3">
        <f>258</f>
        <v>258</v>
      </c>
      <c r="K26" s="4">
        <f>9500-7857</f>
        <v>1643</v>
      </c>
      <c r="L26" s="5">
        <f>E26+F26+H26+I26+J26+G26+K26</f>
        <v>8605</v>
      </c>
      <c r="U26" s="7">
        <f>N26+O26+P26+Q26+S26+R26+T26</f>
        <v>0</v>
      </c>
      <c r="AD26" s="9">
        <f>W26+X26+Y26+Z26+AA26+AB26+AC26</f>
        <v>0</v>
      </c>
      <c r="AF26" s="34"/>
      <c r="AG26" s="34"/>
      <c r="AH26" s="34"/>
      <c r="AN26" s="9">
        <f>AG26+AH26+AI26+AJ26+AK26+AL26+AM26</f>
        <v>0</v>
      </c>
      <c r="AT26" s="11">
        <f>100+795</f>
        <v>895</v>
      </c>
      <c r="AV26" s="64">
        <f>L26+U26+AD26</f>
        <v>8605</v>
      </c>
      <c r="AW26" s="73">
        <f>AT26+AV26+AU26</f>
        <v>9500</v>
      </c>
      <c r="AY26" s="74">
        <f>AZ26+BA26+BB26+BC26+BD26+BE26</f>
        <v>9600</v>
      </c>
      <c r="AZ26" s="14">
        <v>9500</v>
      </c>
      <c r="BC26" s="17">
        <v>100</v>
      </c>
      <c r="BL26" s="18">
        <v>5</v>
      </c>
    </row>
    <row r="27" customHeight="1" spans="1:65">
      <c r="A27" s="1" t="s">
        <v>69</v>
      </c>
      <c r="B27" s="33">
        <v>10059591</v>
      </c>
      <c r="C27" s="3">
        <v>315</v>
      </c>
      <c r="D27" s="3" t="s">
        <v>81</v>
      </c>
      <c r="E27" s="3">
        <v>980</v>
      </c>
      <c r="G27" s="3">
        <v>6580</v>
      </c>
      <c r="K27" s="4">
        <f>10000-8027</f>
        <v>1973</v>
      </c>
      <c r="L27" s="5">
        <f>E27+F27+H27+I27+J27+G27+K27</f>
        <v>9533</v>
      </c>
      <c r="U27" s="7">
        <f>N27+O27+P27+Q27+S27+R27+T27</f>
        <v>0</v>
      </c>
      <c r="AD27" s="9">
        <f>W27+X27+Y27+Z27+AA27+AB27+AC27</f>
        <v>0</v>
      </c>
      <c r="AF27" s="34"/>
      <c r="AG27" s="34"/>
      <c r="AH27" s="34"/>
      <c r="AN27" s="9">
        <f>AG27+AH27+AI27+AJ27+AK27+AL27+AM27</f>
        <v>0</v>
      </c>
      <c r="AT27" s="11">
        <f>100+318+49</f>
        <v>467</v>
      </c>
      <c r="AV27" s="64">
        <f>L27+U27+AD27</f>
        <v>9533</v>
      </c>
      <c r="AW27" s="73">
        <f>AT27+AV27+AU27</f>
        <v>10000</v>
      </c>
      <c r="AY27" s="74">
        <f>AZ27+BA27+BB27+BC27+BD27+BE27</f>
        <v>10100</v>
      </c>
      <c r="BA27" s="15">
        <v>10000</v>
      </c>
      <c r="BC27" s="17">
        <v>100</v>
      </c>
      <c r="BL27" s="18">
        <v>2</v>
      </c>
      <c r="BM27" s="90" t="s">
        <v>64</v>
      </c>
    </row>
    <row r="28" customHeight="1" spans="1:65">
      <c r="A28" s="1" t="s">
        <v>69</v>
      </c>
      <c r="B28" s="33">
        <v>10059592</v>
      </c>
      <c r="C28" s="3">
        <v>307</v>
      </c>
      <c r="D28" s="3" t="s">
        <v>82</v>
      </c>
      <c r="E28" s="3">
        <v>980</v>
      </c>
      <c r="I28" s="3">
        <v>2856</v>
      </c>
      <c r="K28" s="4">
        <f>5300-4612</f>
        <v>688</v>
      </c>
      <c r="L28" s="5">
        <f>E28+F28+H28+I28+J28+G28+K28</f>
        <v>4524</v>
      </c>
      <c r="U28" s="7">
        <f>N28+O28+P28+Q28+S28+R28+T28</f>
        <v>0</v>
      </c>
      <c r="AD28" s="9">
        <f>W28+X28+Y28+Z28+AA28+AB28+AC28</f>
        <v>0</v>
      </c>
      <c r="AF28" s="34"/>
      <c r="AG28" s="34"/>
      <c r="AH28" s="34"/>
      <c r="AN28" s="9">
        <f>AG28+AH28+AI28+AJ28+AK28+AL28+AM28</f>
        <v>0</v>
      </c>
      <c r="AT28" s="11">
        <f>100+636+40</f>
        <v>776</v>
      </c>
      <c r="AV28" s="64">
        <f>L28+U28+AD28</f>
        <v>4524</v>
      </c>
      <c r="AW28" s="73">
        <f>AT28+AV28+AU28</f>
        <v>5300</v>
      </c>
      <c r="AY28" s="74">
        <f>AZ28+BA28+BB28+BC28+BD28+BE28</f>
        <v>5600</v>
      </c>
      <c r="BA28" s="15">
        <v>5300</v>
      </c>
      <c r="BC28" s="17">
        <v>290</v>
      </c>
      <c r="BD28" s="17">
        <v>10</v>
      </c>
      <c r="BL28" s="18">
        <v>4</v>
      </c>
      <c r="BM28" s="90" t="s">
        <v>83</v>
      </c>
    </row>
    <row r="29" customHeight="1" spans="1:64">
      <c r="A29" s="1" t="s">
        <v>69</v>
      </c>
      <c r="B29" s="33">
        <v>10059593</v>
      </c>
      <c r="C29" s="34" t="s">
        <v>62</v>
      </c>
      <c r="D29" s="3" t="s">
        <v>76</v>
      </c>
      <c r="E29" s="3">
        <v>2180</v>
      </c>
      <c r="G29" s="3">
        <v>5160</v>
      </c>
      <c r="H29" s="3">
        <v>6240</v>
      </c>
      <c r="K29" s="4">
        <f>17200-14356</f>
        <v>2844</v>
      </c>
      <c r="L29" s="5">
        <f>E29+F29+H29+I29+J29+G29+K29</f>
        <v>16424</v>
      </c>
      <c r="U29" s="7">
        <f>N29+O29+P29+Q29+S29+R29+T29</f>
        <v>0</v>
      </c>
      <c r="AD29" s="9">
        <f>W29+X29+Y29+Z29+AA29+AB29+AC29</f>
        <v>0</v>
      </c>
      <c r="AF29" s="34"/>
      <c r="AG29" s="34"/>
      <c r="AH29" s="34"/>
      <c r="AN29" s="9">
        <f>AG29+AH29+AI29+AJ29+AK29+AL29+AM29</f>
        <v>0</v>
      </c>
      <c r="AT29" s="11">
        <f>100+676</f>
        <v>776</v>
      </c>
      <c r="AV29" s="64">
        <f>L29+U29+AD29</f>
        <v>16424</v>
      </c>
      <c r="AW29" s="73">
        <f>AT29+AV29+AU29</f>
        <v>17200</v>
      </c>
      <c r="AY29" s="74">
        <f>AZ29+BA29+BB29+BC29+BD29+BE29</f>
        <v>17200</v>
      </c>
      <c r="AZ29" s="14">
        <v>17200</v>
      </c>
      <c r="BL29" s="18">
        <v>3</v>
      </c>
    </row>
    <row r="30" customHeight="1" spans="1:65">
      <c r="A30" s="1" t="s">
        <v>69</v>
      </c>
      <c r="B30" s="33">
        <v>10059594</v>
      </c>
      <c r="C30" s="34" t="s">
        <v>84</v>
      </c>
      <c r="D30" s="3" t="s">
        <v>85</v>
      </c>
      <c r="E30" s="3">
        <v>2580</v>
      </c>
      <c r="G30" s="3">
        <v>4890</v>
      </c>
      <c r="I30" s="3">
        <v>7632</v>
      </c>
      <c r="J30" s="3">
        <f>69+552</f>
        <v>621</v>
      </c>
      <c r="K30" s="4">
        <f>19200-16330</f>
        <v>2870</v>
      </c>
      <c r="L30" s="5">
        <f>E30+F30+H30+I30+J30+G30+K30</f>
        <v>18593</v>
      </c>
      <c r="U30" s="7">
        <f>N30+O30+P30+Q30+S30+R30+T30</f>
        <v>0</v>
      </c>
      <c r="AD30" s="9">
        <f>W30+X30+Y30+Z30+AA30+AB30+AC30</f>
        <v>0</v>
      </c>
      <c r="AF30" s="34"/>
      <c r="AG30" s="34"/>
      <c r="AH30" s="34"/>
      <c r="AN30" s="9">
        <f>AG30+AH30+AI30+AJ30+AK30+AL30+AM30</f>
        <v>0</v>
      </c>
      <c r="AT30" s="11">
        <f>100+507</f>
        <v>607</v>
      </c>
      <c r="AV30" s="64">
        <f>L30+U30+AD30</f>
        <v>18593</v>
      </c>
      <c r="AW30" s="73">
        <f>AT30+AV30+AU30</f>
        <v>19200</v>
      </c>
      <c r="AY30" s="74">
        <f>AZ30+BA30+BB30+BC30+BD30+BE30</f>
        <v>19200</v>
      </c>
      <c r="BA30" s="15">
        <v>19200</v>
      </c>
      <c r="BL30" s="18">
        <v>7</v>
      </c>
      <c r="BM30" s="90" t="s">
        <v>72</v>
      </c>
    </row>
    <row r="31" customHeight="1" spans="1:65">
      <c r="A31" s="1" t="s">
        <v>69</v>
      </c>
      <c r="B31" s="33">
        <v>10059595</v>
      </c>
      <c r="C31" s="3">
        <v>310</v>
      </c>
      <c r="D31" s="3" t="s">
        <v>85</v>
      </c>
      <c r="E31" s="3">
        <v>980</v>
      </c>
      <c r="I31" s="3">
        <v>3816</v>
      </c>
      <c r="K31" s="4">
        <f>6280-5373</f>
        <v>907</v>
      </c>
      <c r="L31" s="5">
        <f>E31+F31+H31+I31+J31+G31+K31</f>
        <v>5703</v>
      </c>
      <c r="U31" s="7">
        <f>N31+O31+P31+Q31+S31+R31+T31</f>
        <v>0</v>
      </c>
      <c r="AD31" s="9">
        <f>W31+X31+Y31+Z31+AA31+AB31+AC31</f>
        <v>0</v>
      </c>
      <c r="AF31" s="34"/>
      <c r="AG31" s="34"/>
      <c r="AH31" s="34"/>
      <c r="AN31" s="9">
        <f>AG31+AH31+AI31+AJ31+AK31+AL31+AM31</f>
        <v>0</v>
      </c>
      <c r="AT31" s="11">
        <f>100+477</f>
        <v>577</v>
      </c>
      <c r="AV31" s="64">
        <f>L31+U31+AD31</f>
        <v>5703</v>
      </c>
      <c r="AW31" s="73">
        <f>AT31+AV31+AU31</f>
        <v>6280</v>
      </c>
      <c r="AY31" s="74">
        <f>AZ31+BA31+BB31+BC31+BD31+BE31</f>
        <v>6280</v>
      </c>
      <c r="AZ31" s="14">
        <v>6280</v>
      </c>
      <c r="BL31" s="18">
        <v>3</v>
      </c>
      <c r="BM31" s="90" t="s">
        <v>72</v>
      </c>
    </row>
    <row r="32" customHeight="1" spans="1:65">
      <c r="A32" s="1" t="s">
        <v>69</v>
      </c>
      <c r="B32" s="33">
        <v>10059596</v>
      </c>
      <c r="C32" s="34" t="s">
        <v>84</v>
      </c>
      <c r="D32" s="34" t="s">
        <v>86</v>
      </c>
      <c r="E32" s="3">
        <v>2580</v>
      </c>
      <c r="G32" s="3">
        <f>8890-4690</f>
        <v>4200</v>
      </c>
      <c r="I32" s="3">
        <v>3816</v>
      </c>
      <c r="J32" s="3">
        <f>199+168</f>
        <v>367</v>
      </c>
      <c r="K32" s="4">
        <f>14100-11063</f>
        <v>3037</v>
      </c>
      <c r="L32" s="5">
        <f>E32+F32+H32+I32+J32+G32+K32</f>
        <v>14000</v>
      </c>
      <c r="U32" s="7">
        <f>N32+O32+P32+Q32+S32+R32+T32</f>
        <v>0</v>
      </c>
      <c r="AD32" s="9">
        <f>W32+X32+Y32+Z32+AA32+AB32+AC32</f>
        <v>0</v>
      </c>
      <c r="AF32" s="34"/>
      <c r="AG32" s="34"/>
      <c r="AH32" s="34"/>
      <c r="AN32" s="9">
        <f>AG32+AH32+AI32+AJ32+AK32+AL32+AM32</f>
        <v>0</v>
      </c>
      <c r="AT32" s="11">
        <v>100</v>
      </c>
      <c r="AV32" s="64">
        <f>L32+U32+AD32</f>
        <v>14000</v>
      </c>
      <c r="AW32" s="73">
        <f>AT32+AV32+AU32</f>
        <v>14100</v>
      </c>
      <c r="AX32" s="75" t="s">
        <v>87</v>
      </c>
      <c r="AY32" s="74">
        <f>AZ32+BA32+BB32+BC32+BD32+BE32</f>
        <v>14100</v>
      </c>
      <c r="BB32" s="16">
        <v>14100</v>
      </c>
      <c r="BL32" s="18">
        <v>8</v>
      </c>
      <c r="BM32" s="90" t="s">
        <v>46</v>
      </c>
    </row>
    <row r="33" customHeight="1" spans="1:65">
      <c r="A33" s="1" t="s">
        <v>69</v>
      </c>
      <c r="B33" s="33">
        <v>10059597</v>
      </c>
      <c r="C33" s="3">
        <v>302</v>
      </c>
      <c r="D33" s="3" t="s">
        <v>88</v>
      </c>
      <c r="E33" s="3">
        <v>980</v>
      </c>
      <c r="I33" s="3">
        <v>1428</v>
      </c>
      <c r="K33" s="4">
        <f>3350-2826</f>
        <v>524</v>
      </c>
      <c r="L33" s="5">
        <f>E33+F33+H33+I33+J33+G33+K33</f>
        <v>2932</v>
      </c>
      <c r="U33" s="7">
        <f>N33+O33+P33+Q33+S33+R33+T33</f>
        <v>0</v>
      </c>
      <c r="AD33" s="9">
        <f>W33+X33+Y33+Z33+AA33+AB33+AC33</f>
        <v>0</v>
      </c>
      <c r="AF33" s="34"/>
      <c r="AG33" s="34"/>
      <c r="AH33" s="34"/>
      <c r="AN33" s="9">
        <f>AG33+AH33+AI33+AJ33+AK33+AL33+AM33</f>
        <v>0</v>
      </c>
      <c r="AT33" s="11">
        <f>100+318</f>
        <v>418</v>
      </c>
      <c r="AV33" s="64">
        <f>L33+U33+AD33</f>
        <v>2932</v>
      </c>
      <c r="AW33" s="73">
        <f>AT33+AV33+AU33</f>
        <v>3350</v>
      </c>
      <c r="AY33" s="74">
        <f>AZ33+BA33+BB33+BC33+BD33+BE33</f>
        <v>3350</v>
      </c>
      <c r="AZ33" s="14">
        <v>3350</v>
      </c>
      <c r="BL33" s="18">
        <v>2</v>
      </c>
      <c r="BM33" s="90" t="s">
        <v>52</v>
      </c>
    </row>
    <row r="34" customHeight="1" spans="1:65">
      <c r="A34" s="1" t="s">
        <v>69</v>
      </c>
      <c r="B34" s="33">
        <v>10059598</v>
      </c>
      <c r="C34" s="34" t="s">
        <v>59</v>
      </c>
      <c r="D34" s="3" t="s">
        <v>51</v>
      </c>
      <c r="E34" s="3">
        <v>2180</v>
      </c>
      <c r="G34" s="3">
        <v>18380</v>
      </c>
      <c r="K34" s="4">
        <f>25900-22343</f>
        <v>3557</v>
      </c>
      <c r="L34" s="5">
        <f>E34+F34+H34+I34+J34+G34+K34</f>
        <v>24117</v>
      </c>
      <c r="U34" s="7">
        <f>N34+O34+P34+Q34+S34+R34+T34</f>
        <v>0</v>
      </c>
      <c r="AD34" s="9">
        <f>W34+X34+Y34+Z34+AA34+AB34+AC34</f>
        <v>0</v>
      </c>
      <c r="AF34" s="34"/>
      <c r="AG34" s="34"/>
      <c r="AH34" s="34"/>
      <c r="AN34" s="9">
        <f>AG34+AH34+AI34+AJ34+AK34+AL34+AM34</f>
        <v>0</v>
      </c>
      <c r="AT34" s="11">
        <f>100+100+1183+100+300</f>
        <v>1783</v>
      </c>
      <c r="AV34" s="64">
        <f>L34+U34+AD34</f>
        <v>24117</v>
      </c>
      <c r="AW34" s="73">
        <f>AT34+AV34+AU34</f>
        <v>25900</v>
      </c>
      <c r="AY34" s="74">
        <f>AZ34+BA34+BB34+BC34+BD34+BE34</f>
        <v>26000</v>
      </c>
      <c r="BA34" s="15">
        <v>25900</v>
      </c>
      <c r="BC34" s="17">
        <v>100</v>
      </c>
      <c r="BL34" s="18">
        <v>7</v>
      </c>
      <c r="BM34" s="90" t="s">
        <v>46</v>
      </c>
    </row>
    <row r="35" customHeight="1" spans="1:65">
      <c r="A35" s="1" t="s">
        <v>69</v>
      </c>
      <c r="B35" s="33">
        <v>10059599</v>
      </c>
      <c r="C35" s="34" t="s">
        <v>89</v>
      </c>
      <c r="D35" s="34" t="s">
        <v>90</v>
      </c>
      <c r="E35" s="3">
        <v>2180</v>
      </c>
      <c r="I35" s="3">
        <v>13356</v>
      </c>
      <c r="J35" s="3">
        <f>129+129+199+129</f>
        <v>586</v>
      </c>
      <c r="K35" s="4">
        <f>20600-17574</f>
        <v>3026</v>
      </c>
      <c r="L35" s="5">
        <f>E35+F35+H35+I35+J35+G35+K35</f>
        <v>19148</v>
      </c>
      <c r="U35" s="7">
        <f>N35+O35+P35+Q35+S35+R35+T35</f>
        <v>0</v>
      </c>
      <c r="AD35" s="9">
        <f>W35+X35+Y35+Z35+AA35+AB35+AC35</f>
        <v>0</v>
      </c>
      <c r="AF35" s="34"/>
      <c r="AG35" s="34"/>
      <c r="AH35" s="34"/>
      <c r="AN35" s="9">
        <f>AG35+AH35+AI35+AJ35+AK35+AL35+AM35</f>
        <v>0</v>
      </c>
      <c r="AT35" s="11">
        <f>100+1352</f>
        <v>1452</v>
      </c>
      <c r="AV35" s="64">
        <f>L35+U35+AD35</f>
        <v>19148</v>
      </c>
      <c r="AW35" s="73">
        <f>AT35+AV35+AU35</f>
        <v>20600</v>
      </c>
      <c r="AY35" s="74">
        <f>AZ35+BA35+BB35+BC35+BD35+BE35</f>
        <v>20600</v>
      </c>
      <c r="BA35" s="15">
        <v>20600</v>
      </c>
      <c r="BL35" s="18">
        <v>10</v>
      </c>
      <c r="BM35" s="90" t="s">
        <v>46</v>
      </c>
    </row>
    <row r="36" customHeight="1" spans="1:65">
      <c r="A36" s="1" t="s">
        <v>69</v>
      </c>
      <c r="B36" s="33">
        <v>10059600</v>
      </c>
      <c r="C36" s="34" t="s">
        <v>56</v>
      </c>
      <c r="D36" s="34" t="s">
        <v>91</v>
      </c>
      <c r="E36" s="3">
        <v>3180</v>
      </c>
      <c r="G36" s="3">
        <v>18380</v>
      </c>
      <c r="I36" s="3">
        <v>952</v>
      </c>
      <c r="K36" s="4">
        <f>27600-23756</f>
        <v>3844</v>
      </c>
      <c r="L36" s="5">
        <f>E36+F36+H36+I36+J36+G36+K36</f>
        <v>26356</v>
      </c>
      <c r="U36" s="7">
        <f>N36+O36+P36+Q36+S36+R36+T36</f>
        <v>0</v>
      </c>
      <c r="AD36" s="9">
        <f>W36+X36+Y36+Z36+AA36+AB36+AC36</f>
        <v>0</v>
      </c>
      <c r="AF36" s="34"/>
      <c r="AG36" s="34"/>
      <c r="AH36" s="34"/>
      <c r="AN36" s="9">
        <f>AG36+AH36+AI36+AJ36+AK36+AL36+AM36</f>
        <v>0</v>
      </c>
      <c r="AT36" s="11">
        <f>100+130+1014</f>
        <v>1244</v>
      </c>
      <c r="AV36" s="64">
        <f>L36+U36+AD36</f>
        <v>26356</v>
      </c>
      <c r="AW36" s="73">
        <f>AT36+AV36+AU36</f>
        <v>27600</v>
      </c>
      <c r="AY36" s="74">
        <f>AZ36+BA36+BB36+BC36+BD36+BE36</f>
        <v>28000</v>
      </c>
      <c r="BA36" s="15">
        <v>27600</v>
      </c>
      <c r="BC36" s="17">
        <v>390</v>
      </c>
      <c r="BD36" s="17">
        <v>10</v>
      </c>
      <c r="BL36" s="18">
        <v>8</v>
      </c>
      <c r="BM36" s="90" t="s">
        <v>92</v>
      </c>
    </row>
    <row r="37" customHeight="1" spans="1:64">
      <c r="A37" s="1" t="s">
        <v>69</v>
      </c>
      <c r="B37" s="33">
        <v>10059601</v>
      </c>
      <c r="C37" s="34" t="s">
        <v>93</v>
      </c>
      <c r="D37" s="34" t="s">
        <v>66</v>
      </c>
      <c r="E37" s="3">
        <v>1680</v>
      </c>
      <c r="G37" s="3">
        <v>4690</v>
      </c>
      <c r="I37" s="3">
        <v>596</v>
      </c>
      <c r="K37" s="4">
        <f>9400-7602</f>
        <v>1798</v>
      </c>
      <c r="L37" s="5">
        <f>E37+F37+H37+I37+J37+G37+K37</f>
        <v>8764</v>
      </c>
      <c r="U37" s="7">
        <f>N37+O37+P37+Q37+S37+R37+T37</f>
        <v>0</v>
      </c>
      <c r="AD37" s="9">
        <f>W37+X37+Y37+Z37+AA37+AB37+AC37</f>
        <v>0</v>
      </c>
      <c r="AF37" s="34"/>
      <c r="AG37" s="34"/>
      <c r="AH37" s="34"/>
      <c r="AN37" s="9">
        <f>AG37+AH37+AI37+AJ37+AK37+AL37+AM37</f>
        <v>0</v>
      </c>
      <c r="AT37" s="11">
        <f>100+507+29</f>
        <v>636</v>
      </c>
      <c r="AV37" s="64">
        <f>L37+U37+AD37</f>
        <v>8764</v>
      </c>
      <c r="AW37" s="73">
        <f>AT37+AV37+AU37</f>
        <v>9400</v>
      </c>
      <c r="AY37" s="74">
        <f>AZ37+BA37+BB37+BC37+BD37+BE37</f>
        <v>9600</v>
      </c>
      <c r="BA37" s="15">
        <v>9400</v>
      </c>
      <c r="BC37" s="17">
        <v>200</v>
      </c>
      <c r="BL37" s="18">
        <v>3</v>
      </c>
    </row>
    <row r="38" customHeight="1" spans="1:64">
      <c r="A38" s="1" t="s">
        <v>69</v>
      </c>
      <c r="B38" s="33">
        <v>10059602</v>
      </c>
      <c r="C38" s="34" t="s">
        <v>94</v>
      </c>
      <c r="D38" s="3" t="s">
        <v>95</v>
      </c>
      <c r="E38" s="3">
        <v>1680</v>
      </c>
      <c r="G38" s="3">
        <v>9780</v>
      </c>
      <c r="K38" s="4">
        <f>14300-12116</f>
        <v>2184</v>
      </c>
      <c r="L38" s="5">
        <f>E38+F38+H38+I38+J38+G38+K38</f>
        <v>13644</v>
      </c>
      <c r="U38" s="7">
        <f>N38+O38+P38+Q38+S38+R38+T38</f>
        <v>0</v>
      </c>
      <c r="AD38" s="9">
        <f>W38+X38+Y38+Z38+AA38+AB38+AC38</f>
        <v>0</v>
      </c>
      <c r="AF38" s="34"/>
      <c r="AG38" s="34"/>
      <c r="AH38" s="34"/>
      <c r="AN38" s="9">
        <f>AG38+AH38+AI38+AJ38+AK38+AL38+AM38</f>
        <v>0</v>
      </c>
      <c r="AT38" s="11">
        <f>100+507+49</f>
        <v>656</v>
      </c>
      <c r="AV38" s="64">
        <f>L38+U38+AD38</f>
        <v>13644</v>
      </c>
      <c r="AW38" s="73">
        <f>AT38+AV38+AU38</f>
        <v>14300</v>
      </c>
      <c r="AY38" s="74">
        <f>AZ38+BA38+BB38+BC38+BD38+BE38</f>
        <v>14300</v>
      </c>
      <c r="BA38" s="15">
        <v>14300</v>
      </c>
      <c r="BL38" s="18">
        <v>4</v>
      </c>
    </row>
    <row r="39" customHeight="1" spans="1:64">
      <c r="A39" s="1" t="s">
        <v>69</v>
      </c>
      <c r="B39" s="33">
        <v>10059603</v>
      </c>
      <c r="C39" s="34" t="s">
        <v>65</v>
      </c>
      <c r="L39" s="5">
        <f>E39+F39+H39+I39+J39+G39+K39</f>
        <v>0</v>
      </c>
      <c r="M39" s="3" t="s">
        <v>96</v>
      </c>
      <c r="N39" s="3">
        <v>2180</v>
      </c>
      <c r="Q39" s="3">
        <v>2080</v>
      </c>
      <c r="R39" s="3">
        <v>9540</v>
      </c>
      <c r="T39" s="6">
        <v>2977</v>
      </c>
      <c r="U39" s="7">
        <f>N39+O39+P39+Q39+S39+R39+T39</f>
        <v>16777</v>
      </c>
      <c r="AD39" s="9">
        <f>W39+X39+Y39+Z39+AA39+AB39+AC39</f>
        <v>0</v>
      </c>
      <c r="AF39" s="34"/>
      <c r="AG39" s="34"/>
      <c r="AH39" s="34"/>
      <c r="AN39" s="9">
        <f>AG39+AH39+AI39+AJ39+AK39+AL39+AM39</f>
        <v>0</v>
      </c>
      <c r="AT39" s="11">
        <f>100+1183+30+10+100</f>
        <v>1423</v>
      </c>
      <c r="AV39" s="64">
        <f>L39+U39+AD39</f>
        <v>16777</v>
      </c>
      <c r="AW39" s="73">
        <f>AT39+AV39+AU39</f>
        <v>18200</v>
      </c>
      <c r="AY39" s="74">
        <f>AZ39+BA39+BB39+BC39+BD39+BE39</f>
        <v>18200</v>
      </c>
      <c r="BA39" s="15">
        <v>18200</v>
      </c>
      <c r="BL39" s="18">
        <v>7</v>
      </c>
    </row>
    <row r="40" customHeight="1" spans="1:64">
      <c r="A40" s="1" t="s">
        <v>69</v>
      </c>
      <c r="B40" s="33">
        <v>10059604</v>
      </c>
      <c r="C40" s="34" t="s">
        <v>97</v>
      </c>
      <c r="L40" s="5">
        <f>E40+F40+H40+I40+J40+G40+K40</f>
        <v>0</v>
      </c>
      <c r="M40" s="3" t="s">
        <v>98</v>
      </c>
      <c r="N40" s="3">
        <v>2180</v>
      </c>
      <c r="R40" s="3">
        <v>15708</v>
      </c>
      <c r="S40" s="3">
        <v>625</v>
      </c>
      <c r="T40" s="6">
        <v>3035</v>
      </c>
      <c r="U40" s="7">
        <f>N40+O40+P40+Q40+S40+R40+T40</f>
        <v>21548</v>
      </c>
      <c r="AD40" s="9">
        <f>W40+X40+Y40+Z40+AA40+AB40+AC40</f>
        <v>0</v>
      </c>
      <c r="AF40" s="34"/>
      <c r="AG40" s="34"/>
      <c r="AH40" s="34"/>
      <c r="AN40" s="9">
        <f>AG40+AH40+AI40+AJ40+AK40+AL40+AM40</f>
        <v>0</v>
      </c>
      <c r="AT40" s="11">
        <f>100+260+1014+49+29</f>
        <v>1452</v>
      </c>
      <c r="AV40" s="64">
        <f>L40+U40+AD40</f>
        <v>21548</v>
      </c>
      <c r="AW40" s="73">
        <f>AT40+AV40+AU40</f>
        <v>23000</v>
      </c>
      <c r="AY40" s="74">
        <f>AZ40+BA40+BB40+BC40+BD40+BE40</f>
        <v>23000</v>
      </c>
      <c r="BA40" s="15">
        <v>23000</v>
      </c>
      <c r="BL40" s="18">
        <v>8</v>
      </c>
    </row>
    <row r="41" customHeight="1" spans="1:65">
      <c r="A41" s="1" t="s">
        <v>69</v>
      </c>
      <c r="B41" s="33">
        <v>10059605</v>
      </c>
      <c r="C41" s="34" t="s">
        <v>54</v>
      </c>
      <c r="D41" s="3" t="s">
        <v>99</v>
      </c>
      <c r="E41" s="3">
        <v>2180</v>
      </c>
      <c r="G41" s="3">
        <f>4890+9190</f>
        <v>14080</v>
      </c>
      <c r="K41" s="4">
        <f>17470-16927</f>
        <v>543</v>
      </c>
      <c r="L41" s="5">
        <f>E41+F41+H41+I41+J41+G41+K41</f>
        <v>16803</v>
      </c>
      <c r="U41" s="7">
        <f>N41+O41+P41+Q41+S41+R41+T41</f>
        <v>0</v>
      </c>
      <c r="AD41" s="9">
        <f>W41+X41+Y41+Z41+AA41+AB41+AC41</f>
        <v>0</v>
      </c>
      <c r="AF41" s="34"/>
      <c r="AG41" s="34"/>
      <c r="AH41" s="34"/>
      <c r="AN41" s="9">
        <f>AG41+AH41+AI41+AJ41+AK41+AL41+AM41</f>
        <v>0</v>
      </c>
      <c r="AT41" s="11">
        <f>100+338+29+200</f>
        <v>667</v>
      </c>
      <c r="AV41" s="64">
        <f>L41+U41+AD41</f>
        <v>16803</v>
      </c>
      <c r="AW41" s="73">
        <f>AT41+AV41+AU41</f>
        <v>17470</v>
      </c>
      <c r="AX41" s="13" t="s">
        <v>100</v>
      </c>
      <c r="AY41" s="74">
        <f>AZ41+BA41+BB41+BC41+BD41+BE41</f>
        <v>17470</v>
      </c>
      <c r="BB41" s="16">
        <v>17470</v>
      </c>
      <c r="BL41" s="18">
        <v>4</v>
      </c>
      <c r="BM41" s="90" t="s">
        <v>101</v>
      </c>
    </row>
    <row r="42" customHeight="1" spans="1:64">
      <c r="A42" s="1" t="s">
        <v>69</v>
      </c>
      <c r="B42" s="33">
        <v>10059606</v>
      </c>
      <c r="C42" s="34" t="s">
        <v>67</v>
      </c>
      <c r="D42" s="34" t="s">
        <v>102</v>
      </c>
      <c r="E42" s="3">
        <v>2180</v>
      </c>
      <c r="I42" s="3">
        <v>7140</v>
      </c>
      <c r="J42" s="3">
        <v>207</v>
      </c>
      <c r="K42" s="4">
        <f>12900-10719</f>
        <v>2181</v>
      </c>
      <c r="L42" s="5">
        <f>E42+F42+H42+I42+J42+G42+K42</f>
        <v>11708</v>
      </c>
      <c r="U42" s="7">
        <f>N42+O42+P42+Q42+S42+R42+T42</f>
        <v>0</v>
      </c>
      <c r="AD42" s="9">
        <f>W42+X42+Y42+Z42+AA42+AB42+AC42</f>
        <v>0</v>
      </c>
      <c r="AF42" s="34"/>
      <c r="AG42" s="34"/>
      <c r="AH42" s="34"/>
      <c r="AN42" s="9">
        <f>AG42+AH42+AI42+AJ42+AK42+AL42+AM42</f>
        <v>0</v>
      </c>
      <c r="AT42" s="11">
        <f>100+1014+29+49</f>
        <v>1192</v>
      </c>
      <c r="AV42" s="64">
        <f>L42+U42+AD42</f>
        <v>11708</v>
      </c>
      <c r="AW42" s="73">
        <f>AT42+AV42+AU42</f>
        <v>12900</v>
      </c>
      <c r="AY42" s="74">
        <f>AZ42+BA42+BB42+BC42+BD42+BE42</f>
        <v>20300</v>
      </c>
      <c r="BA42" s="15">
        <v>11200</v>
      </c>
      <c r="BE42" s="17">
        <v>9100</v>
      </c>
      <c r="BG42" s="10">
        <v>1700</v>
      </c>
      <c r="BL42" s="18">
        <v>6</v>
      </c>
    </row>
    <row r="43" customHeight="1" spans="1:65">
      <c r="A43" s="1" t="s">
        <v>103</v>
      </c>
      <c r="B43" s="33">
        <v>10059607</v>
      </c>
      <c r="C43" s="3">
        <v>320</v>
      </c>
      <c r="L43" s="5">
        <f>E43+F43+H43+I43+J43+G43+K43</f>
        <v>0</v>
      </c>
      <c r="M43" s="3" t="s">
        <v>104</v>
      </c>
      <c r="N43" s="3">
        <v>1299</v>
      </c>
      <c r="R43" s="3">
        <v>4284</v>
      </c>
      <c r="T43" s="6">
        <v>1502</v>
      </c>
      <c r="U43" s="7">
        <f>N43+O43+P43+Q43+S43+R43+T43</f>
        <v>7085</v>
      </c>
      <c r="AD43" s="9">
        <f>W43+X43+Y43+Z43+AA43+AB43+AC43</f>
        <v>0</v>
      </c>
      <c r="AF43" s="34"/>
      <c r="AG43" s="34"/>
      <c r="AH43" s="34"/>
      <c r="AN43" s="9">
        <f>AG43+AH43+AI43+AJ43+AK43+AL43+AM43</f>
        <v>0</v>
      </c>
      <c r="AT43" s="11">
        <f>100+795+40+80</f>
        <v>1015</v>
      </c>
      <c r="AV43" s="64">
        <f>L43+U43+AD43</f>
        <v>7085</v>
      </c>
      <c r="AW43" s="73">
        <f>AT43+AV43+AU43</f>
        <v>8100</v>
      </c>
      <c r="AY43" s="74">
        <f>AZ43+BA43+BB43+BC43+BD43+BE43</f>
        <v>8100</v>
      </c>
      <c r="BA43" s="15">
        <v>8100</v>
      </c>
      <c r="BL43" s="18">
        <v>6</v>
      </c>
      <c r="BM43" s="90" t="s">
        <v>46</v>
      </c>
    </row>
    <row r="44" customHeight="1" spans="1:65">
      <c r="A44" s="1" t="s">
        <v>103</v>
      </c>
      <c r="B44" s="33">
        <v>10059608</v>
      </c>
      <c r="C44" s="3" t="s">
        <v>70</v>
      </c>
      <c r="L44" s="5">
        <f>E44+F44+H44+I44+J44+G44+K44</f>
        <v>0</v>
      </c>
      <c r="M44" s="3" t="s">
        <v>105</v>
      </c>
      <c r="N44" s="3">
        <v>1880</v>
      </c>
      <c r="Q44" s="3">
        <v>20800</v>
      </c>
      <c r="T44" s="6">
        <v>2887</v>
      </c>
      <c r="U44" s="7">
        <f>N44+O44+P44+Q44+S44+R44+T44</f>
        <v>25567</v>
      </c>
      <c r="AD44" s="9">
        <f>W44+X44+Y44+Z44+AA44+AB44+AC44</f>
        <v>0</v>
      </c>
      <c r="AF44" s="34"/>
      <c r="AG44" s="34"/>
      <c r="AH44" s="34"/>
      <c r="AN44" s="9">
        <f>AG44+AH44+AI44+AJ44+AK44+AL44+AM44</f>
        <v>0</v>
      </c>
      <c r="AT44" s="11">
        <f>100+636+80+87+30</f>
        <v>933</v>
      </c>
      <c r="AV44" s="64">
        <f>L44+U44+AD44</f>
        <v>25567</v>
      </c>
      <c r="AW44" s="73">
        <f>AT44+AV44+AU44</f>
        <v>26500</v>
      </c>
      <c r="AY44" s="74">
        <f>AZ44+BA44+BB44+BC44+BD44+BE44</f>
        <v>26500</v>
      </c>
      <c r="BA44" s="15">
        <v>26500</v>
      </c>
      <c r="BL44" s="18">
        <v>4</v>
      </c>
      <c r="BM44" s="90" t="s">
        <v>106</v>
      </c>
    </row>
    <row r="45" customHeight="1" spans="1:64">
      <c r="A45" s="1" t="s">
        <v>103</v>
      </c>
      <c r="B45" s="33">
        <v>10059609</v>
      </c>
      <c r="C45" s="34" t="s">
        <v>107</v>
      </c>
      <c r="D45" s="3" t="s">
        <v>108</v>
      </c>
      <c r="E45" s="3">
        <v>1299</v>
      </c>
      <c r="I45" s="3">
        <v>3816</v>
      </c>
      <c r="J45" s="3">
        <f>387+258</f>
        <v>645</v>
      </c>
      <c r="K45" s="4">
        <f>8000-6655</f>
        <v>1345</v>
      </c>
      <c r="L45" s="5">
        <f>E45+F45+H45+I45+J45+G45+K45</f>
        <v>7105</v>
      </c>
      <c r="U45" s="7">
        <f>N45+O45+P45+Q45+S45+R45+T45</f>
        <v>0</v>
      </c>
      <c r="AD45" s="9">
        <f>W45+X45+Y45+Z45+AA45+AB45+AC45</f>
        <v>0</v>
      </c>
      <c r="AF45" s="34"/>
      <c r="AG45" s="34"/>
      <c r="AH45" s="34"/>
      <c r="AN45" s="9">
        <f>AG45+AH45+AI45+AJ45+AK45+AL45+AM45</f>
        <v>0</v>
      </c>
      <c r="AT45" s="11">
        <f>100+795</f>
        <v>895</v>
      </c>
      <c r="AV45" s="64">
        <f>L45+U45+AD45</f>
        <v>7105</v>
      </c>
      <c r="AW45" s="73">
        <f>AT45+AV45+AU45</f>
        <v>8000</v>
      </c>
      <c r="AY45" s="74">
        <f>AZ45+BA45+BB45+BC45+BD45+BE45</f>
        <v>8700</v>
      </c>
      <c r="AZ45" s="14">
        <v>8000</v>
      </c>
      <c r="BC45" s="17">
        <v>680</v>
      </c>
      <c r="BD45" s="17">
        <v>20</v>
      </c>
      <c r="BL45" s="18">
        <v>5</v>
      </c>
    </row>
    <row r="46" customHeight="1" spans="1:65">
      <c r="A46" s="1" t="s">
        <v>103</v>
      </c>
      <c r="B46" s="33">
        <v>10059610</v>
      </c>
      <c r="C46" s="34" t="s">
        <v>48</v>
      </c>
      <c r="D46" s="3" t="s">
        <v>109</v>
      </c>
      <c r="E46" s="3">
        <v>1880</v>
      </c>
      <c r="I46" s="3">
        <f>3816+2703</f>
        <v>6519</v>
      </c>
      <c r="K46" s="4">
        <f>11700-9741</f>
        <v>1959</v>
      </c>
      <c r="L46" s="5">
        <f>E46+F46+H46+I46+J46+G46+K46</f>
        <v>10358</v>
      </c>
      <c r="U46" s="7">
        <f>N46+O46+P46+Q46+S46+R46+T46</f>
        <v>0</v>
      </c>
      <c r="AD46" s="9">
        <f>W46+X46+Y46+Z46+AA46+AB46+AC46</f>
        <v>0</v>
      </c>
      <c r="AF46" s="34"/>
      <c r="AG46" s="34"/>
      <c r="AH46" s="34"/>
      <c r="AN46" s="9">
        <f>AG46+AH46+AI46+AJ46+AK46+AL46+AM46</f>
        <v>0</v>
      </c>
      <c r="AT46" s="11">
        <f>100+100+1113+29</f>
        <v>1342</v>
      </c>
      <c r="AV46" s="64">
        <f>L46+U46+AD46</f>
        <v>10358</v>
      </c>
      <c r="AW46" s="73">
        <f>AT46+AV46+AU46</f>
        <v>11700</v>
      </c>
      <c r="AY46" s="74">
        <f>AZ46+BA46+BB46+BC46+BD46+BE46</f>
        <v>11700</v>
      </c>
      <c r="BA46" s="15">
        <v>11700</v>
      </c>
      <c r="BL46" s="18">
        <v>8</v>
      </c>
      <c r="BM46" s="90" t="s">
        <v>83</v>
      </c>
    </row>
    <row r="47" customHeight="1" spans="1:65">
      <c r="A47" s="1" t="s">
        <v>103</v>
      </c>
      <c r="B47" s="33">
        <v>10059611</v>
      </c>
      <c r="C47" s="34" t="s">
        <v>67</v>
      </c>
      <c r="D47" s="3" t="s">
        <v>110</v>
      </c>
      <c r="E47" s="3">
        <v>2180</v>
      </c>
      <c r="I47" s="3">
        <v>7473</v>
      </c>
      <c r="K47" s="4">
        <f>11300-10091</f>
        <v>1209</v>
      </c>
      <c r="L47" s="5">
        <f>E47+F47+H47+I47+J47+G47+K47</f>
        <v>10862</v>
      </c>
      <c r="U47" s="7">
        <f>N47+O47+P47+Q47+S47+R47+T47</f>
        <v>0</v>
      </c>
      <c r="AD47" s="9">
        <f>W47+X47+Y47+Z47+AA47+AB47+AC47</f>
        <v>0</v>
      </c>
      <c r="AF47" s="34"/>
      <c r="AG47" s="34"/>
      <c r="AH47" s="34"/>
      <c r="AN47" s="9">
        <f>AG47+AH47+AI47+AJ47+AK47+AL47+AM47</f>
        <v>0</v>
      </c>
      <c r="AT47" s="11">
        <f>100+338</f>
        <v>438</v>
      </c>
      <c r="AV47" s="64">
        <f>L47+U47+AD47</f>
        <v>10862</v>
      </c>
      <c r="AW47" s="73">
        <f>AT47+AV47+AU47</f>
        <v>11300</v>
      </c>
      <c r="AY47" s="74">
        <f>AZ47+BA47+BB47+BC47+BD47+BE47</f>
        <v>11300</v>
      </c>
      <c r="BA47" s="15">
        <v>11300</v>
      </c>
      <c r="BL47" s="18">
        <v>4</v>
      </c>
      <c r="BM47" s="90" t="s">
        <v>106</v>
      </c>
    </row>
    <row r="48" customHeight="1" spans="1:64">
      <c r="A48" s="1" t="s">
        <v>103</v>
      </c>
      <c r="B48" s="33">
        <v>10059612</v>
      </c>
      <c r="C48" s="34" t="s">
        <v>59</v>
      </c>
      <c r="D48" s="34" t="s">
        <v>111</v>
      </c>
      <c r="E48" s="3">
        <v>2180</v>
      </c>
      <c r="I48" s="3">
        <v>9163</v>
      </c>
      <c r="K48" s="4">
        <f>15800-12288</f>
        <v>3512</v>
      </c>
      <c r="L48" s="5">
        <f>E48+F48+H48+I48+J48+G48+K48</f>
        <v>14855</v>
      </c>
      <c r="U48" s="7">
        <f>N48+O48+P48+Q48+S48+R48+T48</f>
        <v>0</v>
      </c>
      <c r="AD48" s="9">
        <f>W48+X48+Y48+Z48+AA48+AB48+AC48</f>
        <v>0</v>
      </c>
      <c r="AF48" s="34"/>
      <c r="AG48" s="34"/>
      <c r="AH48" s="34"/>
      <c r="AN48" s="9">
        <f>AG48+AH48+AI48+AJ48+AK48+AL48+AM48</f>
        <v>0</v>
      </c>
      <c r="AT48" s="11">
        <f>100+845</f>
        <v>945</v>
      </c>
      <c r="AV48" s="64">
        <f>L48+U48+AD48</f>
        <v>14855</v>
      </c>
      <c r="AW48" s="73">
        <f>AT48+AV48+AU48</f>
        <v>15800</v>
      </c>
      <c r="AY48" s="74">
        <f>AZ48+BA48+BB48+BC48+BD48+BE48</f>
        <v>15800</v>
      </c>
      <c r="AZ48" s="14">
        <v>15800</v>
      </c>
      <c r="BL48" s="18">
        <v>7</v>
      </c>
    </row>
    <row r="49" customHeight="1" spans="1:51">
      <c r="A49" s="1" t="s">
        <v>103</v>
      </c>
      <c r="B49" s="33">
        <v>10059613</v>
      </c>
      <c r="C49" s="34" t="s">
        <v>65</v>
      </c>
      <c r="D49" s="34" t="s">
        <v>112</v>
      </c>
      <c r="L49" s="5">
        <f>E49+F49+H49+I49+J49+G49+K49</f>
        <v>0</v>
      </c>
      <c r="U49" s="7">
        <f>N49+O49+P49+Q49+S49+R49+T49</f>
        <v>0</v>
      </c>
      <c r="AD49" s="9">
        <f>W49+X49+Y49+Z49+AA49+AB49+AC49</f>
        <v>0</v>
      </c>
      <c r="AF49" s="34" t="s">
        <v>112</v>
      </c>
      <c r="AG49" s="34">
        <v>2180</v>
      </c>
      <c r="AH49" s="34"/>
      <c r="AI49" s="3">
        <v>4690</v>
      </c>
      <c r="AK49" s="3">
        <v>954</v>
      </c>
      <c r="AL49" s="3">
        <f>69+387</f>
        <v>456</v>
      </c>
      <c r="AM49" s="3">
        <v>3190</v>
      </c>
      <c r="AN49" s="9">
        <f>AG49+AH49+AI49+AJ49+AK49+AL49+AM49</f>
        <v>11470</v>
      </c>
      <c r="AO49" s="10">
        <v>1578</v>
      </c>
      <c r="AV49" s="64">
        <f>L49+U49+AD49</f>
        <v>0</v>
      </c>
      <c r="AW49" s="73">
        <f>AT49+AV49+AU49</f>
        <v>0</v>
      </c>
      <c r="AX49" s="13" t="s">
        <v>113</v>
      </c>
      <c r="AY49" s="74">
        <f>AZ49+BA49+BB49+BC49+BD49+BE49</f>
        <v>0</v>
      </c>
    </row>
    <row r="50" customHeight="1" spans="1:65">
      <c r="A50" s="1" t="s">
        <v>103</v>
      </c>
      <c r="B50" s="33">
        <v>10059614</v>
      </c>
      <c r="C50" s="34" t="s">
        <v>54</v>
      </c>
      <c r="D50" s="34" t="s">
        <v>114</v>
      </c>
      <c r="E50" s="3">
        <v>2180</v>
      </c>
      <c r="G50" s="3">
        <v>9780</v>
      </c>
      <c r="I50" s="3">
        <v>3498</v>
      </c>
      <c r="J50" s="3">
        <f>168+129+69</f>
        <v>366</v>
      </c>
      <c r="K50" s="4">
        <f>17000-16600</f>
        <v>400</v>
      </c>
      <c r="L50" s="5">
        <f>E50+F50+H50+I50+J50+G50+K50</f>
        <v>16224</v>
      </c>
      <c r="U50" s="7">
        <f>N50+O50+P50+Q50+S50+R50+T50</f>
        <v>0</v>
      </c>
      <c r="AD50" s="9">
        <f>W50+X50+Y50+Z50+AA50+AB50+AC50</f>
        <v>0</v>
      </c>
      <c r="AF50" s="34"/>
      <c r="AG50" s="34"/>
      <c r="AH50" s="34"/>
      <c r="AN50" s="9">
        <f>AG50+AH50+AI50+AJ50+AK50+AL50+AM50</f>
        <v>0</v>
      </c>
      <c r="AT50" s="11">
        <f>100+676</f>
        <v>776</v>
      </c>
      <c r="AV50" s="64">
        <f>L50+U50+AD50</f>
        <v>16224</v>
      </c>
      <c r="AW50" s="73">
        <f>AT50+AV50+AU50</f>
        <v>17000</v>
      </c>
      <c r="AY50" s="74">
        <f>AZ50+BA50+BB50+BC50+BD50+BE50</f>
        <v>17000</v>
      </c>
      <c r="BB50" s="16">
        <v>17000</v>
      </c>
      <c r="BL50" s="18">
        <v>3</v>
      </c>
      <c r="BM50" s="90" t="s">
        <v>50</v>
      </c>
    </row>
    <row r="51" customHeight="1" spans="1:65">
      <c r="A51" s="1" t="s">
        <v>103</v>
      </c>
      <c r="B51" s="33">
        <v>10059615</v>
      </c>
      <c r="C51" s="34" t="s">
        <v>62</v>
      </c>
      <c r="D51" s="3" t="s">
        <v>115</v>
      </c>
      <c r="E51" s="3">
        <v>2180</v>
      </c>
      <c r="G51" s="3">
        <f>3290+5890</f>
        <v>9180</v>
      </c>
      <c r="J51" s="3">
        <f>207+49+99</f>
        <v>355</v>
      </c>
      <c r="K51" s="4">
        <f>13500-12202</f>
        <v>1298</v>
      </c>
      <c r="L51" s="5">
        <f>E51+F51+H51+I51+J51+G51+K51</f>
        <v>13013</v>
      </c>
      <c r="U51" s="7">
        <f>N51+O51+P51+Q51+S51+R51+T51</f>
        <v>0</v>
      </c>
      <c r="AD51" s="9">
        <f>W51+X51+Y51+Z51+AA51+AB51+AC51</f>
        <v>0</v>
      </c>
      <c r="AF51" s="34"/>
      <c r="AG51" s="34"/>
      <c r="AH51" s="34"/>
      <c r="AN51" s="9">
        <f>AG51+AH51+AI51+AJ51+AK51+AL51+AM51</f>
        <v>0</v>
      </c>
      <c r="AT51" s="11">
        <f>100+49+338</f>
        <v>487</v>
      </c>
      <c r="AV51" s="64">
        <f>L51+U51+AD51</f>
        <v>13013</v>
      </c>
      <c r="AW51" s="73">
        <f>AT51+AV51+AU51</f>
        <v>13500</v>
      </c>
      <c r="AY51" s="74">
        <f>AZ51+BA51+BB51+BC51+BD51+BE51</f>
        <v>13635</v>
      </c>
      <c r="AZ51" s="14">
        <v>13500</v>
      </c>
      <c r="BE51" s="17">
        <v>135</v>
      </c>
      <c r="BL51" s="18">
        <v>1</v>
      </c>
      <c r="BM51" s="90" t="s">
        <v>46</v>
      </c>
    </row>
    <row r="52" customHeight="1" spans="1:64">
      <c r="A52" s="1" t="s">
        <v>116</v>
      </c>
      <c r="B52" s="33">
        <v>10059616</v>
      </c>
      <c r="C52" s="34" t="s">
        <v>107</v>
      </c>
      <c r="L52" s="5">
        <f>E52+F52+H52+I52+J52+G52+K52</f>
        <v>0</v>
      </c>
      <c r="M52" s="3" t="s">
        <v>117</v>
      </c>
      <c r="N52" s="3">
        <v>1299</v>
      </c>
      <c r="P52" s="3">
        <v>17080</v>
      </c>
      <c r="R52" s="3">
        <v>238</v>
      </c>
      <c r="T52" s="6">
        <v>5890</v>
      </c>
      <c r="U52" s="7">
        <f>N52+O52+P52+Q52+S52+R52+T52</f>
        <v>24507</v>
      </c>
      <c r="AD52" s="9">
        <f>W52+X52+Y52+Z52+AA52+AB52+AC52</f>
        <v>0</v>
      </c>
      <c r="AF52" s="34"/>
      <c r="AG52" s="34"/>
      <c r="AH52" s="34"/>
      <c r="AN52" s="9">
        <f>AG52+AH52+AI52+AJ52+AK52+AL52+AM52</f>
        <v>0</v>
      </c>
      <c r="AT52" s="11">
        <f>100+795+98</f>
        <v>993</v>
      </c>
      <c r="AV52" s="64">
        <f>L52+U52+AD52</f>
        <v>24507</v>
      </c>
      <c r="AW52" s="73">
        <f>AT52+AV52+AU52</f>
        <v>25500</v>
      </c>
      <c r="AY52" s="74">
        <f>AZ52+BA52+BB52+BC52+BD52+BE52</f>
        <v>25600</v>
      </c>
      <c r="BA52" s="15">
        <v>25500</v>
      </c>
      <c r="BC52" s="17">
        <v>100</v>
      </c>
      <c r="BL52" s="18">
        <v>6</v>
      </c>
    </row>
    <row r="53" customHeight="1" spans="1:64">
      <c r="A53" s="1" t="s">
        <v>116</v>
      </c>
      <c r="B53" s="33">
        <v>10059617</v>
      </c>
      <c r="C53" s="3">
        <v>310</v>
      </c>
      <c r="L53" s="5">
        <f>E53+F53+H53+I53+J53+G53+K53</f>
        <v>0</v>
      </c>
      <c r="M53" s="3" t="s">
        <v>118</v>
      </c>
      <c r="N53" s="3">
        <v>980</v>
      </c>
      <c r="Q53" s="3">
        <v>4160</v>
      </c>
      <c r="T53" s="6">
        <v>912</v>
      </c>
      <c r="U53" s="7">
        <f>N53+O53+P53+Q53+S53+R53+T53</f>
        <v>6052</v>
      </c>
      <c r="AD53" s="9">
        <f>W53+X53+Y53+Z53+AA53+AB53+AC53</f>
        <v>0</v>
      </c>
      <c r="AF53" s="34"/>
      <c r="AG53" s="34"/>
      <c r="AH53" s="34"/>
      <c r="AN53" s="9">
        <f>AG53+AH53+AI53+AJ53+AK53+AL53+AM53</f>
        <v>0</v>
      </c>
      <c r="AT53" s="11">
        <f>100</f>
        <v>100</v>
      </c>
      <c r="AU53" s="11">
        <v>398</v>
      </c>
      <c r="AV53" s="64">
        <f>L53+U53+AD53</f>
        <v>6052</v>
      </c>
      <c r="AW53" s="73">
        <f>AT53+AV53+AU53</f>
        <v>6550</v>
      </c>
      <c r="AY53" s="74">
        <f>AZ53+BA53+BB53+BC53+BD53+BE53</f>
        <v>6550</v>
      </c>
      <c r="BA53" s="15">
        <v>6550</v>
      </c>
      <c r="BL53" s="18">
        <v>4</v>
      </c>
    </row>
    <row r="54" customHeight="1" spans="1:65">
      <c r="A54" s="1" t="s">
        <v>116</v>
      </c>
      <c r="B54" s="33">
        <v>10059618</v>
      </c>
      <c r="C54" s="3" t="s">
        <v>70</v>
      </c>
      <c r="D54" s="3" t="s">
        <v>119</v>
      </c>
      <c r="E54" s="3">
        <v>1880</v>
      </c>
      <c r="G54" s="3">
        <f>5990+3290</f>
        <v>9280</v>
      </c>
      <c r="K54" s="4">
        <f>13800-11657</f>
        <v>2143</v>
      </c>
      <c r="L54" s="5">
        <f>E54+F54+H54+I54+J54+G54+K54</f>
        <v>13303</v>
      </c>
      <c r="U54" s="7">
        <f>N54+O54+P54+Q54+S54+R54+T54</f>
        <v>0</v>
      </c>
      <c r="AD54" s="9">
        <f>W54+X54+Y54+Z54+AA54+AB54+AC54</f>
        <v>0</v>
      </c>
      <c r="AF54" s="34"/>
      <c r="AG54" s="34"/>
      <c r="AH54" s="34"/>
      <c r="AN54" s="9">
        <f>AG54+AH54+AI54+AJ54+AK54+AL54+AM54</f>
        <v>0</v>
      </c>
      <c r="AT54" s="11">
        <f>100+30+318+49</f>
        <v>497</v>
      </c>
      <c r="AV54" s="64">
        <f>L54+U54+AD54</f>
        <v>13303</v>
      </c>
      <c r="AW54" s="73">
        <f>AT54+AV54+AU54</f>
        <v>13800</v>
      </c>
      <c r="AY54" s="74">
        <f>AZ54+BA54+BB54+BC54+BD54+BE54</f>
        <v>13800</v>
      </c>
      <c r="BA54" s="15">
        <v>13800</v>
      </c>
      <c r="BL54" s="18">
        <v>4</v>
      </c>
      <c r="BM54" s="90" t="s">
        <v>52</v>
      </c>
    </row>
    <row r="55" customHeight="1" spans="1:64">
      <c r="A55" s="1" t="s">
        <v>116</v>
      </c>
      <c r="B55" s="33">
        <v>10059619</v>
      </c>
      <c r="C55" s="34" t="s">
        <v>120</v>
      </c>
      <c r="D55" s="3" t="s">
        <v>121</v>
      </c>
      <c r="E55" s="3">
        <v>1880</v>
      </c>
      <c r="G55" s="3">
        <v>11800</v>
      </c>
      <c r="J55" s="3">
        <f>129+129+129+168</f>
        <v>555</v>
      </c>
      <c r="K55" s="4">
        <f>19180-13458-1880</f>
        <v>3842</v>
      </c>
      <c r="L55" s="5">
        <f>E55+F55+H55+I55+J55+G55+K55</f>
        <v>18077</v>
      </c>
      <c r="U55" s="7">
        <f>N55+O55+P55+Q55+S55+R55+T55</f>
        <v>0</v>
      </c>
      <c r="AD55" s="9">
        <f>W55+X55+Y55+Z55+AA55+AB55+AC55</f>
        <v>0</v>
      </c>
      <c r="AF55" s="34"/>
      <c r="AG55" s="34"/>
      <c r="AH55" s="34"/>
      <c r="AN55" s="9">
        <f>AG55+AH55+AI55+AJ55+AK55+AL55+AM55</f>
        <v>0</v>
      </c>
      <c r="AT55" s="11">
        <f>100+954+49</f>
        <v>1103</v>
      </c>
      <c r="AV55" s="64">
        <f>L55+U55+AD55</f>
        <v>18077</v>
      </c>
      <c r="AW55" s="73">
        <f>AT55+AV55+AU55</f>
        <v>19180</v>
      </c>
      <c r="AY55" s="74">
        <f>AZ55+BA55+BB55+BC55+BD55+BE55</f>
        <v>19180</v>
      </c>
      <c r="BA55" s="15">
        <v>19180</v>
      </c>
      <c r="BL55" s="18">
        <v>6</v>
      </c>
    </row>
    <row r="56" customHeight="1" spans="1:65">
      <c r="A56" s="1" t="s">
        <v>116</v>
      </c>
      <c r="B56" s="33">
        <v>10059620</v>
      </c>
      <c r="C56" s="3">
        <v>312</v>
      </c>
      <c r="D56" s="3" t="s">
        <v>122</v>
      </c>
      <c r="E56" s="3">
        <v>980</v>
      </c>
      <c r="I56" s="3">
        <v>2856</v>
      </c>
      <c r="K56" s="4">
        <f>4850-4254</f>
        <v>596</v>
      </c>
      <c r="L56" s="5">
        <f>E56+F56+H56+I56+J56+G56+K56</f>
        <v>4432</v>
      </c>
      <c r="U56" s="7">
        <f>N56+O56+P56+Q56+S56+R56+T56</f>
        <v>0</v>
      </c>
      <c r="AD56" s="9">
        <f>W56+X56+Y56+Z56+AA56+AB56+AC56</f>
        <v>0</v>
      </c>
      <c r="AF56" s="34"/>
      <c r="AG56" s="34"/>
      <c r="AH56" s="34"/>
      <c r="AN56" s="9">
        <f>AG56+AH56+AI56+AJ56+AK56+AL56+AM56</f>
        <v>0</v>
      </c>
      <c r="AT56" s="11">
        <f>100+318</f>
        <v>418</v>
      </c>
      <c r="AV56" s="64">
        <f>L56+U56+AD56</f>
        <v>4432</v>
      </c>
      <c r="AW56" s="73">
        <f>AT56+AV56+AU56</f>
        <v>4850</v>
      </c>
      <c r="AY56" s="74">
        <f>AZ56+BA56+BB56+BC56+BD56+BE56</f>
        <v>4850</v>
      </c>
      <c r="BA56" s="15">
        <v>4850</v>
      </c>
      <c r="BL56" s="18">
        <v>4</v>
      </c>
      <c r="BM56" s="90" t="s">
        <v>52</v>
      </c>
    </row>
    <row r="57" customHeight="1" spans="1:64">
      <c r="A57" s="1" t="s">
        <v>116</v>
      </c>
      <c r="B57" s="33">
        <v>10059621</v>
      </c>
      <c r="C57" s="3">
        <v>308</v>
      </c>
      <c r="D57" s="34" t="s">
        <v>123</v>
      </c>
      <c r="E57" s="3">
        <v>980</v>
      </c>
      <c r="I57" s="3">
        <v>2856</v>
      </c>
      <c r="K57" s="4">
        <f>5340-4303</f>
        <v>1037</v>
      </c>
      <c r="L57" s="5">
        <f>E57+F57+H57+I57+J57+G57+K57</f>
        <v>4873</v>
      </c>
      <c r="U57" s="7">
        <f>N57+O57+P57+Q57+S57+R57+T57</f>
        <v>0</v>
      </c>
      <c r="AD57" s="9">
        <f>W57+X57+Y57+Z57+AA57+AB57+AC57</f>
        <v>0</v>
      </c>
      <c r="AF57" s="34"/>
      <c r="AG57" s="34"/>
      <c r="AH57" s="34"/>
      <c r="AN57" s="9">
        <f>AG57+AH57+AI57+AJ57+AK57+AL57+AM57</f>
        <v>0</v>
      </c>
      <c r="AT57" s="11">
        <f>100+318+49</f>
        <v>467</v>
      </c>
      <c r="AV57" s="64">
        <f>L57+U57+AD57</f>
        <v>4873</v>
      </c>
      <c r="AW57" s="73">
        <f>AT57+AV57+AU57</f>
        <v>5340</v>
      </c>
      <c r="AY57" s="74">
        <f>AZ57+BA57+BB57+BC57+BD57+BE57</f>
        <v>5340</v>
      </c>
      <c r="AZ57" s="14">
        <v>5340</v>
      </c>
      <c r="BL57" s="18">
        <v>2</v>
      </c>
    </row>
    <row r="58" customHeight="1" spans="1:64">
      <c r="A58" s="1" t="s">
        <v>116</v>
      </c>
      <c r="B58" s="33">
        <v>10059622</v>
      </c>
      <c r="C58" s="3">
        <v>302</v>
      </c>
      <c r="L58" s="5">
        <f>E58+F58+H58+I58+J58+G58+K58</f>
        <v>0</v>
      </c>
      <c r="M58" s="3" t="s">
        <v>124</v>
      </c>
      <c r="N58" s="3">
        <v>980</v>
      </c>
      <c r="R58" s="3">
        <v>1788</v>
      </c>
      <c r="T58" s="6">
        <v>382</v>
      </c>
      <c r="U58" s="7">
        <f>N58+O58+P58+Q58+S58+R58+T58</f>
        <v>3150</v>
      </c>
      <c r="AD58" s="9">
        <f>W58+X58+Y58+Z58+AA58+AB58+AC58</f>
        <v>0</v>
      </c>
      <c r="AF58" s="34"/>
      <c r="AG58" s="34"/>
      <c r="AH58" s="34"/>
      <c r="AN58" s="9">
        <f>AG58+AH58+AI58+AJ58+AK58+AL58+AM58</f>
        <v>0</v>
      </c>
      <c r="AT58" s="11">
        <f>100+100</f>
        <v>200</v>
      </c>
      <c r="AV58" s="64">
        <f>L58+U58+AD58</f>
        <v>3150</v>
      </c>
      <c r="AW58" s="73">
        <f>AT58+AV58+AU58</f>
        <v>3350</v>
      </c>
      <c r="AY58" s="74">
        <f>AZ58+BA58+BB58+BC58+BD58+BE58</f>
        <v>3350</v>
      </c>
      <c r="BA58" s="15">
        <v>3350</v>
      </c>
      <c r="BL58" s="18">
        <v>1</v>
      </c>
    </row>
    <row r="59" customHeight="1" spans="1:65">
      <c r="A59" s="1" t="s">
        <v>116</v>
      </c>
      <c r="B59" s="33">
        <v>10059623</v>
      </c>
      <c r="C59" s="34" t="s">
        <v>59</v>
      </c>
      <c r="D59" s="3" t="s">
        <v>110</v>
      </c>
      <c r="E59" s="3">
        <v>2180</v>
      </c>
      <c r="F59" s="3">
        <v>54950</v>
      </c>
      <c r="J59" s="3">
        <f>345</f>
        <v>345</v>
      </c>
      <c r="K59" s="4">
        <f>68700-59694</f>
        <v>9006</v>
      </c>
      <c r="L59" s="5">
        <f>E59+F59+H59+I59+J59+G59+K59</f>
        <v>66481</v>
      </c>
      <c r="U59" s="7">
        <f>N59+O59+P59+Q59+S59+R59+T59</f>
        <v>0</v>
      </c>
      <c r="AD59" s="9">
        <f>W59+X59+Y59+Z59+AA59+AB59+AC59</f>
        <v>0</v>
      </c>
      <c r="AF59" s="34"/>
      <c r="AG59" s="34"/>
      <c r="AH59" s="34"/>
      <c r="AN59" s="9">
        <f>AG59+AH59+AI59+AJ59+AK59+AL59+AM59</f>
        <v>0</v>
      </c>
      <c r="AT59" s="11">
        <f>100+169+1352+49+29+300+220</f>
        <v>2219</v>
      </c>
      <c r="AV59" s="64">
        <f>L59+U59+AD59</f>
        <v>66481</v>
      </c>
      <c r="AW59" s="73">
        <f>AT59+AV59+AU59</f>
        <v>68700</v>
      </c>
      <c r="AY59" s="74">
        <f>AZ59+BA59+BB59+BC59+BD59+BE59</f>
        <v>68700</v>
      </c>
      <c r="BA59" s="15">
        <v>68700</v>
      </c>
      <c r="BL59" s="18">
        <v>6</v>
      </c>
      <c r="BM59" s="90" t="s">
        <v>83</v>
      </c>
    </row>
    <row r="60" customHeight="1" spans="1:65">
      <c r="A60" s="1" t="s">
        <v>125</v>
      </c>
      <c r="B60" s="33">
        <v>10059624</v>
      </c>
      <c r="C60" s="3">
        <v>303</v>
      </c>
      <c r="L60" s="5">
        <f>E60+F60+H60+I60+J60+G60+K60</f>
        <v>0</v>
      </c>
      <c r="M60" s="3" t="s">
        <v>126</v>
      </c>
      <c r="N60" s="3">
        <v>980</v>
      </c>
      <c r="R60" s="3">
        <v>3332</v>
      </c>
      <c r="T60" s="6">
        <v>698</v>
      </c>
      <c r="U60" s="7">
        <f>N60+O60+P60+Q60+S60+R60+T60</f>
        <v>5010</v>
      </c>
      <c r="AD60" s="9">
        <f>W60+X60+Y60+Z60+AA60+AB60+AC60</f>
        <v>0</v>
      </c>
      <c r="AF60" s="34"/>
      <c r="AG60" s="34"/>
      <c r="AH60" s="34"/>
      <c r="AN60" s="9">
        <f>AG60+AH60+AI60+AJ60+AK60+AL60+AM60</f>
        <v>0</v>
      </c>
      <c r="AT60" s="11">
        <f>100+40</f>
        <v>140</v>
      </c>
      <c r="AV60" s="64">
        <f>L60+U60+AD60</f>
        <v>5010</v>
      </c>
      <c r="AW60" s="73">
        <f>AT60+AV60+AU60</f>
        <v>5150</v>
      </c>
      <c r="AY60" s="74">
        <f>AZ60+BA60+BB60+BC60+BD60+BE60</f>
        <v>5150</v>
      </c>
      <c r="BA60" s="15">
        <v>5150</v>
      </c>
      <c r="BL60" s="18">
        <v>2</v>
      </c>
      <c r="BM60" s="90" t="s">
        <v>58</v>
      </c>
    </row>
    <row r="61" customHeight="1" spans="1:65">
      <c r="A61" s="1" t="s">
        <v>125</v>
      </c>
      <c r="B61" s="33">
        <v>10059625</v>
      </c>
      <c r="C61" s="3" t="s">
        <v>44</v>
      </c>
      <c r="L61" s="5">
        <f>E61+F61+H61+I61+J61+G61+K61</f>
        <v>0</v>
      </c>
      <c r="M61" s="3" t="s">
        <v>127</v>
      </c>
      <c r="N61" s="3">
        <v>1880</v>
      </c>
      <c r="P61" s="3">
        <v>8690</v>
      </c>
      <c r="T61" s="6">
        <v>2207</v>
      </c>
      <c r="U61" s="7">
        <f>N61+O61+P61+Q61+S61+R61+T61</f>
        <v>12777</v>
      </c>
      <c r="AD61" s="9">
        <f>W61+X61+Y61+Z61+AA61+AB61+AC61</f>
        <v>0</v>
      </c>
      <c r="AF61" s="34"/>
      <c r="AG61" s="34"/>
      <c r="AH61" s="34"/>
      <c r="AN61" s="9">
        <f>AG61+AH61+AI61+AJ61+AK61+AL61+AM61</f>
        <v>0</v>
      </c>
      <c r="AT61" s="11">
        <f>100+338+477+58</f>
        <v>973</v>
      </c>
      <c r="AV61" s="64">
        <f>L61+U61+AD61</f>
        <v>12777</v>
      </c>
      <c r="AW61" s="73">
        <f>AT61+AV61+AU61</f>
        <v>13750</v>
      </c>
      <c r="AY61" s="74">
        <f>AZ61+BA61+BB61+BC61+BD61+BE61</f>
        <v>13750</v>
      </c>
      <c r="BA61" s="15">
        <v>13750</v>
      </c>
      <c r="BL61" s="18">
        <v>3</v>
      </c>
      <c r="BM61" s="90" t="s">
        <v>128</v>
      </c>
    </row>
    <row r="62" customHeight="1" spans="1:65">
      <c r="A62" s="1" t="s">
        <v>125</v>
      </c>
      <c r="B62" s="33">
        <v>10059626</v>
      </c>
      <c r="C62" s="3">
        <v>316</v>
      </c>
      <c r="D62" s="34" t="s">
        <v>129</v>
      </c>
      <c r="E62" s="3">
        <v>980</v>
      </c>
      <c r="I62" s="3">
        <v>2142</v>
      </c>
      <c r="K62" s="4">
        <f>4540-4027</f>
        <v>513</v>
      </c>
      <c r="L62" s="5">
        <f>E62+F62+H62+I62+J62+G62+K62</f>
        <v>3635</v>
      </c>
      <c r="U62" s="7">
        <f>N62+O62+P62+Q62+S62+R62+T62</f>
        <v>0</v>
      </c>
      <c r="AD62" s="9">
        <f>W62+X62+Y62+Z62+AA62+AB62+AC62</f>
        <v>0</v>
      </c>
      <c r="AF62" s="34"/>
      <c r="AG62" s="34"/>
      <c r="AH62" s="34"/>
      <c r="AN62" s="9">
        <f>AG62+AH62+AI62+AJ62+AK62+AL62+AM62</f>
        <v>0</v>
      </c>
      <c r="AT62" s="11">
        <f>100+636+169</f>
        <v>905</v>
      </c>
      <c r="AV62" s="64">
        <f>L62+U62+AD62</f>
        <v>3635</v>
      </c>
      <c r="AW62" s="73">
        <f>AT62+AV62+AU62</f>
        <v>4540</v>
      </c>
      <c r="AY62" s="74">
        <f>AZ62+BA62+BB62+BC62+BD62+BE62</f>
        <v>4540</v>
      </c>
      <c r="BA62" s="15">
        <v>4540</v>
      </c>
      <c r="BL62" s="18">
        <v>2</v>
      </c>
      <c r="BM62" s="90" t="s">
        <v>130</v>
      </c>
    </row>
    <row r="63" customHeight="1" spans="1:51">
      <c r="A63" s="1" t="s">
        <v>125</v>
      </c>
      <c r="B63" s="33">
        <v>10059627</v>
      </c>
      <c r="C63" s="3" t="s">
        <v>120</v>
      </c>
      <c r="L63" s="5">
        <f>E63+F63+H63+I63+J63+G63+K63</f>
        <v>0</v>
      </c>
      <c r="M63" s="3" t="s">
        <v>131</v>
      </c>
      <c r="U63" s="7">
        <f>N63+O63+P63+Q63+S63+R63+T63</f>
        <v>0</v>
      </c>
      <c r="AD63" s="9">
        <f>W63+X63+Y63+Z63+AA63+AB63+AC63</f>
        <v>0</v>
      </c>
      <c r="AF63" s="3" t="s">
        <v>131</v>
      </c>
      <c r="AG63" s="34">
        <v>1880</v>
      </c>
      <c r="AH63" s="34"/>
      <c r="AK63" s="3">
        <f>3816+954</f>
        <v>4770</v>
      </c>
      <c r="AM63" s="3">
        <v>936</v>
      </c>
      <c r="AN63" s="9">
        <f>AG63+AH63+AI63+AJ63+AK63+AL63+AM63</f>
        <v>7586</v>
      </c>
      <c r="AO63" s="10">
        <v>672</v>
      </c>
      <c r="AV63" s="64">
        <f>L63+U63+AD63</f>
        <v>0</v>
      </c>
      <c r="AW63" s="73">
        <f>AT63+AV63+AU63</f>
        <v>0</v>
      </c>
      <c r="AX63" s="13" t="s">
        <v>132</v>
      </c>
      <c r="AY63" s="74">
        <f>AZ63+BA63+BB63+BC63+BD63+BE63</f>
        <v>0</v>
      </c>
    </row>
    <row r="64" customHeight="1" spans="1:65">
      <c r="A64" s="1" t="s">
        <v>125</v>
      </c>
      <c r="B64" s="33">
        <v>10059628</v>
      </c>
      <c r="C64" s="34" t="s">
        <v>65</v>
      </c>
      <c r="D64" s="3" t="s">
        <v>133</v>
      </c>
      <c r="E64" s="3">
        <v>2180</v>
      </c>
      <c r="I64" s="3">
        <v>7632</v>
      </c>
      <c r="K64" s="4">
        <f>11900-10587</f>
        <v>1313</v>
      </c>
      <c r="L64" s="5">
        <f>E64+F64+H64+I64+J64+G64+K64</f>
        <v>11125</v>
      </c>
      <c r="U64" s="7">
        <f>N64+O64+P64+Q64+S64+R64+T64</f>
        <v>0</v>
      </c>
      <c r="AD64" s="9">
        <f>W64+X64+Y64+Z64+AA64+AB64+AC64</f>
        <v>0</v>
      </c>
      <c r="AF64" s="34"/>
      <c r="AG64" s="34"/>
      <c r="AH64" s="34"/>
      <c r="AN64" s="9">
        <f>AG64+AH64+AI64+AJ64+AK64+AL64+AM64</f>
        <v>0</v>
      </c>
      <c r="AT64" s="11">
        <f>100+507+90+49+29</f>
        <v>775</v>
      </c>
      <c r="AV64" s="64">
        <f>L64+U64+AD64</f>
        <v>11125</v>
      </c>
      <c r="AW64" s="73">
        <f>AT64+AV64+AU64</f>
        <v>11900</v>
      </c>
      <c r="AY64" s="74">
        <f>AZ64+BA64+BB64+BC64+BD64+BE64</f>
        <v>11900</v>
      </c>
      <c r="BA64" s="15">
        <v>11900</v>
      </c>
      <c r="BL64" s="18">
        <v>3</v>
      </c>
      <c r="BM64" s="90" t="s">
        <v>134</v>
      </c>
    </row>
    <row r="65" customHeight="1" spans="1:65">
      <c r="A65" s="1" t="s">
        <v>125</v>
      </c>
      <c r="B65" s="33">
        <v>10059629</v>
      </c>
      <c r="C65" s="34" t="s">
        <v>94</v>
      </c>
      <c r="D65" s="34" t="s">
        <v>135</v>
      </c>
      <c r="E65" s="3">
        <v>1680</v>
      </c>
      <c r="I65" s="3">
        <v>4641</v>
      </c>
      <c r="K65" s="4">
        <f>8300-6928</f>
        <v>1372</v>
      </c>
      <c r="L65" s="5">
        <f>E65+F65+H65+I65+J65+G65+K65</f>
        <v>7693</v>
      </c>
      <c r="U65" s="7">
        <f>N65+O65+P65+Q65+S65+R65+T65</f>
        <v>0</v>
      </c>
      <c r="AD65" s="9">
        <f>W65+X65+Y65+Z65+AA65+AB65+AC65</f>
        <v>0</v>
      </c>
      <c r="AF65" s="34"/>
      <c r="AG65" s="34"/>
      <c r="AH65" s="34"/>
      <c r="AN65" s="9">
        <f>AG65+AH65+AI65+AJ65+AK65+AL65+AM65</f>
        <v>0</v>
      </c>
      <c r="AT65" s="11">
        <f>100+507</f>
        <v>607</v>
      </c>
      <c r="AV65" s="64">
        <f>L65+U65+AD65</f>
        <v>7693</v>
      </c>
      <c r="AW65" s="73">
        <f>AT65+AV65+AU65</f>
        <v>8300</v>
      </c>
      <c r="AY65" s="74">
        <f>AZ65+BA65+BB65+BC65+BD65+BE65</f>
        <v>8600</v>
      </c>
      <c r="BA65" s="15">
        <v>8300</v>
      </c>
      <c r="BC65" s="17">
        <v>290</v>
      </c>
      <c r="BD65" s="17">
        <v>10</v>
      </c>
      <c r="BL65" s="18">
        <v>3</v>
      </c>
      <c r="BM65" s="90" t="s">
        <v>52</v>
      </c>
    </row>
    <row r="66" customHeight="1" spans="1:64">
      <c r="A66" s="1" t="s">
        <v>125</v>
      </c>
      <c r="B66" s="33">
        <v>10059630</v>
      </c>
      <c r="C66" s="3">
        <v>302</v>
      </c>
      <c r="L66" s="5">
        <f>E66+F66+H66+I66+J66+G66+K66</f>
        <v>0</v>
      </c>
      <c r="M66" s="3" t="s">
        <v>136</v>
      </c>
      <c r="N66" s="3">
        <v>980</v>
      </c>
      <c r="P66" s="3">
        <v>5990</v>
      </c>
      <c r="T66" s="6">
        <v>730</v>
      </c>
      <c r="U66" s="7">
        <f>N66+O66+P66+Q66+S66+R66+T66</f>
        <v>7700</v>
      </c>
      <c r="AD66" s="9">
        <f>W66+X66+Y66+Z66+AA66+AB66+AC66</f>
        <v>0</v>
      </c>
      <c r="AF66" s="34"/>
      <c r="AG66" s="34"/>
      <c r="AH66" s="34"/>
      <c r="AN66" s="9">
        <f>AG66+AH66+AI66+AJ66+AK66+AL66+AM66</f>
        <v>0</v>
      </c>
      <c r="AT66" s="11">
        <v>100</v>
      </c>
      <c r="AV66" s="64">
        <f>L66+U66+AD66</f>
        <v>7700</v>
      </c>
      <c r="AW66" s="73">
        <f>AT66+AV66+AU66</f>
        <v>7800</v>
      </c>
      <c r="AY66" s="74">
        <f>AZ66+BA66+BB66+BC66+BD66+BE66</f>
        <v>18060</v>
      </c>
      <c r="BA66" s="15">
        <v>7800</v>
      </c>
      <c r="BE66" s="17">
        <f>1860+8400</f>
        <v>10260</v>
      </c>
      <c r="BL66" s="18">
        <v>7</v>
      </c>
    </row>
    <row r="67" customHeight="1" spans="1:65">
      <c r="A67" s="1" t="s">
        <v>125</v>
      </c>
      <c r="B67" s="33">
        <v>10059631</v>
      </c>
      <c r="C67" s="3" t="s">
        <v>70</v>
      </c>
      <c r="D67" s="34" t="s">
        <v>137</v>
      </c>
      <c r="E67" s="3">
        <v>1880</v>
      </c>
      <c r="G67" s="3">
        <v>8990</v>
      </c>
      <c r="I67" s="3">
        <v>714</v>
      </c>
      <c r="K67" s="4">
        <f>14500-12369</f>
        <v>2131</v>
      </c>
      <c r="L67" s="5">
        <f>E67+F67+H67+I67+J67+G67+K67</f>
        <v>13715</v>
      </c>
      <c r="U67" s="7">
        <f>N67+O67+P67+Q67+S67+R67+T67</f>
        <v>0</v>
      </c>
      <c r="AD67" s="9">
        <f>W67+X67+Y67+Z67+AA67+AB67+AC67</f>
        <v>0</v>
      </c>
      <c r="AF67" s="34"/>
      <c r="AG67" s="34"/>
      <c r="AH67" s="34"/>
      <c r="AN67" s="9">
        <f>AG67+AH67+AI67+AJ67+AK67+AL67+AM67</f>
        <v>0</v>
      </c>
      <c r="AT67" s="11">
        <f>100+636+49</f>
        <v>785</v>
      </c>
      <c r="AV67" s="64">
        <f>L67+U67+AD67</f>
        <v>13715</v>
      </c>
      <c r="AW67" s="73">
        <f>AT67+AV67+AU67</f>
        <v>14500</v>
      </c>
      <c r="AY67" s="74">
        <f>AZ67+BA67+BB67+BC67+BD67+BE67</f>
        <v>14500</v>
      </c>
      <c r="BA67" s="15">
        <v>14500</v>
      </c>
      <c r="BL67" s="18">
        <v>4</v>
      </c>
      <c r="BM67" s="90" t="s">
        <v>138</v>
      </c>
    </row>
    <row r="68" customHeight="1" spans="1:65">
      <c r="A68" s="1" t="s">
        <v>125</v>
      </c>
      <c r="B68" s="33">
        <v>10059632</v>
      </c>
      <c r="C68" s="34" t="s">
        <v>54</v>
      </c>
      <c r="D68" s="3" t="s">
        <v>51</v>
      </c>
      <c r="E68" s="3">
        <v>2180</v>
      </c>
      <c r="I68" s="3">
        <v>11448</v>
      </c>
      <c r="K68" s="4">
        <f>17000-14652</f>
        <v>2348</v>
      </c>
      <c r="L68" s="5">
        <f>E68+F68+H68+I68+J68+G68+K68</f>
        <v>15976</v>
      </c>
      <c r="U68" s="7">
        <f>N68+O68+P68+Q68+S68+R68+T68</f>
        <v>0</v>
      </c>
      <c r="AD68" s="9">
        <f>W68+X68+Y68+Z68+AA68+AB68+AC68</f>
        <v>0</v>
      </c>
      <c r="AF68" s="34"/>
      <c r="AG68" s="34"/>
      <c r="AH68" s="34"/>
      <c r="AN68" s="9">
        <f>AG68+AH68+AI68+AJ68+AK68+AL68+AM68</f>
        <v>0</v>
      </c>
      <c r="AT68" s="11">
        <f>100+845+30+49</f>
        <v>1024</v>
      </c>
      <c r="AV68" s="64">
        <f>L68+U68+AD68</f>
        <v>15976</v>
      </c>
      <c r="AW68" s="73">
        <f>AT68+AV68+AU68</f>
        <v>17000</v>
      </c>
      <c r="AY68" s="74">
        <f>AZ68+BA68+BB68+BC68+BD68+BE68</f>
        <v>17000</v>
      </c>
      <c r="BA68" s="15">
        <v>17000</v>
      </c>
      <c r="BL68" s="18">
        <v>5</v>
      </c>
      <c r="BM68" s="90" t="s">
        <v>139</v>
      </c>
    </row>
    <row r="69" customHeight="1" spans="1:65">
      <c r="A69" s="1" t="s">
        <v>125</v>
      </c>
      <c r="B69" s="33">
        <v>10059633</v>
      </c>
      <c r="C69" s="34" t="s">
        <v>67</v>
      </c>
      <c r="D69" s="3" t="s">
        <v>129</v>
      </c>
      <c r="E69" s="3">
        <v>2180</v>
      </c>
      <c r="G69" s="3">
        <v>4890</v>
      </c>
      <c r="I69" s="3">
        <v>1785</v>
      </c>
      <c r="K69" s="4">
        <f>11400-9462</f>
        <v>1938</v>
      </c>
      <c r="L69" s="5">
        <f>E69+F69+H69+I69+J69+G69+K69</f>
        <v>10793</v>
      </c>
      <c r="U69" s="7">
        <f>N69+O69+P69+Q69+S69+R69+T69</f>
        <v>0</v>
      </c>
      <c r="AD69" s="9">
        <f>W69+X69+Y69+Z69+AA69+AB69+AC69</f>
        <v>0</v>
      </c>
      <c r="AF69" s="34"/>
      <c r="AG69" s="34"/>
      <c r="AH69" s="34"/>
      <c r="AN69" s="9">
        <f>AG69+AH69+AI69+AJ69+AK69+AL69+AM69</f>
        <v>0</v>
      </c>
      <c r="AT69" s="11">
        <f>100+507</f>
        <v>607</v>
      </c>
      <c r="AV69" s="64">
        <f>L69+U69+AD69</f>
        <v>10793</v>
      </c>
      <c r="AW69" s="73">
        <f>AT69+AV69+AU69</f>
        <v>11400</v>
      </c>
      <c r="AY69" s="74">
        <f>AZ69+BA69+BB69+BC69+BD69+BE69</f>
        <v>11400</v>
      </c>
      <c r="BA69" s="15">
        <v>11400</v>
      </c>
      <c r="BL69" s="18">
        <v>2</v>
      </c>
      <c r="BM69" s="90" t="s">
        <v>140</v>
      </c>
    </row>
    <row r="70" customHeight="1" spans="1:65">
      <c r="A70" s="1" t="s">
        <v>125</v>
      </c>
      <c r="B70" s="33">
        <v>10059634</v>
      </c>
      <c r="C70" s="34" t="s">
        <v>54</v>
      </c>
      <c r="D70" s="3" t="s">
        <v>115</v>
      </c>
      <c r="E70" s="3">
        <v>2180</v>
      </c>
      <c r="G70" s="3">
        <v>7980</v>
      </c>
      <c r="K70" s="4">
        <f>13200-11254</f>
        <v>1946</v>
      </c>
      <c r="L70" s="5">
        <f>E70+F70+H70+I70+J70+G70+K70</f>
        <v>12106</v>
      </c>
      <c r="U70" s="7">
        <f>N70+O70+P70+Q70+S70+R70+T70</f>
        <v>0</v>
      </c>
      <c r="AD70" s="9">
        <f>W70+X70+Y70+Z70+AA70+AB70+AC70</f>
        <v>0</v>
      </c>
      <c r="AF70" s="34"/>
      <c r="AG70" s="34"/>
      <c r="AH70" s="34"/>
      <c r="AN70" s="9">
        <f>AG70+AH70+AI70+AJ70+AK70+AL70+AM70</f>
        <v>0</v>
      </c>
      <c r="AT70" s="11">
        <f>100+845+100+49</f>
        <v>1094</v>
      </c>
      <c r="AV70" s="64">
        <f>L70+U70+AD70</f>
        <v>12106</v>
      </c>
      <c r="AW70" s="73">
        <f>AT70+AV70+AU70</f>
        <v>13200</v>
      </c>
      <c r="AY70" s="74">
        <f>AZ70+BA70+BB70+BC70+BD70+BE70</f>
        <v>13200</v>
      </c>
      <c r="AZ70" s="14">
        <v>13200</v>
      </c>
      <c r="BL70" s="18">
        <v>5</v>
      </c>
      <c r="BM70" s="90" t="s">
        <v>46</v>
      </c>
    </row>
    <row r="71" customHeight="1" spans="1:65">
      <c r="A71" s="1" t="s">
        <v>125</v>
      </c>
      <c r="B71" s="33">
        <v>10059635</v>
      </c>
      <c r="C71" s="34" t="s">
        <v>89</v>
      </c>
      <c r="D71" s="3" t="s">
        <v>141</v>
      </c>
      <c r="E71" s="3">
        <v>2180</v>
      </c>
      <c r="I71" s="3">
        <v>10812</v>
      </c>
      <c r="J71" s="3">
        <v>69</v>
      </c>
      <c r="K71" s="4">
        <f>15900-13867</f>
        <v>2033</v>
      </c>
      <c r="L71" s="5">
        <f>E71+F71+H71+I71+J71+G71+K71</f>
        <v>15094</v>
      </c>
      <c r="U71" s="7">
        <f>N71+O71+P71+Q71+S71+R71+T71</f>
        <v>0</v>
      </c>
      <c r="AD71" s="9">
        <f>W71+X71+Y71+Z71+AA71+AB71+AC71</f>
        <v>0</v>
      </c>
      <c r="AF71" s="34"/>
      <c r="AG71" s="34"/>
      <c r="AH71" s="34"/>
      <c r="AN71" s="9">
        <f>AG71+AH71+AI71+AJ71+AK71+AL71+AM71</f>
        <v>0</v>
      </c>
      <c r="AT71" s="11">
        <f>100+676+30</f>
        <v>806</v>
      </c>
      <c r="AV71" s="64">
        <f>L71+U71+AD71</f>
        <v>15094</v>
      </c>
      <c r="AW71" s="73">
        <f>AT71+AV71+AU71</f>
        <v>15900</v>
      </c>
      <c r="AY71" s="74">
        <f>AZ71+BA71+BB71+BC71+BD71+BE71</f>
        <v>15900</v>
      </c>
      <c r="BA71" s="15">
        <v>15900</v>
      </c>
      <c r="BL71" s="18">
        <v>5</v>
      </c>
      <c r="BM71" s="90" t="s">
        <v>138</v>
      </c>
    </row>
    <row r="72" customHeight="1" spans="1:65">
      <c r="A72" s="1" t="s">
        <v>125</v>
      </c>
      <c r="B72" s="33">
        <v>10059636</v>
      </c>
      <c r="C72" s="34" t="s">
        <v>84</v>
      </c>
      <c r="D72" s="3" t="s">
        <v>55</v>
      </c>
      <c r="E72" s="3">
        <v>2580</v>
      </c>
      <c r="G72" s="3">
        <v>8890</v>
      </c>
      <c r="I72" s="3">
        <v>3498</v>
      </c>
      <c r="J72" s="3">
        <f>99+129+129+169+129</f>
        <v>655</v>
      </c>
      <c r="K72" s="4">
        <f>20500-17444</f>
        <v>3056</v>
      </c>
      <c r="L72" s="5">
        <f>E72+F72+H72+I72+J72+G72+K72</f>
        <v>18679</v>
      </c>
      <c r="U72" s="7">
        <f>N72+O72+P72+Q72+S72+R72+T72</f>
        <v>0</v>
      </c>
      <c r="AD72" s="9">
        <f>W72+X72+Y72+Z72+AA72+AB72+AC72</f>
        <v>0</v>
      </c>
      <c r="AF72" s="34"/>
      <c r="AG72" s="34"/>
      <c r="AH72" s="34"/>
      <c r="AN72" s="9">
        <f>AG72+AH72+AI72+AJ72+AK72+AL72+AM72</f>
        <v>0</v>
      </c>
      <c r="AT72" s="11">
        <f>100+1521+200</f>
        <v>1821</v>
      </c>
      <c r="AV72" s="64">
        <f>L72+U72+AD72</f>
        <v>18679</v>
      </c>
      <c r="AW72" s="73">
        <f>AT72+AV72+AU72</f>
        <v>20500</v>
      </c>
      <c r="AY72" s="74">
        <f>AZ72+BA72+BB72+BC72+BD72+BE72</f>
        <v>20500</v>
      </c>
      <c r="BA72" s="15">
        <v>20500</v>
      </c>
      <c r="BL72" s="18">
        <v>7</v>
      </c>
      <c r="BM72" s="90" t="s">
        <v>83</v>
      </c>
    </row>
    <row r="73" customHeight="1" spans="1:65">
      <c r="A73" s="1" t="s">
        <v>125</v>
      </c>
      <c r="B73" s="33">
        <v>10059637</v>
      </c>
      <c r="C73" s="34" t="s">
        <v>97</v>
      </c>
      <c r="D73" s="3" t="s">
        <v>133</v>
      </c>
      <c r="E73" s="3">
        <v>2180</v>
      </c>
      <c r="G73" s="3">
        <v>17780</v>
      </c>
      <c r="K73" s="4">
        <f>24100-20547</f>
        <v>3553</v>
      </c>
      <c r="L73" s="5">
        <f>E73+F73+H73+I73+J73+G73+K73</f>
        <v>23513</v>
      </c>
      <c r="U73" s="7">
        <f>N73+O73+P73+Q73+S73+R73+T73</f>
        <v>0</v>
      </c>
      <c r="AD73" s="9">
        <f>W73+X73+Y73+Z73+AA73+AB73+AC73</f>
        <v>0</v>
      </c>
      <c r="AF73" s="34"/>
      <c r="AG73" s="34"/>
      <c r="AH73" s="34"/>
      <c r="AN73" s="9">
        <f>AG73+AH73+AI73+AJ73+AK73+AL73+AM73</f>
        <v>0</v>
      </c>
      <c r="AT73" s="11">
        <f>100+100+338+49</f>
        <v>587</v>
      </c>
      <c r="AV73" s="64">
        <f>L73+U73+AD73</f>
        <v>23513</v>
      </c>
      <c r="AW73" s="73">
        <f>AT73+AV73+AU73</f>
        <v>24100</v>
      </c>
      <c r="AX73" s="13" t="s">
        <v>142</v>
      </c>
      <c r="AY73" s="74">
        <f>AZ73+BA73+BB73+BC73+BD73+BE73</f>
        <v>24100</v>
      </c>
      <c r="BA73" s="15">
        <v>24100</v>
      </c>
      <c r="BL73" s="18">
        <v>6</v>
      </c>
      <c r="BM73" s="90" t="s">
        <v>143</v>
      </c>
    </row>
    <row r="74" customHeight="1" spans="1:65">
      <c r="A74" s="1" t="s">
        <v>125</v>
      </c>
      <c r="B74" s="33">
        <v>10059638</v>
      </c>
      <c r="C74" s="34" t="s">
        <v>59</v>
      </c>
      <c r="D74" s="3" t="s">
        <v>144</v>
      </c>
      <c r="E74" s="3">
        <v>2180</v>
      </c>
      <c r="I74" s="3">
        <v>10234</v>
      </c>
      <c r="K74" s="4">
        <f>15600-13899</f>
        <v>1701</v>
      </c>
      <c r="L74" s="5">
        <f>E74+F74+H74+I74+J74+G74+K74</f>
        <v>14115</v>
      </c>
      <c r="U74" s="7">
        <f>N74+O74+P74+Q74+S74+R74+T74</f>
        <v>0</v>
      </c>
      <c r="AD74" s="9">
        <f>W74+X74+Y74+Z74+AA74+AB74+AC74</f>
        <v>0</v>
      </c>
      <c r="AF74" s="34"/>
      <c r="AG74" s="34"/>
      <c r="AH74" s="34"/>
      <c r="AN74" s="9">
        <f>AG74+AH74+AI74+AJ74+AK74+AL74+AM74</f>
        <v>0</v>
      </c>
      <c r="AT74" s="11">
        <f>100+507+49+29+800</f>
        <v>1485</v>
      </c>
      <c r="AV74" s="64">
        <f>L74+U74+AD74</f>
        <v>14115</v>
      </c>
      <c r="AW74" s="73">
        <f>AT74+AV74+AU74</f>
        <v>15600</v>
      </c>
      <c r="AY74" s="74">
        <f>AZ74+BA74+BB74+BC74+BD74+BE74</f>
        <v>15600</v>
      </c>
      <c r="BA74" s="15">
        <v>15600</v>
      </c>
      <c r="BL74" s="18">
        <v>3</v>
      </c>
      <c r="BM74" s="90" t="s">
        <v>50</v>
      </c>
    </row>
    <row r="75" customHeight="1" spans="1:65">
      <c r="A75" s="1" t="s">
        <v>145</v>
      </c>
      <c r="B75" s="33">
        <v>10059639</v>
      </c>
      <c r="C75" s="3" t="s">
        <v>120</v>
      </c>
      <c r="D75" s="3" t="s">
        <v>146</v>
      </c>
      <c r="E75" s="3">
        <v>1880</v>
      </c>
      <c r="G75" s="3">
        <v>7990</v>
      </c>
      <c r="K75" s="4">
        <f>13870-10337</f>
        <v>3533</v>
      </c>
      <c r="L75" s="5">
        <f>E75+F75+H75+I75+J75+G75+K75</f>
        <v>13403</v>
      </c>
      <c r="U75" s="7">
        <f>N75+O75+P75+Q75+S75+R75+T75</f>
        <v>0</v>
      </c>
      <c r="AD75" s="9">
        <f>W75+X75+Y75+Z75+AA75+AB75+AC75</f>
        <v>0</v>
      </c>
      <c r="AF75" s="34"/>
      <c r="AG75" s="34"/>
      <c r="AH75" s="34"/>
      <c r="AN75" s="9">
        <f>AG75+AH75+AI75+AJ75+AK75+AL75+AM75</f>
        <v>0</v>
      </c>
      <c r="AT75" s="11">
        <f>100+318+49</f>
        <v>467</v>
      </c>
      <c r="AV75" s="64">
        <f>L75+U75+AD75</f>
        <v>13403</v>
      </c>
      <c r="AW75" s="73">
        <f>AT75+AV75+AU75</f>
        <v>13870</v>
      </c>
      <c r="AY75" s="74">
        <f>AZ75+BA75+BB75+BC75+BD75+BE75</f>
        <v>13870</v>
      </c>
      <c r="AZ75" s="14">
        <v>13870</v>
      </c>
      <c r="BL75" s="18">
        <v>6</v>
      </c>
      <c r="BM75" s="90" t="s">
        <v>83</v>
      </c>
    </row>
    <row r="76" customHeight="1" spans="1:65">
      <c r="A76" s="1" t="s">
        <v>145</v>
      </c>
      <c r="B76" s="33">
        <v>10059640</v>
      </c>
      <c r="C76" s="34" t="s">
        <v>48</v>
      </c>
      <c r="D76" s="3" t="s">
        <v>85</v>
      </c>
      <c r="E76" s="3">
        <v>1880</v>
      </c>
      <c r="I76" s="3">
        <v>7632</v>
      </c>
      <c r="J76" s="3">
        <f>345+345+50+129+168+168</f>
        <v>1205</v>
      </c>
      <c r="K76" s="4">
        <f>15260-12041-826</f>
        <v>2393</v>
      </c>
      <c r="L76" s="5">
        <f>E76+F76+H76+I76+J76+G76+K76</f>
        <v>13110</v>
      </c>
      <c r="U76" s="7">
        <f>N76+O76+P76+Q76+S76+R76+T76</f>
        <v>0</v>
      </c>
      <c r="AD76" s="9">
        <f>W76+X76+Y76+Z76+AA76+AB76+AC76</f>
        <v>0</v>
      </c>
      <c r="AF76" s="34"/>
      <c r="AG76" s="34"/>
      <c r="AH76" s="34"/>
      <c r="AN76" s="9">
        <f>AG76+AH76+AI76+AJ76+AK76+AL76+AM76</f>
        <v>0</v>
      </c>
      <c r="AT76" s="11">
        <f>100+400+795+29</f>
        <v>1324</v>
      </c>
      <c r="AU76" s="11">
        <f>398+428</f>
        <v>826</v>
      </c>
      <c r="AV76" s="64">
        <f>L76+U76+AD76</f>
        <v>13110</v>
      </c>
      <c r="AW76" s="73">
        <f>AT76+AV76+AU76</f>
        <v>15260</v>
      </c>
      <c r="AY76" s="74">
        <f>AZ76+BA76+BB76+BC76+BD76+BE76</f>
        <v>15260</v>
      </c>
      <c r="AZ76" s="14">
        <v>15260</v>
      </c>
      <c r="BL76" s="18">
        <v>5</v>
      </c>
      <c r="BM76" s="90" t="s">
        <v>72</v>
      </c>
    </row>
    <row r="77" customHeight="1" spans="1:64">
      <c r="A77" s="1" t="s">
        <v>145</v>
      </c>
      <c r="B77" s="33">
        <v>10059641</v>
      </c>
      <c r="C77" s="3">
        <v>303</v>
      </c>
      <c r="L77" s="5">
        <f>E77+F77+H77+I77+J77+G77+K77</f>
        <v>0</v>
      </c>
      <c r="M77" s="3" t="s">
        <v>53</v>
      </c>
      <c r="N77" s="3">
        <v>980</v>
      </c>
      <c r="R77" s="3">
        <v>2856</v>
      </c>
      <c r="T77" s="6">
        <v>464</v>
      </c>
      <c r="U77" s="7">
        <f>N77+O77+P77+Q77+S77+R77+T77</f>
        <v>4300</v>
      </c>
      <c r="AD77" s="9">
        <f>W77+X77+Y77+Z77+AA77+AB77+AC77</f>
        <v>0</v>
      </c>
      <c r="AF77" s="34"/>
      <c r="AG77" s="34"/>
      <c r="AH77" s="34"/>
      <c r="AN77" s="9">
        <f>AG77+AH77+AI77+AJ77+AK77+AL77+AM77</f>
        <v>0</v>
      </c>
      <c r="AT77" s="11">
        <f>100</f>
        <v>100</v>
      </c>
      <c r="AV77" s="64">
        <f>L77+U77+AD77</f>
        <v>4300</v>
      </c>
      <c r="AW77" s="73">
        <f>AT77+AV77+AU77</f>
        <v>4400</v>
      </c>
      <c r="AY77" s="74">
        <f>AZ77+BA77+BB77+BC77+BD77+BE77</f>
        <v>4400</v>
      </c>
      <c r="BA77" s="15">
        <v>4400</v>
      </c>
      <c r="BL77" s="18">
        <v>4</v>
      </c>
    </row>
    <row r="78" customHeight="1" spans="1:64">
      <c r="A78" s="1" t="s">
        <v>145</v>
      </c>
      <c r="B78" s="33">
        <v>10059642</v>
      </c>
      <c r="C78" s="3">
        <v>316</v>
      </c>
      <c r="D78" s="3" t="s">
        <v>129</v>
      </c>
      <c r="E78" s="3">
        <v>980</v>
      </c>
      <c r="I78" s="3">
        <v>2856</v>
      </c>
      <c r="K78" s="4">
        <f>5200-4413</f>
        <v>787</v>
      </c>
      <c r="L78" s="5">
        <f>E78+F78+H78+I78+J78+G78+K78</f>
        <v>4623</v>
      </c>
      <c r="U78" s="7">
        <f>N78+O78+P78+Q78+S78+R78+T78</f>
        <v>0</v>
      </c>
      <c r="AD78" s="9">
        <f>W78+X78+Y78+Z78+AA78+AB78+AC78</f>
        <v>0</v>
      </c>
      <c r="AF78" s="34"/>
      <c r="AG78" s="34"/>
      <c r="AH78" s="34"/>
      <c r="AN78" s="9">
        <f>AG78+AH78+AI78+AJ78+AK78+AL78+AM78</f>
        <v>0</v>
      </c>
      <c r="AT78" s="11">
        <f>100+477</f>
        <v>577</v>
      </c>
      <c r="AV78" s="64">
        <f>L78+U78+AD78</f>
        <v>4623</v>
      </c>
      <c r="AW78" s="73">
        <f>AT78+AV78+AU78</f>
        <v>5200</v>
      </c>
      <c r="AY78" s="74">
        <f>AZ78+BA78+BB78+BC78+BD78+BE78</f>
        <v>14896</v>
      </c>
      <c r="AZ78" s="14">
        <v>5200</v>
      </c>
      <c r="BE78" s="17">
        <v>9696</v>
      </c>
      <c r="BL78" s="18">
        <v>3</v>
      </c>
    </row>
    <row r="79" customHeight="1" spans="1:65">
      <c r="A79" s="1" t="s">
        <v>145</v>
      </c>
      <c r="B79" s="33">
        <v>10059643</v>
      </c>
      <c r="C79" s="3">
        <v>302</v>
      </c>
      <c r="D79" s="3" t="s">
        <v>85</v>
      </c>
      <c r="E79" s="3">
        <v>980</v>
      </c>
      <c r="I79" s="3">
        <v>2856</v>
      </c>
      <c r="J79" s="3">
        <f>168+129+69</f>
        <v>366</v>
      </c>
      <c r="K79" s="4">
        <f>5100-4620</f>
        <v>480</v>
      </c>
      <c r="L79" s="5">
        <f>E79+F79+H79+I79+J79+G79+K79</f>
        <v>4682</v>
      </c>
      <c r="U79" s="7">
        <f>N79+O79+P79+Q79+S79+R79+T79</f>
        <v>0</v>
      </c>
      <c r="AD79" s="9">
        <f>W79+X79+Y79+Z79+AA79+AB79+AC79</f>
        <v>0</v>
      </c>
      <c r="AF79" s="34"/>
      <c r="AG79" s="34"/>
      <c r="AH79" s="34"/>
      <c r="AN79" s="9">
        <f>AG79+AH79+AI79+AJ79+AK79+AL79+AM79</f>
        <v>0</v>
      </c>
      <c r="AT79" s="11">
        <f>100+318</f>
        <v>418</v>
      </c>
      <c r="AV79" s="64">
        <f>L79+U79+AD79</f>
        <v>4682</v>
      </c>
      <c r="AW79" s="73">
        <f>AT79+AV79+AU79</f>
        <v>5100</v>
      </c>
      <c r="AY79" s="74">
        <f>AZ79+BA79+BB79+BC79+BD79+BE79</f>
        <v>5100</v>
      </c>
      <c r="BA79" s="15">
        <v>5100</v>
      </c>
      <c r="BL79" s="18">
        <v>1</v>
      </c>
      <c r="BM79" s="90" t="s">
        <v>72</v>
      </c>
    </row>
    <row r="80" customHeight="1" spans="1:65">
      <c r="A80" s="1" t="s">
        <v>145</v>
      </c>
      <c r="B80" s="33">
        <v>10059644</v>
      </c>
      <c r="C80" s="34" t="s">
        <v>56</v>
      </c>
      <c r="D80" s="3" t="s">
        <v>129</v>
      </c>
      <c r="E80" s="3">
        <v>3180</v>
      </c>
      <c r="G80" s="3">
        <v>8890</v>
      </c>
      <c r="J80" s="3">
        <f>138+258+138</f>
        <v>534</v>
      </c>
      <c r="K80" s="4">
        <f>16400-13718</f>
        <v>2682</v>
      </c>
      <c r="L80" s="5">
        <f>E80+F80+H80+I80+J80+G80+K80</f>
        <v>15286</v>
      </c>
      <c r="U80" s="7">
        <f>N80+O80+P80+Q80+S80+R80+T80</f>
        <v>0</v>
      </c>
      <c r="AD80" s="9">
        <f>W80+X80+Y80+Z80+AA80+AB80+AC80</f>
        <v>0</v>
      </c>
      <c r="AF80" s="34"/>
      <c r="AG80" s="34"/>
      <c r="AH80" s="34"/>
      <c r="AN80" s="9">
        <f>AG80+AH80+AI80+AJ80+AK80+AL80+AM80</f>
        <v>0</v>
      </c>
      <c r="AT80" s="11">
        <f>100+1014</f>
        <v>1114</v>
      </c>
      <c r="AV80" s="64">
        <f>L80+U80+AD80</f>
        <v>15286</v>
      </c>
      <c r="AW80" s="73">
        <f>AT80+AV80+AU80</f>
        <v>16400</v>
      </c>
      <c r="AX80" s="13" t="s">
        <v>147</v>
      </c>
      <c r="AY80" s="74">
        <f>AZ80+BA80+BB80+BC80+BD80+BE80</f>
        <v>16400</v>
      </c>
      <c r="BA80" s="15">
        <v>16400</v>
      </c>
      <c r="BL80" s="18">
        <v>5</v>
      </c>
      <c r="BM80" s="90" t="s">
        <v>58</v>
      </c>
    </row>
    <row r="81" customHeight="1" spans="1:65">
      <c r="A81" s="1" t="s">
        <v>145</v>
      </c>
      <c r="B81" s="33">
        <v>10059645</v>
      </c>
      <c r="C81" s="34" t="s">
        <v>54</v>
      </c>
      <c r="D81" s="3" t="s">
        <v>148</v>
      </c>
      <c r="E81" s="3">
        <v>2180</v>
      </c>
      <c r="I81" s="3">
        <v>6201</v>
      </c>
      <c r="J81" s="3">
        <v>1161</v>
      </c>
      <c r="K81" s="4">
        <f>11500-10149</f>
        <v>1351</v>
      </c>
      <c r="L81" s="5">
        <f>E81+F81+H81+I81+J81+G81+K81</f>
        <v>10893</v>
      </c>
      <c r="U81" s="7">
        <f>N81+O81+P81+Q81+S81+R81+T81</f>
        <v>0</v>
      </c>
      <c r="AD81" s="9">
        <f>W81+X81+Y81+Z81+AA81+AB81+AC81</f>
        <v>0</v>
      </c>
      <c r="AF81" s="34"/>
      <c r="AG81" s="34"/>
      <c r="AH81" s="34"/>
      <c r="AN81" s="9">
        <f>AG81+AH81+AI81+AJ81+AK81+AL81+AM81</f>
        <v>0</v>
      </c>
      <c r="AT81" s="11">
        <f>100+507</f>
        <v>607</v>
      </c>
      <c r="AV81" s="64">
        <f>L81+U81+AD81</f>
        <v>10893</v>
      </c>
      <c r="AW81" s="73">
        <f>AT81+AV81+AU81</f>
        <v>11500</v>
      </c>
      <c r="AX81" s="75" t="s">
        <v>149</v>
      </c>
      <c r="AY81" s="74">
        <f>AZ81+BA81+BB81+BC81+BD81+BE81</f>
        <v>11900</v>
      </c>
      <c r="BB81" s="16">
        <v>11500</v>
      </c>
      <c r="BC81" s="17">
        <v>390</v>
      </c>
      <c r="BD81" s="17">
        <v>10</v>
      </c>
      <c r="BL81" s="18">
        <v>3</v>
      </c>
      <c r="BM81" s="90" t="s">
        <v>52</v>
      </c>
    </row>
    <row r="82" customHeight="1" spans="1:65">
      <c r="A82" s="1" t="s">
        <v>145</v>
      </c>
      <c r="B82" s="33">
        <v>10059646</v>
      </c>
      <c r="C82" s="34" t="s">
        <v>62</v>
      </c>
      <c r="D82" s="3" t="s">
        <v>150</v>
      </c>
      <c r="E82" s="3">
        <v>2180</v>
      </c>
      <c r="I82" s="3">
        <f>1908+1908</f>
        <v>3816</v>
      </c>
      <c r="J82" s="3">
        <f>2580+79</f>
        <v>2659</v>
      </c>
      <c r="K82" s="4">
        <f>10400-9262</f>
        <v>1138</v>
      </c>
      <c r="L82" s="5">
        <f>E82+F82+H82+I82+J82+G82+K82</f>
        <v>9793</v>
      </c>
      <c r="U82" s="7">
        <f>N82+O82+P82+Q82+S82+R82+T82</f>
        <v>0</v>
      </c>
      <c r="AD82" s="9">
        <f>W82+X82+Y82+Z82+AA82+AB82+AC82</f>
        <v>0</v>
      </c>
      <c r="AF82" s="34"/>
      <c r="AG82" s="34"/>
      <c r="AH82" s="34"/>
      <c r="AN82" s="9">
        <f>AG82+AH82+AI82+AJ82+AK82+AL82+AM82</f>
        <v>0</v>
      </c>
      <c r="AT82" s="11">
        <f>100+507</f>
        <v>607</v>
      </c>
      <c r="AV82" s="64">
        <f>L82+U82+AD82</f>
        <v>9793</v>
      </c>
      <c r="AW82" s="73">
        <f>AT82+AV82+AU82</f>
        <v>10400</v>
      </c>
      <c r="AY82" s="74">
        <f>AZ82+BA82+BB82+BC82+BD82+BE82</f>
        <v>10800</v>
      </c>
      <c r="BA82" s="15">
        <v>10400</v>
      </c>
      <c r="BC82" s="17">
        <v>390</v>
      </c>
      <c r="BD82" s="17">
        <v>10</v>
      </c>
      <c r="BL82" s="18">
        <v>2</v>
      </c>
      <c r="BM82" s="90" t="s">
        <v>50</v>
      </c>
    </row>
    <row r="83" customHeight="1" spans="1:65">
      <c r="A83" s="1" t="s">
        <v>145</v>
      </c>
      <c r="B83" s="33">
        <v>10059647</v>
      </c>
      <c r="C83" s="34" t="s">
        <v>67</v>
      </c>
      <c r="D83" s="3" t="s">
        <v>108</v>
      </c>
      <c r="E83" s="3">
        <v>2180</v>
      </c>
      <c r="G83" s="3">
        <v>4690</v>
      </c>
      <c r="K83" s="4">
        <f>8600-7506</f>
        <v>1094</v>
      </c>
      <c r="L83" s="5">
        <f>E83+F83+H83+I83+J83+G83+K83</f>
        <v>7964</v>
      </c>
      <c r="U83" s="7">
        <f>N83+O83+P83+Q83+S83+R83+T83</f>
        <v>0</v>
      </c>
      <c r="AD83" s="9">
        <f>W83+X83+Y83+Z83+AA83+AB83+AC83</f>
        <v>0</v>
      </c>
      <c r="AF83" s="34"/>
      <c r="AG83" s="34"/>
      <c r="AH83" s="34"/>
      <c r="AN83" s="9">
        <f>AG83+AH83+AI83+AJ83+AK83+AL83+AM83</f>
        <v>0</v>
      </c>
      <c r="AT83" s="11">
        <f>100+507+29</f>
        <v>636</v>
      </c>
      <c r="AV83" s="64">
        <f>L83+U83+AD83</f>
        <v>7964</v>
      </c>
      <c r="AW83" s="73">
        <f>AT83+AV83+AU83</f>
        <v>8600</v>
      </c>
      <c r="AY83" s="74">
        <f>AZ83+BA83+BB83+BC83+BD83+BE83</f>
        <v>8600</v>
      </c>
      <c r="BA83" s="15">
        <v>8600</v>
      </c>
      <c r="BL83" s="18">
        <v>4</v>
      </c>
      <c r="BM83" s="90" t="s">
        <v>50</v>
      </c>
    </row>
    <row r="84" customHeight="1" spans="1:65">
      <c r="A84" s="1" t="s">
        <v>145</v>
      </c>
      <c r="B84" s="33">
        <v>10059648</v>
      </c>
      <c r="C84" s="34" t="s">
        <v>54</v>
      </c>
      <c r="L84" s="5">
        <f>E84+F84+H84+I84+J84+G84+K84</f>
        <v>0</v>
      </c>
      <c r="M84" s="3" t="s">
        <v>151</v>
      </c>
      <c r="N84" s="3">
        <v>2180</v>
      </c>
      <c r="P84" s="3">
        <v>4890</v>
      </c>
      <c r="T84" s="6">
        <v>430</v>
      </c>
      <c r="U84" s="7">
        <f>N84+O84+P84+Q84+S84+R84+T84</f>
        <v>7500</v>
      </c>
      <c r="AD84" s="9">
        <f>W84+X84+Y84+Z84+AA84+AB84+AC84</f>
        <v>0</v>
      </c>
      <c r="AF84" s="34"/>
      <c r="AG84" s="34"/>
      <c r="AH84" s="34"/>
      <c r="AN84" s="9">
        <f>AG84+AH84+AI84+AJ84+AK84+AL84+AM84</f>
        <v>0</v>
      </c>
      <c r="AT84" s="11">
        <f>100</f>
        <v>100</v>
      </c>
      <c r="AV84" s="64">
        <f>L84+U84+AD84</f>
        <v>7500</v>
      </c>
      <c r="AW84" s="73">
        <f>AT84+AV84+AU84</f>
        <v>7600</v>
      </c>
      <c r="AY84" s="74">
        <f>AZ84+BA84+BB84+BC84+BD84+BE84</f>
        <v>7600</v>
      </c>
      <c r="BB84" s="16">
        <v>7600</v>
      </c>
      <c r="BL84" s="18">
        <v>1</v>
      </c>
      <c r="BM84" s="90" t="s">
        <v>130</v>
      </c>
    </row>
    <row r="85" customHeight="1" spans="1:65">
      <c r="A85" s="1" t="s">
        <v>145</v>
      </c>
      <c r="B85" s="33">
        <v>10059649</v>
      </c>
      <c r="C85" s="34" t="s">
        <v>65</v>
      </c>
      <c r="L85" s="5">
        <f>E85+F85+H85+I85+J85+G85+K85</f>
        <v>0</v>
      </c>
      <c r="M85" s="3" t="s">
        <v>152</v>
      </c>
      <c r="N85" s="3">
        <v>2180</v>
      </c>
      <c r="P85" s="3">
        <v>14080</v>
      </c>
      <c r="S85" s="3">
        <v>414</v>
      </c>
      <c r="T85" s="6">
        <v>3514</v>
      </c>
      <c r="U85" s="7">
        <f>N85+O85+P85+Q85+S85+R85+T85</f>
        <v>20188</v>
      </c>
      <c r="AD85" s="9">
        <f>W85+X85+Y85+Z85+AA85+AB85+AC85</f>
        <v>0</v>
      </c>
      <c r="AF85" s="34"/>
      <c r="AG85" s="34"/>
      <c r="AH85" s="34"/>
      <c r="AN85" s="9">
        <f>AG85+AH85+AI85+AJ85+AK85+AL85+AM85</f>
        <v>0</v>
      </c>
      <c r="AT85" s="11">
        <f>100+1014+98</f>
        <v>1212</v>
      </c>
      <c r="AV85" s="64">
        <f>L85+U85+AD85</f>
        <v>20188</v>
      </c>
      <c r="AW85" s="73">
        <f>AT85+AV85+AU85</f>
        <v>21400</v>
      </c>
      <c r="AY85" s="74">
        <f>AZ85+BA85+BB85+BC85+BD85+BE85</f>
        <v>21400</v>
      </c>
      <c r="BA85" s="15">
        <v>21400</v>
      </c>
      <c r="BL85" s="18">
        <v>7</v>
      </c>
      <c r="BM85" s="90" t="s">
        <v>153</v>
      </c>
    </row>
    <row r="86" customHeight="1" spans="1:65">
      <c r="A86" s="1" t="s">
        <v>154</v>
      </c>
      <c r="B86" s="33">
        <v>10059650</v>
      </c>
      <c r="C86" s="34" t="s">
        <v>62</v>
      </c>
      <c r="D86" s="34" t="s">
        <v>155</v>
      </c>
      <c r="E86" s="3">
        <v>2180</v>
      </c>
      <c r="G86" s="3">
        <v>3290</v>
      </c>
      <c r="I86" s="3">
        <v>7632</v>
      </c>
      <c r="K86" s="4">
        <f>17600-14294</f>
        <v>3306</v>
      </c>
      <c r="L86" s="5">
        <f>E86+F86+H86+I86+J86+G86+K86</f>
        <v>16408</v>
      </c>
      <c r="U86" s="7">
        <f>N86+O86+P86+Q86+S86+R86+T86</f>
        <v>0</v>
      </c>
      <c r="AD86" s="9">
        <f>W86+X86+Y86+Z86+AA86+AB86+AC86</f>
        <v>0</v>
      </c>
      <c r="AF86" s="34"/>
      <c r="AG86" s="34"/>
      <c r="AH86" s="34"/>
      <c r="AN86" s="9">
        <f>AG86+AH86+AI86+AJ86+AK86+AL86+AM86</f>
        <v>0</v>
      </c>
      <c r="AT86" s="11">
        <f>100+1014+49+29</f>
        <v>1192</v>
      </c>
      <c r="AV86" s="64">
        <f>L86+U86+AD86</f>
        <v>16408</v>
      </c>
      <c r="AW86" s="73">
        <f>AT86+AV86+AU86</f>
        <v>17600</v>
      </c>
      <c r="AY86" s="74">
        <f>AZ86+BA86+BB86+BC86+BD86+BE86</f>
        <v>17600</v>
      </c>
      <c r="BA86" s="15">
        <v>17600</v>
      </c>
      <c r="BL86" s="18">
        <v>10</v>
      </c>
      <c r="BM86" s="90" t="s">
        <v>52</v>
      </c>
    </row>
    <row r="87" customHeight="1" spans="1:64">
      <c r="A87" s="1" t="s">
        <v>154</v>
      </c>
      <c r="B87" s="33">
        <v>10059651</v>
      </c>
      <c r="C87" s="34" t="s">
        <v>107</v>
      </c>
      <c r="D87" s="34" t="s">
        <v>156</v>
      </c>
      <c r="E87" s="3">
        <v>1299</v>
      </c>
      <c r="I87" s="3">
        <f>2856+714</f>
        <v>3570</v>
      </c>
      <c r="J87" s="3">
        <f>168+129+99</f>
        <v>396</v>
      </c>
      <c r="K87" s="4">
        <f>6700-5505</f>
        <v>1195</v>
      </c>
      <c r="L87" s="5">
        <f>E87+F87+H87+I87+J87+G87+K87</f>
        <v>6460</v>
      </c>
      <c r="U87" s="7">
        <f>N87+O87+P87+Q87+S87+R87+T87</f>
        <v>0</v>
      </c>
      <c r="AD87" s="9">
        <f>W87+X87+Y87+Z87+AA87+AB87+AC87</f>
        <v>0</v>
      </c>
      <c r="AF87" s="34"/>
      <c r="AG87" s="34"/>
      <c r="AH87" s="34"/>
      <c r="AN87" s="9">
        <f>AG87+AH87+AI87+AJ87+AK87+AL87+AM87</f>
        <v>0</v>
      </c>
      <c r="AT87" s="11">
        <f>100+70+40+30</f>
        <v>240</v>
      </c>
      <c r="AV87" s="64">
        <f>L87+U87+AD87</f>
        <v>6460</v>
      </c>
      <c r="AW87" s="73">
        <f>AT87+AV87+AU87</f>
        <v>6700</v>
      </c>
      <c r="AY87" s="74">
        <f>AZ87+BA87+BB87+BC87+BD87+BE87</f>
        <v>6700</v>
      </c>
      <c r="BA87" s="15">
        <v>6700</v>
      </c>
      <c r="BL87" s="18">
        <v>9</v>
      </c>
    </row>
    <row r="88" customHeight="1" spans="1:64">
      <c r="A88" s="1" t="s">
        <v>154</v>
      </c>
      <c r="B88" s="33">
        <v>10059652</v>
      </c>
      <c r="C88" s="3" t="s">
        <v>44</v>
      </c>
      <c r="D88" s="34" t="s">
        <v>157</v>
      </c>
      <c r="E88" s="3">
        <v>1880</v>
      </c>
      <c r="G88" s="3">
        <v>11800</v>
      </c>
      <c r="K88" s="4">
        <f>16400-14624</f>
        <v>1776</v>
      </c>
      <c r="L88" s="5">
        <f>E88+F88+H88+I88+J88+G88+K88</f>
        <v>15456</v>
      </c>
      <c r="U88" s="7">
        <f>N88+O88+P88+Q88+S88+R88+T88</f>
        <v>0</v>
      </c>
      <c r="AD88" s="9">
        <f>W88+X88+Y88+Z88+AA88+AB88+AC88</f>
        <v>0</v>
      </c>
      <c r="AF88" s="34"/>
      <c r="AG88" s="34"/>
      <c r="AH88" s="34"/>
      <c r="AN88" s="9">
        <f>AG88+AH88+AI88+AJ88+AK88+AL88+AM88</f>
        <v>0</v>
      </c>
      <c r="AT88" s="11">
        <f>100+795+49</f>
        <v>944</v>
      </c>
      <c r="AV88" s="64">
        <f>L88+U88+AD88</f>
        <v>15456</v>
      </c>
      <c r="AW88" s="73">
        <f>AT88+AV88+AU88</f>
        <v>16400</v>
      </c>
      <c r="AY88" s="74">
        <f>AZ88+BA88+BB88+BC88+BD88+BE88</f>
        <v>16400</v>
      </c>
      <c r="BA88" s="15">
        <v>16400</v>
      </c>
      <c r="BL88" s="18">
        <v>7</v>
      </c>
    </row>
    <row r="89" customHeight="1" spans="1:65">
      <c r="A89" s="1" t="s">
        <v>154</v>
      </c>
      <c r="B89" s="33">
        <v>10059653</v>
      </c>
      <c r="C89" s="3">
        <v>316</v>
      </c>
      <c r="D89" s="3" t="s">
        <v>129</v>
      </c>
      <c r="E89" s="3">
        <v>980</v>
      </c>
      <c r="I89" s="3">
        <v>5712</v>
      </c>
      <c r="J89" s="3">
        <v>69</v>
      </c>
      <c r="K89" s="4">
        <f>8050-7179</f>
        <v>871</v>
      </c>
      <c r="L89" s="5">
        <f>E89+F89+H89+I89+J89+G89+K89</f>
        <v>7632</v>
      </c>
      <c r="U89" s="7">
        <f>N89+O89+P89+Q89+S89+R89+T89</f>
        <v>0</v>
      </c>
      <c r="AD89" s="9">
        <f>W89+X89+Y89+Z89+AA89+AB89+AC89</f>
        <v>0</v>
      </c>
      <c r="AF89" s="34"/>
      <c r="AG89" s="34"/>
      <c r="AH89" s="34"/>
      <c r="AN89" s="9">
        <f>AG89+AH89+AI89+AJ89+AK89+AL89+AM89</f>
        <v>0</v>
      </c>
      <c r="AT89" s="11">
        <f>100+318</f>
        <v>418</v>
      </c>
      <c r="AV89" s="64">
        <f>L89+U89+AD89</f>
        <v>7632</v>
      </c>
      <c r="AW89" s="73">
        <f>AT89+AV89+AU89</f>
        <v>8050</v>
      </c>
      <c r="AY89" s="74">
        <f>AZ89+BA89+BB89+BC89+BD89+BE89</f>
        <v>8050</v>
      </c>
      <c r="BA89" s="15">
        <v>8050</v>
      </c>
      <c r="BL89" s="18">
        <v>4</v>
      </c>
      <c r="BM89" s="90" t="s">
        <v>58</v>
      </c>
    </row>
    <row r="90" customHeight="1" spans="1:65">
      <c r="A90" s="1" t="s">
        <v>154</v>
      </c>
      <c r="B90" s="33">
        <v>10059654</v>
      </c>
      <c r="C90" s="3" t="s">
        <v>70</v>
      </c>
      <c r="D90" s="3" t="s">
        <v>82</v>
      </c>
      <c r="E90" s="3">
        <v>1880</v>
      </c>
      <c r="I90" s="3">
        <f>1666+2856</f>
        <v>4522</v>
      </c>
      <c r="K90" s="4">
        <f>9000-7317</f>
        <v>1683</v>
      </c>
      <c r="L90" s="5">
        <f>E90+F90+H90+I90+J90+G90+K90</f>
        <v>8085</v>
      </c>
      <c r="U90" s="7">
        <f>N90+O90+P90+Q90+S90+R90+T90</f>
        <v>0</v>
      </c>
      <c r="AD90" s="9">
        <f>W90+X90+Y90+Z90+AA90+AB90+AC90</f>
        <v>0</v>
      </c>
      <c r="AF90" s="34"/>
      <c r="AG90" s="34"/>
      <c r="AH90" s="34"/>
      <c r="AN90" s="9">
        <f>AG90+AH90+AI90+AJ90+AK90+AL90+AM90</f>
        <v>0</v>
      </c>
      <c r="AT90" s="11">
        <f>100+338+477</f>
        <v>915</v>
      </c>
      <c r="AV90" s="64">
        <f>L90+U90+AD90</f>
        <v>8085</v>
      </c>
      <c r="AW90" s="73">
        <f>AT90+AV90+AU90</f>
        <v>9000</v>
      </c>
      <c r="AX90" s="13" t="s">
        <v>142</v>
      </c>
      <c r="AY90" s="74">
        <f>AZ90+BA90+BB90+BC90+BD90+BE90</f>
        <v>9000</v>
      </c>
      <c r="BB90" s="16">
        <v>9000</v>
      </c>
      <c r="BL90" s="18">
        <v>3</v>
      </c>
      <c r="BM90" s="90" t="s">
        <v>58</v>
      </c>
    </row>
    <row r="91" customHeight="1" spans="1:65">
      <c r="A91" s="1" t="s">
        <v>154</v>
      </c>
      <c r="B91" s="33">
        <v>10059655</v>
      </c>
      <c r="C91" s="3">
        <v>320</v>
      </c>
      <c r="D91" s="3" t="s">
        <v>119</v>
      </c>
      <c r="E91" s="3">
        <v>1299</v>
      </c>
      <c r="I91" s="3">
        <f>3816+477</f>
        <v>4293</v>
      </c>
      <c r="K91" s="4">
        <f>6900-6010</f>
        <v>890</v>
      </c>
      <c r="L91" s="5">
        <f>E91+F91+H91+I91+J91+G91+K91</f>
        <v>6482</v>
      </c>
      <c r="U91" s="7">
        <f>N91+O91+P91+Q91+S91+R91+T91</f>
        <v>0</v>
      </c>
      <c r="AD91" s="9">
        <f>W91+X91+Y91+Z91+AA91+AB91+AC91</f>
        <v>0</v>
      </c>
      <c r="AF91" s="34"/>
      <c r="AG91" s="34"/>
      <c r="AH91" s="34"/>
      <c r="AN91" s="9">
        <f>AG91+AH91+AI91+AJ91+AK91+AL91+AM91</f>
        <v>0</v>
      </c>
      <c r="AT91" s="11">
        <f>100+318</f>
        <v>418</v>
      </c>
      <c r="AV91" s="64">
        <f>L91+U91+AD91</f>
        <v>6482</v>
      </c>
      <c r="AW91" s="73">
        <f>AT91+AV91+AU91</f>
        <v>6900</v>
      </c>
      <c r="AY91" s="74">
        <f>AZ91+BA91+BB91+BC91+BD91+BE91</f>
        <v>6900</v>
      </c>
      <c r="BA91" s="15">
        <v>6900</v>
      </c>
      <c r="BL91" s="18">
        <v>3</v>
      </c>
      <c r="BM91" s="90" t="s">
        <v>52</v>
      </c>
    </row>
    <row r="92" customHeight="1" spans="1:65">
      <c r="A92" s="1" t="s">
        <v>154</v>
      </c>
      <c r="B92" s="33">
        <v>10059656</v>
      </c>
      <c r="C92" s="3">
        <v>309</v>
      </c>
      <c r="D92" s="3" t="s">
        <v>122</v>
      </c>
      <c r="E92" s="3">
        <v>980</v>
      </c>
      <c r="G92" s="3">
        <v>6580</v>
      </c>
      <c r="K92" s="4">
        <f>10580-8336</f>
        <v>2244</v>
      </c>
      <c r="L92" s="5">
        <f>E92+F92+H92+I92+J92+G92+K92</f>
        <v>9804</v>
      </c>
      <c r="U92" s="7">
        <f>N92+O92+P92+Q92+S92+R92+T92</f>
        <v>0</v>
      </c>
      <c r="AD92" s="9">
        <f>W92+X92+Y92+Z92+AA92+AB92+AC92</f>
        <v>0</v>
      </c>
      <c r="AF92" s="34"/>
      <c r="AG92" s="34"/>
      <c r="AH92" s="34"/>
      <c r="AN92" s="9">
        <f>AG92+AH92+AI92+AJ92+AK92+AL92+AM92</f>
        <v>0</v>
      </c>
      <c r="AT92" s="11">
        <f>100+636+40</f>
        <v>776</v>
      </c>
      <c r="AV92" s="64">
        <f>L92+U92+AD92</f>
        <v>9804</v>
      </c>
      <c r="AW92" s="73">
        <f>AT92+AV92+AU92</f>
        <v>10580</v>
      </c>
      <c r="AY92" s="74">
        <f>AZ92+BA92+BB92+BC92+BD92+BE92</f>
        <v>10580</v>
      </c>
      <c r="AZ92" s="14">
        <v>10580</v>
      </c>
      <c r="BL92" s="18">
        <v>4</v>
      </c>
      <c r="BM92" s="90" t="s">
        <v>52</v>
      </c>
    </row>
    <row r="93" customHeight="1" spans="1:65">
      <c r="A93" s="1" t="s">
        <v>154</v>
      </c>
      <c r="B93" s="33">
        <v>10059657</v>
      </c>
      <c r="C93" s="3">
        <v>312</v>
      </c>
      <c r="L93" s="5">
        <f>E93+F93+H93+I93+J93+G93+K93</f>
        <v>0</v>
      </c>
      <c r="M93" s="3" t="s">
        <v>158</v>
      </c>
      <c r="N93" s="3">
        <v>980</v>
      </c>
      <c r="P93" s="3">
        <v>6580</v>
      </c>
      <c r="T93" s="6">
        <v>1463</v>
      </c>
      <c r="U93" s="7">
        <f>N93+O93+P93+Q93+S93+R93+T93</f>
        <v>9023</v>
      </c>
      <c r="AD93" s="9">
        <f>W93+X93+Y93+Z93+AA93+AB93+AC93</f>
        <v>0</v>
      </c>
      <c r="AF93" s="34"/>
      <c r="AG93" s="34"/>
      <c r="AH93" s="34"/>
      <c r="AN93" s="9">
        <f>AG93+AH93+AI93+AJ93+AK93+AL93+AM93</f>
        <v>0</v>
      </c>
      <c r="AT93" s="11">
        <f>100+477+60+40</f>
        <v>677</v>
      </c>
      <c r="AV93" s="64">
        <f>L93+U93+AD93</f>
        <v>9023</v>
      </c>
      <c r="AW93" s="73">
        <f>AT93+AV93+AU93</f>
        <v>9700</v>
      </c>
      <c r="AY93" s="74">
        <f>AZ93+BA93+BB93+BC93+BD93+BE93</f>
        <v>9700</v>
      </c>
      <c r="BA93" s="15">
        <v>9700</v>
      </c>
      <c r="BL93" s="18">
        <v>3</v>
      </c>
      <c r="BM93" s="90" t="s">
        <v>128</v>
      </c>
    </row>
    <row r="94" customHeight="1" spans="1:65">
      <c r="A94" s="1" t="s">
        <v>154</v>
      </c>
      <c r="B94" s="33">
        <v>10059658</v>
      </c>
      <c r="C94" s="3">
        <v>311</v>
      </c>
      <c r="D94" s="3" t="s">
        <v>81</v>
      </c>
      <c r="E94" s="3">
        <v>980</v>
      </c>
      <c r="I94" s="3">
        <v>3816</v>
      </c>
      <c r="K94" s="4">
        <f>6480-5422</f>
        <v>1058</v>
      </c>
      <c r="L94" s="5">
        <f>E94+F94+H94+I94+J94+G94+K94</f>
        <v>5854</v>
      </c>
      <c r="U94" s="7">
        <f>N94+O94+P94+Q94+S94+R94+T94</f>
        <v>0</v>
      </c>
      <c r="AD94" s="9">
        <f>W94+X94+Y94+Z94+AA94+AB94+AC94</f>
        <v>0</v>
      </c>
      <c r="AF94" s="34"/>
      <c r="AG94" s="34"/>
      <c r="AH94" s="34"/>
      <c r="AN94" s="9">
        <f>AG94+AH94+AI94+AJ94+AK94+AL94+AM94</f>
        <v>0</v>
      </c>
      <c r="AT94" s="11">
        <f>100+477+49</f>
        <v>626</v>
      </c>
      <c r="AV94" s="64">
        <f>L94+U94+AD94</f>
        <v>5854</v>
      </c>
      <c r="AW94" s="73">
        <f>AT94+AV94+AU94</f>
        <v>6480</v>
      </c>
      <c r="AY94" s="74">
        <f>AZ94+BA94+BB94+BC94+BD94+BE94</f>
        <v>6480</v>
      </c>
      <c r="BA94" s="15">
        <v>6480</v>
      </c>
      <c r="BL94" s="18">
        <v>3</v>
      </c>
      <c r="BM94" s="90" t="s">
        <v>58</v>
      </c>
    </row>
    <row r="95" customHeight="1" spans="1:64">
      <c r="A95" s="1" t="s">
        <v>154</v>
      </c>
      <c r="B95" s="33">
        <v>10059659</v>
      </c>
      <c r="C95" s="34" t="s">
        <v>159</v>
      </c>
      <c r="D95" s="3" t="s">
        <v>137</v>
      </c>
      <c r="E95" s="3">
        <v>1880</v>
      </c>
      <c r="I95" s="3">
        <f>636+3816</f>
        <v>4452</v>
      </c>
      <c r="J95" s="3">
        <f>258</f>
        <v>258</v>
      </c>
      <c r="K95" s="4">
        <f>8690-7316</f>
        <v>1374</v>
      </c>
      <c r="L95" s="5">
        <f>E95+F95+H95+I95+J95+G95+K95</f>
        <v>7964</v>
      </c>
      <c r="U95" s="7">
        <f>N95+O95+P95+Q95+S95+R95+T95</f>
        <v>0</v>
      </c>
      <c r="AD95" s="9">
        <f>W95+X95+Y95+Z95+AA95+AB95+AC95</f>
        <v>0</v>
      </c>
      <c r="AF95" s="34"/>
      <c r="AG95" s="34"/>
      <c r="AH95" s="34"/>
      <c r="AN95" s="9">
        <f>AG95+AH95+AI95+AJ95+AK95+AL95+AM95</f>
        <v>0</v>
      </c>
      <c r="AT95" s="11">
        <f>100+477+49+100</f>
        <v>726</v>
      </c>
      <c r="AV95" s="64">
        <f>L95+U95+AD95</f>
        <v>7964</v>
      </c>
      <c r="AW95" s="73">
        <f>AT95+AV95+AU95</f>
        <v>8690</v>
      </c>
      <c r="AY95" s="74">
        <f>AZ95+BA95+BB95+BC95+BD95+BE95</f>
        <v>8690</v>
      </c>
      <c r="AZ95" s="14">
        <v>8690</v>
      </c>
      <c r="BL95" s="18">
        <v>2</v>
      </c>
    </row>
    <row r="96" customHeight="1" spans="1:65">
      <c r="A96" s="1" t="s">
        <v>154</v>
      </c>
      <c r="B96" s="33">
        <v>10059660</v>
      </c>
      <c r="C96" s="34" t="s">
        <v>48</v>
      </c>
      <c r="D96" s="34" t="s">
        <v>160</v>
      </c>
      <c r="E96" s="3">
        <v>1880</v>
      </c>
      <c r="I96" s="3">
        <v>5712</v>
      </c>
      <c r="J96" s="3">
        <v>516</v>
      </c>
      <c r="K96" s="4">
        <f>11300-9639</f>
        <v>1661</v>
      </c>
      <c r="L96" s="5">
        <f>E96+F96+H96+I96+J96+G96+K96</f>
        <v>9769</v>
      </c>
      <c r="U96" s="7">
        <f>N96+O96+P96+Q96+S96+R96+T96</f>
        <v>0</v>
      </c>
      <c r="AD96" s="9">
        <f>W96+X96+Y96+Z96+AA96+AB96+AC96</f>
        <v>0</v>
      </c>
      <c r="AF96" s="34"/>
      <c r="AG96" s="34"/>
      <c r="AH96" s="34"/>
      <c r="AN96" s="9">
        <f>AG96+AH96+AI96+AJ96+AK96+AL96+AM96</f>
        <v>0</v>
      </c>
      <c r="AT96" s="11">
        <f>100+110+49+1272</f>
        <v>1531</v>
      </c>
      <c r="AV96" s="64">
        <f>L96+U96+AD96</f>
        <v>9769</v>
      </c>
      <c r="AW96" s="73">
        <f>AT96+AV96+AU96</f>
        <v>11300</v>
      </c>
      <c r="AY96" s="74">
        <f>AZ96+BA96+BB96+BC96+BD96+BE96</f>
        <v>11300</v>
      </c>
      <c r="BA96" s="15">
        <v>11300</v>
      </c>
      <c r="BL96" s="18">
        <v>8</v>
      </c>
      <c r="BM96" s="90" t="s">
        <v>52</v>
      </c>
    </row>
    <row r="97" customHeight="1" spans="1:65">
      <c r="A97" s="1" t="s">
        <v>154</v>
      </c>
      <c r="B97" s="33">
        <v>10059661</v>
      </c>
      <c r="C97" s="3">
        <v>301</v>
      </c>
      <c r="D97" s="3" t="s">
        <v>112</v>
      </c>
      <c r="E97" s="3">
        <v>1299</v>
      </c>
      <c r="I97" s="3">
        <f>2856+1309</f>
        <v>4165</v>
      </c>
      <c r="K97" s="4">
        <f>7200-6141</f>
        <v>1059</v>
      </c>
      <c r="L97" s="5">
        <f>E97+F97+H97+I97+J97+G97+K97</f>
        <v>6523</v>
      </c>
      <c r="U97" s="7">
        <f>N97+O97+P97+Q97+S97+R97+T97</f>
        <v>0</v>
      </c>
      <c r="AD97" s="9">
        <f>W97+X97+Y97+Z97+AA97+AB97+AC97</f>
        <v>0</v>
      </c>
      <c r="AF97" s="34"/>
      <c r="AG97" s="34"/>
      <c r="AH97" s="34"/>
      <c r="AN97" s="9">
        <f>AG97+AH97+AI97+AJ97+AK97+AL97+AM97</f>
        <v>0</v>
      </c>
      <c r="AT97" s="11">
        <f>100+477+100</f>
        <v>677</v>
      </c>
      <c r="AV97" s="64">
        <f>L97+U97+AD97</f>
        <v>6523</v>
      </c>
      <c r="AW97" s="73">
        <f>AT97+AV97+AU97</f>
        <v>7200</v>
      </c>
      <c r="AY97" s="74">
        <f>AZ97+BA97+BB97+BC97+BD97+BE97</f>
        <v>7200</v>
      </c>
      <c r="BA97" s="15">
        <v>7200</v>
      </c>
      <c r="BL97" s="18">
        <v>3</v>
      </c>
      <c r="BM97" s="90" t="s">
        <v>139</v>
      </c>
    </row>
    <row r="98" customHeight="1" spans="1:64">
      <c r="A98" s="1" t="s">
        <v>154</v>
      </c>
      <c r="B98" s="33">
        <v>10059662</v>
      </c>
      <c r="C98" s="3">
        <v>310</v>
      </c>
      <c r="L98" s="5">
        <f>E98+F98+H98+I98+J98+G98+K98</f>
        <v>0</v>
      </c>
      <c r="M98" s="3" t="s">
        <v>105</v>
      </c>
      <c r="N98" s="3">
        <v>980</v>
      </c>
      <c r="S98" s="3">
        <v>2004</v>
      </c>
      <c r="T98" s="6">
        <v>820</v>
      </c>
      <c r="U98" s="7">
        <f>N98+O98+P98+Q98+S98+R98+T98</f>
        <v>3804</v>
      </c>
      <c r="AD98" s="9">
        <f>W98+X98+Y98+Z98+AA98+AB98+AC98</f>
        <v>0</v>
      </c>
      <c r="AF98" s="34"/>
      <c r="AG98" s="34"/>
      <c r="AH98" s="34"/>
      <c r="AN98" s="9">
        <f>AG98+AH98+AI98+AJ98+AK98+AL98+AM98</f>
        <v>0</v>
      </c>
      <c r="AT98" s="11">
        <v>100</v>
      </c>
      <c r="AU98" s="11">
        <v>796</v>
      </c>
      <c r="AV98" s="64">
        <f>L98+U98+AD98</f>
        <v>3804</v>
      </c>
      <c r="AW98" s="73">
        <f>AT98+AV98+AU98</f>
        <v>4700</v>
      </c>
      <c r="AY98" s="74">
        <f>AZ98+BA98+BB98+BC98+BD98+BE98</f>
        <v>4700</v>
      </c>
      <c r="AZ98" s="14">
        <v>4700</v>
      </c>
      <c r="BL98" s="18">
        <v>1</v>
      </c>
    </row>
    <row r="99" customHeight="1" spans="1:65">
      <c r="A99" s="1" t="s">
        <v>154</v>
      </c>
      <c r="B99" s="33">
        <v>10059663</v>
      </c>
      <c r="C99" s="3">
        <v>307</v>
      </c>
      <c r="D99" s="3" t="s">
        <v>42</v>
      </c>
      <c r="E99" s="3">
        <v>980</v>
      </c>
      <c r="I99" s="3">
        <v>2856</v>
      </c>
      <c r="K99" s="4">
        <f>4790-4254</f>
        <v>536</v>
      </c>
      <c r="L99" s="5">
        <f>E99+F99+H99+I99+J99+G99+K99</f>
        <v>4372</v>
      </c>
      <c r="U99" s="7">
        <f>N99+O99+P99+Q99+S99+R99+T99</f>
        <v>0</v>
      </c>
      <c r="AD99" s="9">
        <f>W99+X99+Y99+Z99+AA99+AB99+AC99</f>
        <v>0</v>
      </c>
      <c r="AF99" s="34"/>
      <c r="AG99" s="34"/>
      <c r="AH99" s="34"/>
      <c r="AN99" s="9">
        <f>AG99+AH99+AI99+AJ99+AK99+AL99+AM99</f>
        <v>0</v>
      </c>
      <c r="AT99" s="11">
        <f>100+318</f>
        <v>418</v>
      </c>
      <c r="AV99" s="64">
        <f>L99+U99+AD99</f>
        <v>4372</v>
      </c>
      <c r="AW99" s="73">
        <f>AT99+AV99+AU99</f>
        <v>4790</v>
      </c>
      <c r="AY99" s="74">
        <f>AZ99+BA99+BB99+BC99+BD99+BE99</f>
        <v>4790</v>
      </c>
      <c r="BA99" s="15">
        <v>4790</v>
      </c>
      <c r="BL99" s="18">
        <v>2</v>
      </c>
      <c r="BM99" s="90" t="s">
        <v>58</v>
      </c>
    </row>
    <row r="100" customHeight="1" spans="1:65">
      <c r="A100" s="1" t="s">
        <v>154</v>
      </c>
      <c r="B100" s="33">
        <v>10059664</v>
      </c>
      <c r="C100" s="34" t="s">
        <v>97</v>
      </c>
      <c r="D100" s="3" t="s">
        <v>51</v>
      </c>
      <c r="E100" s="3">
        <v>2180</v>
      </c>
      <c r="I100" s="3">
        <v>6678</v>
      </c>
      <c r="J100" s="3">
        <f>645+69</f>
        <v>714</v>
      </c>
      <c r="K100" s="4">
        <f>12200-10917</f>
        <v>1283</v>
      </c>
      <c r="L100" s="5">
        <f>E100+F100+H100+I100+J100+G100+K100</f>
        <v>10855</v>
      </c>
      <c r="U100" s="7">
        <f>N100+O100+P100+Q100+S100+R100+T100</f>
        <v>0</v>
      </c>
      <c r="AD100" s="9">
        <f>W100+X100+Y100+Z100+AA100+AB100+AC100</f>
        <v>0</v>
      </c>
      <c r="AF100" s="34"/>
      <c r="AG100" s="34"/>
      <c r="AH100" s="34"/>
      <c r="AN100" s="9">
        <f>AG100+AH100+AI100+AJ100+AK100+AL100+AM100</f>
        <v>0</v>
      </c>
      <c r="AT100" s="11">
        <f>100+520+676+49</f>
        <v>1345</v>
      </c>
      <c r="AV100" s="64">
        <f>L100+U100+AD100</f>
        <v>10855</v>
      </c>
      <c r="AW100" s="73">
        <f>AT100+AV100+AU100</f>
        <v>12200</v>
      </c>
      <c r="AY100" s="74">
        <f>AZ100+BA100+BB100+BC100+BD100+BE100</f>
        <v>12200</v>
      </c>
      <c r="BA100" s="15">
        <v>12200</v>
      </c>
      <c r="BL100" s="18">
        <v>4</v>
      </c>
      <c r="BM100" s="90" t="s">
        <v>61</v>
      </c>
    </row>
    <row r="101" customHeight="1" spans="1:65">
      <c r="A101" s="1" t="s">
        <v>154</v>
      </c>
      <c r="B101" s="33">
        <v>10059665</v>
      </c>
      <c r="C101" s="34" t="s">
        <v>67</v>
      </c>
      <c r="D101" s="3" t="s">
        <v>122</v>
      </c>
      <c r="E101" s="3">
        <v>2180</v>
      </c>
      <c r="I101" s="3">
        <f>6360+834</f>
        <v>7194</v>
      </c>
      <c r="K101" s="4">
        <f>11600-10150</f>
        <v>1450</v>
      </c>
      <c r="L101" s="5">
        <f>E101+F101+H101+I101+J101+G101+K101</f>
        <v>10824</v>
      </c>
      <c r="U101" s="7">
        <f>N101+O101+P101+Q101+S101+R101+T101</f>
        <v>0</v>
      </c>
      <c r="AD101" s="9">
        <f>W101+X101+Y101+Z101+AA101+AB101+AC101</f>
        <v>0</v>
      </c>
      <c r="AF101" s="34"/>
      <c r="AG101" s="34"/>
      <c r="AH101" s="34"/>
      <c r="AN101" s="9">
        <f>AG101+AH101+AI101+AJ101+AK101+AL101+AM101</f>
        <v>0</v>
      </c>
      <c r="AT101" s="11">
        <f>100+676</f>
        <v>776</v>
      </c>
      <c r="AV101" s="64">
        <f>L101+U101+AD101</f>
        <v>10824</v>
      </c>
      <c r="AW101" s="73">
        <f>AT101+AV101+AU101</f>
        <v>11600</v>
      </c>
      <c r="AY101" s="74">
        <f>AZ101+BA101+BB101+BC101+BD101+BE101</f>
        <v>11600</v>
      </c>
      <c r="BA101" s="15">
        <v>11600</v>
      </c>
      <c r="BL101" s="18">
        <v>3</v>
      </c>
      <c r="BM101" s="90" t="s">
        <v>52</v>
      </c>
    </row>
    <row r="102" customHeight="1" spans="1:65">
      <c r="A102" s="1" t="s">
        <v>154</v>
      </c>
      <c r="B102" s="33">
        <v>10059666</v>
      </c>
      <c r="C102" s="3">
        <v>318</v>
      </c>
      <c r="L102" s="5">
        <f>E102+F102+H102+I102+J102+G102+K102</f>
        <v>0</v>
      </c>
      <c r="M102" s="3" t="s">
        <v>161</v>
      </c>
      <c r="N102" s="3">
        <v>880</v>
      </c>
      <c r="P102" s="3">
        <v>4890</v>
      </c>
      <c r="U102" s="7">
        <f>N102+O102+P102+Q102+S102+R102+T102</f>
        <v>5770</v>
      </c>
      <c r="AD102" s="9">
        <f>W102+X102+Y102+Z102+AA102+AB102+AC102</f>
        <v>0</v>
      </c>
      <c r="AF102" s="34"/>
      <c r="AG102" s="34"/>
      <c r="AH102" s="34"/>
      <c r="AN102" s="9">
        <f>AG102+AH102+AI102+AJ102+AK102+AL102+AM102</f>
        <v>0</v>
      </c>
      <c r="AT102" s="11">
        <v>100</v>
      </c>
      <c r="AV102" s="64">
        <f>L102+U102+AD102</f>
        <v>5770</v>
      </c>
      <c r="AW102" s="73">
        <f>AT102+AV102+AU102</f>
        <v>5870</v>
      </c>
      <c r="AY102" s="74">
        <f>AZ102+BA102+BB102+BC102+BD102+BE102</f>
        <v>5870</v>
      </c>
      <c r="BB102" s="16">
        <v>5870</v>
      </c>
      <c r="BL102" s="18">
        <v>1</v>
      </c>
      <c r="BM102" s="90" t="s">
        <v>58</v>
      </c>
    </row>
    <row r="103" customHeight="1" spans="1:65">
      <c r="A103" s="1" t="s">
        <v>154</v>
      </c>
      <c r="B103" s="33">
        <v>10059667</v>
      </c>
      <c r="C103" s="34" t="s">
        <v>84</v>
      </c>
      <c r="D103" s="34" t="s">
        <v>162</v>
      </c>
      <c r="E103" s="3">
        <v>2580</v>
      </c>
      <c r="I103" s="3">
        <v>15900</v>
      </c>
      <c r="J103" s="3">
        <f>20+258+129+129</f>
        <v>536</v>
      </c>
      <c r="K103" s="4">
        <f>26700-21783</f>
        <v>4917</v>
      </c>
      <c r="L103" s="5">
        <f>E103+F103+H103+I103+J103+G103+K103</f>
        <v>23933</v>
      </c>
      <c r="U103" s="7">
        <f>N103+O103+P103+Q103+S103+R103+T103</f>
        <v>0</v>
      </c>
      <c r="AD103" s="9">
        <f>W103+X103+Y103+Z103+AA103+AB103+AC103</f>
        <v>0</v>
      </c>
      <c r="AF103" s="34"/>
      <c r="AG103" s="34"/>
      <c r="AH103" s="34"/>
      <c r="AN103" s="9">
        <f>AG103+AH103+AI103+AJ103+AK103+AL103+AM103</f>
        <v>0</v>
      </c>
      <c r="AT103" s="11">
        <f>100+2028+29+500+110</f>
        <v>2767</v>
      </c>
      <c r="AV103" s="64">
        <f>L103+U103+AD103</f>
        <v>23933</v>
      </c>
      <c r="AW103" s="73">
        <f>AT103+AV103+AU103</f>
        <v>26700</v>
      </c>
      <c r="AY103" s="74">
        <f>AZ103+BA103+BB103+BC103+BD103+BE103</f>
        <v>26700</v>
      </c>
      <c r="AZ103" s="14">
        <v>26700</v>
      </c>
      <c r="BL103" s="18">
        <v>8</v>
      </c>
      <c r="BM103" s="90" t="s">
        <v>52</v>
      </c>
    </row>
    <row r="104" customHeight="1" spans="1:65">
      <c r="A104" s="1" t="s">
        <v>154</v>
      </c>
      <c r="B104" s="33">
        <v>10059668</v>
      </c>
      <c r="C104" s="34" t="s">
        <v>89</v>
      </c>
      <c r="D104" s="34" t="s">
        <v>163</v>
      </c>
      <c r="E104" s="3">
        <v>2180</v>
      </c>
      <c r="G104" s="3">
        <v>9190</v>
      </c>
      <c r="I104" s="3">
        <f>1668+1668</f>
        <v>3336</v>
      </c>
      <c r="K104" s="4">
        <f>17700-15313</f>
        <v>2387</v>
      </c>
      <c r="L104" s="5">
        <f>E104+F104+H104+I104+J104+G104+K104</f>
        <v>17093</v>
      </c>
      <c r="U104" s="7">
        <f>N104+O104+P104+Q104+S104+R104+T104</f>
        <v>0</v>
      </c>
      <c r="AD104" s="9">
        <f>W104+X104+Y104+Z104+AA104+AB104+AC104</f>
        <v>0</v>
      </c>
      <c r="AF104" s="34"/>
      <c r="AG104" s="34"/>
      <c r="AH104" s="34"/>
      <c r="AN104" s="9">
        <f>AG104+AH104+AI104+AJ104+AK104+AL104+AM104</f>
        <v>0</v>
      </c>
      <c r="AT104" s="11">
        <f>100+507</f>
        <v>607</v>
      </c>
      <c r="AV104" s="64">
        <f>L104+U104+AD104</f>
        <v>17093</v>
      </c>
      <c r="AW104" s="73">
        <f>AT104+AV104+AU104</f>
        <v>17700</v>
      </c>
      <c r="AY104" s="74">
        <f>AZ104+BA104+BB104+BC104+BD104+BE104</f>
        <v>17700</v>
      </c>
      <c r="BA104" s="15">
        <v>17700</v>
      </c>
      <c r="BL104" s="18">
        <v>3</v>
      </c>
      <c r="BM104" s="90" t="s">
        <v>143</v>
      </c>
    </row>
    <row r="105" customHeight="1" spans="1:65">
      <c r="A105" s="1" t="s">
        <v>154</v>
      </c>
      <c r="B105" s="33">
        <v>10059669</v>
      </c>
      <c r="C105" s="34" t="s">
        <v>94</v>
      </c>
      <c r="D105" s="3" t="s">
        <v>164</v>
      </c>
      <c r="E105" s="3">
        <v>1680</v>
      </c>
      <c r="G105" s="3">
        <v>4690</v>
      </c>
      <c r="I105" s="3">
        <v>477</v>
      </c>
      <c r="K105" s="4">
        <f>8600-7285</f>
        <v>1315</v>
      </c>
      <c r="L105" s="5">
        <f>E105+F105+H105+I105+J105+G105+K105</f>
        <v>8162</v>
      </c>
      <c r="U105" s="7">
        <f>N105+O105+P105+Q105+S105+R105+T105</f>
        <v>0</v>
      </c>
      <c r="AD105" s="9">
        <f>W105+X105+Y105+Z105+AA105+AB105+AC105</f>
        <v>0</v>
      </c>
      <c r="AF105" s="34"/>
      <c r="AG105" s="34"/>
      <c r="AH105" s="34"/>
      <c r="AN105" s="9">
        <f>AG105+AH105+AI105+AJ105+AK105+AL105+AM105</f>
        <v>0</v>
      </c>
      <c r="AT105" s="11">
        <f>100+338</f>
        <v>438</v>
      </c>
      <c r="AV105" s="64">
        <f>L105+U105+AD105</f>
        <v>8162</v>
      </c>
      <c r="AW105" s="73">
        <f>AT105+AV105+AU105</f>
        <v>8600</v>
      </c>
      <c r="AY105" s="74">
        <f>AZ105+BA105+BB105+BC105+BD105+BE105</f>
        <v>8600</v>
      </c>
      <c r="BA105" s="15">
        <v>8600</v>
      </c>
      <c r="BL105" s="18">
        <v>2</v>
      </c>
      <c r="BM105" s="90" t="s">
        <v>92</v>
      </c>
    </row>
    <row r="106" customHeight="1" spans="1:65">
      <c r="A106" s="1" t="s">
        <v>154</v>
      </c>
      <c r="B106" s="33">
        <v>10059670</v>
      </c>
      <c r="C106" s="34" t="s">
        <v>65</v>
      </c>
      <c r="D106" s="3" t="s">
        <v>51</v>
      </c>
      <c r="E106" s="3">
        <v>2180</v>
      </c>
      <c r="I106" s="3">
        <v>7140</v>
      </c>
      <c r="J106" s="3">
        <v>258</v>
      </c>
      <c r="K106" s="4">
        <f>11700-10454</f>
        <v>1246</v>
      </c>
      <c r="L106" s="5">
        <f>E106+F106+H106+I106+J106+G106+K106</f>
        <v>10824</v>
      </c>
      <c r="U106" s="7">
        <f>N106+O106+P106+Q106+S106+R106+T106</f>
        <v>0</v>
      </c>
      <c r="AD106" s="9">
        <f>W106+X106+Y106+Z106+AA106+AB106+AC106</f>
        <v>0</v>
      </c>
      <c r="AF106" s="34"/>
      <c r="AG106" s="34"/>
      <c r="AH106" s="34"/>
      <c r="AN106" s="9">
        <f>AG106+AH106+AI106+AJ106+AK106+AL106+AM106</f>
        <v>0</v>
      </c>
      <c r="AT106" s="11">
        <f>100+100+676</f>
        <v>876</v>
      </c>
      <c r="AV106" s="64">
        <f>L106+U106+AD106</f>
        <v>10824</v>
      </c>
      <c r="AW106" s="73">
        <f>AT106+AV106+AU106</f>
        <v>11700</v>
      </c>
      <c r="AY106" s="74">
        <f>AZ106+BA106+BB106+BC106+BD106+BE106</f>
        <v>11700</v>
      </c>
      <c r="BA106" s="15">
        <v>11700</v>
      </c>
      <c r="BL106" s="18">
        <v>5</v>
      </c>
      <c r="BM106" s="90" t="s">
        <v>139</v>
      </c>
    </row>
    <row r="107" customHeight="1" spans="1:65">
      <c r="A107" s="1" t="s">
        <v>154</v>
      </c>
      <c r="B107" s="33">
        <v>10059671</v>
      </c>
      <c r="C107" s="34" t="s">
        <v>56</v>
      </c>
      <c r="D107" s="3" t="s">
        <v>51</v>
      </c>
      <c r="E107" s="3">
        <v>3180</v>
      </c>
      <c r="I107" s="3">
        <v>7632</v>
      </c>
      <c r="K107" s="4">
        <f>14300-12444</f>
        <v>1856</v>
      </c>
      <c r="L107" s="5">
        <f>E107+F107+H107+I107+J107+G107+K107</f>
        <v>12668</v>
      </c>
      <c r="U107" s="7">
        <f>N107+O107+P107+Q107+S107+R107+T107</f>
        <v>0</v>
      </c>
      <c r="AD107" s="9">
        <f>W107+X107+Y107+Z107+AA107+AB107+AC107</f>
        <v>0</v>
      </c>
      <c r="AF107" s="34"/>
      <c r="AG107" s="34"/>
      <c r="AH107" s="34"/>
      <c r="AN107" s="9">
        <f>AG107+AH107+AI107+AJ107+AK107+AL107+AM107</f>
        <v>0</v>
      </c>
      <c r="AT107" s="11">
        <f>100+1183+49+300</f>
        <v>1632</v>
      </c>
      <c r="AV107" s="64">
        <f>L107+U107+AD107</f>
        <v>12668</v>
      </c>
      <c r="AW107" s="73">
        <f>AT107+AV107+AU107</f>
        <v>14300</v>
      </c>
      <c r="AY107" s="74">
        <f>AZ107+BA107+BB107+BC107+BD107+BE107</f>
        <v>14300</v>
      </c>
      <c r="BA107" s="15">
        <v>14300</v>
      </c>
      <c r="BL107" s="18">
        <v>7</v>
      </c>
      <c r="BM107" s="90" t="s">
        <v>61</v>
      </c>
    </row>
    <row r="108" customHeight="1" spans="1:65">
      <c r="A108" s="1" t="s">
        <v>154</v>
      </c>
      <c r="B108" s="33">
        <v>10059672</v>
      </c>
      <c r="C108" s="34" t="s">
        <v>54</v>
      </c>
      <c r="D108" s="3" t="s">
        <v>165</v>
      </c>
      <c r="E108" s="3">
        <v>2180</v>
      </c>
      <c r="G108" s="3">
        <v>4690</v>
      </c>
      <c r="I108" s="3">
        <v>5724</v>
      </c>
      <c r="K108" s="4">
        <f>14400-12863</f>
        <v>1537</v>
      </c>
      <c r="L108" s="5">
        <f>E108+F108+H108+I108+J108+G108+K108</f>
        <v>14131</v>
      </c>
      <c r="U108" s="7">
        <f>N108+O108+P108+Q108+S108+R108+T108</f>
        <v>0</v>
      </c>
      <c r="AD108" s="9">
        <f>W108+X108+Y108+Z108+AA108+AB108+AC108</f>
        <v>0</v>
      </c>
      <c r="AF108" s="34"/>
      <c r="AG108" s="34"/>
      <c r="AH108" s="34"/>
      <c r="AN108" s="9">
        <f>AG108+AH108+AI108+AJ108+AK108+AL108+AM108</f>
        <v>0</v>
      </c>
      <c r="AT108" s="11">
        <f>100+169</f>
        <v>269</v>
      </c>
      <c r="AV108" s="64">
        <f>L108+U108+AD108</f>
        <v>14131</v>
      </c>
      <c r="AW108" s="73">
        <f>AT108+AV108+AU108</f>
        <v>14400</v>
      </c>
      <c r="AX108" s="75" t="s">
        <v>147</v>
      </c>
      <c r="AY108" s="74">
        <f>AZ108+BA108+BB108+BC108+BD108+BE108</f>
        <v>14400</v>
      </c>
      <c r="BB108" s="16">
        <v>14400</v>
      </c>
      <c r="BL108" s="18">
        <v>5</v>
      </c>
      <c r="BM108" s="90" t="s">
        <v>52</v>
      </c>
    </row>
    <row r="109" customHeight="1" spans="1:65">
      <c r="A109" s="1" t="s">
        <v>154</v>
      </c>
      <c r="B109" s="33">
        <v>10059673</v>
      </c>
      <c r="C109" s="34" t="s">
        <v>84</v>
      </c>
      <c r="D109" s="3" t="s">
        <v>85</v>
      </c>
      <c r="E109" s="3">
        <v>2580</v>
      </c>
      <c r="F109" s="3">
        <v>8800</v>
      </c>
      <c r="I109" s="3">
        <v>3816</v>
      </c>
      <c r="J109" s="3">
        <f>129+129</f>
        <v>258</v>
      </c>
      <c r="K109" s="4">
        <f>19500-16399</f>
        <v>3101</v>
      </c>
      <c r="L109" s="5">
        <f>E109+F109+H109+I109+J109+G109+K109</f>
        <v>18555</v>
      </c>
      <c r="U109" s="7">
        <f>N109+O109+P109+Q109+S109+R109+T109</f>
        <v>0</v>
      </c>
      <c r="AD109" s="9">
        <f>W109+X109+Y109+Z109+AA109+AB109+AC109</f>
        <v>0</v>
      </c>
      <c r="AF109" s="34"/>
      <c r="AG109" s="34"/>
      <c r="AH109" s="34"/>
      <c r="AN109" s="9">
        <f>AG109+AH109+AI109+AJ109+AK109+AL109+AM109</f>
        <v>0</v>
      </c>
      <c r="AT109" s="11">
        <f>100+845</f>
        <v>945</v>
      </c>
      <c r="AV109" s="64">
        <f>L109+U109+AD109</f>
        <v>18555</v>
      </c>
      <c r="AW109" s="73">
        <f>AT109+AV109+AU109</f>
        <v>19500</v>
      </c>
      <c r="AY109" s="74">
        <f>AZ109+BA109+BB109+BC109+BD109+BE109</f>
        <v>19500</v>
      </c>
      <c r="BA109" s="15">
        <v>19500</v>
      </c>
      <c r="BL109" s="18">
        <v>5</v>
      </c>
      <c r="BM109" s="90" t="s">
        <v>72</v>
      </c>
    </row>
    <row r="110" customHeight="1" spans="1:65">
      <c r="A110" s="1" t="s">
        <v>154</v>
      </c>
      <c r="B110" s="33">
        <v>10059674</v>
      </c>
      <c r="C110" s="34" t="s">
        <v>59</v>
      </c>
      <c r="D110" s="34" t="s">
        <v>166</v>
      </c>
      <c r="E110" s="3">
        <v>2180</v>
      </c>
      <c r="G110" s="3">
        <f>4890+18380</f>
        <v>23270</v>
      </c>
      <c r="J110" s="3">
        <f>10+258+49+49+338</f>
        <v>704</v>
      </c>
      <c r="K110" s="4">
        <f>32300-27308</f>
        <v>4992</v>
      </c>
      <c r="L110" s="5">
        <f>E110+F110+H110+I110+J110+G110+K110</f>
        <v>31146</v>
      </c>
      <c r="U110" s="7">
        <f>N110+O110+P110+Q110+S110+R110+T110</f>
        <v>0</v>
      </c>
      <c r="AD110" s="9">
        <f>W110+X110+Y110+Z110+AA110+AB110+AC110</f>
        <v>0</v>
      </c>
      <c r="AF110" s="34"/>
      <c r="AG110" s="34"/>
      <c r="AH110" s="34"/>
      <c r="AN110" s="9">
        <f>AG110+AH110+AI110+AJ110+AK110+AL110+AM110</f>
        <v>0</v>
      </c>
      <c r="AT110" s="11">
        <f>100+338+676+40</f>
        <v>1154</v>
      </c>
      <c r="AV110" s="64">
        <f>L110+U110+AD110</f>
        <v>31146</v>
      </c>
      <c r="AW110" s="73">
        <f>AT110+AV110+AU110</f>
        <v>32300</v>
      </c>
      <c r="AY110" s="74">
        <f>AZ110+BA110+BB110+BC110+BD110+BE110</f>
        <v>32300</v>
      </c>
      <c r="BA110" s="15">
        <v>32300</v>
      </c>
      <c r="BL110" s="18">
        <v>3</v>
      </c>
      <c r="BM110" s="90" t="s">
        <v>167</v>
      </c>
    </row>
    <row r="111" customHeight="1" spans="1:65">
      <c r="A111" s="1" t="s">
        <v>154</v>
      </c>
      <c r="B111" s="33">
        <v>10059675</v>
      </c>
      <c r="C111" s="34" t="s">
        <v>78</v>
      </c>
      <c r="L111" s="5">
        <f>E111+F111+H111+I111+J111+G111+K111</f>
        <v>0</v>
      </c>
      <c r="M111" s="3" t="s">
        <v>168</v>
      </c>
      <c r="N111" s="3">
        <v>2580</v>
      </c>
      <c r="P111" s="3">
        <v>14080</v>
      </c>
      <c r="S111" s="3">
        <v>366</v>
      </c>
      <c r="T111" s="6">
        <v>3760</v>
      </c>
      <c r="U111" s="7">
        <f>N111+O111+P111+Q111+S111+R111+T111</f>
        <v>20786</v>
      </c>
      <c r="AD111" s="9">
        <f>W111+X111+Y111+Z111+AA111+AB111+AC111</f>
        <v>0</v>
      </c>
      <c r="AF111" s="34"/>
      <c r="AG111" s="34"/>
      <c r="AH111" s="34"/>
      <c r="AN111" s="9">
        <f>AG111+AH111+AI111+AJ111+AK111+AL111+AM111</f>
        <v>0</v>
      </c>
      <c r="AT111" s="11">
        <f>100+1014+100</f>
        <v>1214</v>
      </c>
      <c r="AV111" s="64">
        <f>L111+U111+AD111</f>
        <v>20786</v>
      </c>
      <c r="AW111" s="73">
        <f>AT111+AV111+AU111</f>
        <v>22000</v>
      </c>
      <c r="AY111" s="74">
        <f>AZ111+BA111+BB111+BC111+BD111+BE111</f>
        <v>22200</v>
      </c>
      <c r="AZ111" s="14">
        <v>22000</v>
      </c>
      <c r="BC111" s="17">
        <v>200</v>
      </c>
      <c r="BL111" s="18">
        <v>4</v>
      </c>
      <c r="BM111" s="90" t="s">
        <v>153</v>
      </c>
    </row>
    <row r="112" customHeight="1" spans="1:65">
      <c r="A112" s="1" t="s">
        <v>169</v>
      </c>
      <c r="B112" s="33">
        <v>10059676</v>
      </c>
      <c r="C112" s="3">
        <v>307</v>
      </c>
      <c r="D112" s="3" t="s">
        <v>170</v>
      </c>
      <c r="E112" s="3">
        <v>980</v>
      </c>
      <c r="I112" s="3">
        <f>1908+1309</f>
        <v>3217</v>
      </c>
      <c r="K112" s="4">
        <f>6100-4982</f>
        <v>1118</v>
      </c>
      <c r="L112" s="5">
        <f>E112+F112+H112+I112+J112+G112+K112</f>
        <v>5315</v>
      </c>
      <c r="U112" s="7">
        <f>N112+O112+P112+Q112+S112+R112+T112</f>
        <v>0</v>
      </c>
      <c r="AD112" s="9">
        <f>W112+X112+Y112+Z112+AA112+AB112+AC112</f>
        <v>0</v>
      </c>
      <c r="AF112" s="34"/>
      <c r="AG112" s="34"/>
      <c r="AH112" s="34"/>
      <c r="AN112" s="9">
        <f>AG112+AH112+AI112+AJ112+AK112+AL112+AM112</f>
        <v>0</v>
      </c>
      <c r="AT112" s="11">
        <f>100+636+49</f>
        <v>785</v>
      </c>
      <c r="AV112" s="64">
        <f>L112+U112+AD112</f>
        <v>5315</v>
      </c>
      <c r="AW112" s="73">
        <f>AT112+AV112+AU112</f>
        <v>6100</v>
      </c>
      <c r="AY112" s="74">
        <f>AZ112+BA112+BB112+BC112+BD112+BE112</f>
        <v>6500</v>
      </c>
      <c r="BA112" s="15">
        <v>6100</v>
      </c>
      <c r="BC112" s="17">
        <v>390</v>
      </c>
      <c r="BD112" s="17">
        <v>10</v>
      </c>
      <c r="BL112" s="18">
        <v>4</v>
      </c>
      <c r="BM112" s="90" t="s">
        <v>139</v>
      </c>
    </row>
    <row r="113" customHeight="1" spans="1:65">
      <c r="A113" s="1" t="s">
        <v>169</v>
      </c>
      <c r="B113" s="33">
        <v>10059677</v>
      </c>
      <c r="C113" s="34" t="s">
        <v>48</v>
      </c>
      <c r="D113" s="3" t="s">
        <v>119</v>
      </c>
      <c r="E113" s="3">
        <v>1880</v>
      </c>
      <c r="G113" s="3">
        <v>10320</v>
      </c>
      <c r="K113" s="4">
        <f>14700-12777</f>
        <v>1923</v>
      </c>
      <c r="L113" s="5">
        <f>E113+F113+H113+I113+J113+G113+K113</f>
        <v>14123</v>
      </c>
      <c r="U113" s="7">
        <f>N113+O113+P113+Q113+S113+R113+T113</f>
        <v>0</v>
      </c>
      <c r="AD113" s="9">
        <f>W113+X113+Y113+Z113+AA113+AB113+AC113</f>
        <v>0</v>
      </c>
      <c r="AF113" s="34"/>
      <c r="AG113" s="34"/>
      <c r="AH113" s="34"/>
      <c r="AN113" s="9">
        <f>AG113+AH113+AI113+AJ113+AK113+AL113+AM113</f>
        <v>0</v>
      </c>
      <c r="AT113" s="11">
        <f>100+477</f>
        <v>577</v>
      </c>
      <c r="AV113" s="64">
        <f>L113+U113+AD113</f>
        <v>14123</v>
      </c>
      <c r="AW113" s="73">
        <f>AT113+AV113+AU113</f>
        <v>14700</v>
      </c>
      <c r="AY113" s="74">
        <f>AZ113+BA113+BB113+BC113+BD113+BE113</f>
        <v>14800</v>
      </c>
      <c r="BA113" s="15">
        <v>14700</v>
      </c>
      <c r="BC113" s="17">
        <v>100</v>
      </c>
      <c r="BL113" s="18">
        <v>5</v>
      </c>
      <c r="BM113" s="90" t="s">
        <v>139</v>
      </c>
    </row>
    <row r="114" customHeight="1" spans="1:64">
      <c r="A114" s="1" t="s">
        <v>169</v>
      </c>
      <c r="B114" s="33">
        <v>10059678</v>
      </c>
      <c r="C114" s="3">
        <v>316</v>
      </c>
      <c r="L114" s="5">
        <f>E114+F114+H114+I114+J114+G114+K114</f>
        <v>0</v>
      </c>
      <c r="M114" s="3" t="s">
        <v>171</v>
      </c>
      <c r="N114" s="3">
        <v>980</v>
      </c>
      <c r="P114" s="3">
        <v>6580</v>
      </c>
      <c r="T114" s="6">
        <v>832</v>
      </c>
      <c r="U114" s="7">
        <f>N114+O114+P114+Q114+S114+R114+T114</f>
        <v>8392</v>
      </c>
      <c r="AD114" s="9">
        <f>W114+X114+Y114+Z114+AA114+AB114+AC114</f>
        <v>0</v>
      </c>
      <c r="AF114" s="34"/>
      <c r="AG114" s="34"/>
      <c r="AH114" s="34"/>
      <c r="AN114" s="9">
        <f>AG114+AH114+AI114+AJ114+AK114+AL114+AM114</f>
        <v>0</v>
      </c>
      <c r="AT114" s="11">
        <f>100+49+159</f>
        <v>308</v>
      </c>
      <c r="AV114" s="64">
        <f>L114+U114+AD114</f>
        <v>8392</v>
      </c>
      <c r="AW114" s="73">
        <f>AT114+AV114+AU114</f>
        <v>8700</v>
      </c>
      <c r="AY114" s="74">
        <f>AZ114+BA114+BB114+BC114+BD114+BE114</f>
        <v>8700</v>
      </c>
      <c r="BA114" s="15">
        <v>8700</v>
      </c>
      <c r="BL114" s="18">
        <v>1</v>
      </c>
    </row>
    <row r="115" customHeight="1" spans="1:64">
      <c r="A115" s="1" t="s">
        <v>169</v>
      </c>
      <c r="B115" s="33">
        <v>10059679</v>
      </c>
      <c r="C115" s="3">
        <v>311</v>
      </c>
      <c r="D115" s="3" t="s">
        <v>81</v>
      </c>
      <c r="E115" s="3">
        <v>980</v>
      </c>
      <c r="I115" s="3">
        <v>2856</v>
      </c>
      <c r="J115" s="3">
        <f>168+129+139</f>
        <v>436</v>
      </c>
      <c r="K115" s="4">
        <f>5150-4531</f>
        <v>619</v>
      </c>
      <c r="L115" s="5">
        <f>E115+F115+H115+I115+J115+G115+K115</f>
        <v>4891</v>
      </c>
      <c r="U115" s="7">
        <f>N115+O115+P115+Q115+S115+R115+T115</f>
        <v>0</v>
      </c>
      <c r="AD115" s="9">
        <f>W115+X115+Y115+Z115+AA115+AB115+AC115</f>
        <v>0</v>
      </c>
      <c r="AF115" s="34"/>
      <c r="AG115" s="34"/>
      <c r="AH115" s="34"/>
      <c r="AN115" s="9">
        <f>AG115+AH115+AI115+AJ115+AK115+AL115+AM115</f>
        <v>0</v>
      </c>
      <c r="AT115" s="11">
        <f>100+159</f>
        <v>259</v>
      </c>
      <c r="AV115" s="64">
        <f>L115+U115+AD115</f>
        <v>4891</v>
      </c>
      <c r="AW115" s="73">
        <f>AT115+AV115+AU115</f>
        <v>5150</v>
      </c>
      <c r="AY115" s="74">
        <f>AZ115+BA115+BB115+BC115+BD115+BE115</f>
        <v>5150</v>
      </c>
      <c r="BA115" s="15">
        <v>5150</v>
      </c>
      <c r="BL115" s="18">
        <v>2</v>
      </c>
    </row>
    <row r="116" customHeight="1" spans="1:64">
      <c r="A116" s="1" t="s">
        <v>169</v>
      </c>
      <c r="B116" s="33">
        <v>10059680</v>
      </c>
      <c r="C116" s="3">
        <v>308</v>
      </c>
      <c r="L116" s="5">
        <f>E116+F116+H116+I116+J116+G116+K116</f>
        <v>0</v>
      </c>
      <c r="M116" s="3" t="s">
        <v>172</v>
      </c>
      <c r="N116" s="3">
        <v>980</v>
      </c>
      <c r="R116" s="3">
        <v>3816</v>
      </c>
      <c r="T116" s="6">
        <v>686</v>
      </c>
      <c r="U116" s="7">
        <f>N116+O116+P116+Q116+S116+R116+T116</f>
        <v>5482</v>
      </c>
      <c r="AD116" s="9">
        <f>W116+X116+Y116+Z116+AA116+AB116+AC116</f>
        <v>0</v>
      </c>
      <c r="AF116" s="34"/>
      <c r="AG116" s="34"/>
      <c r="AH116" s="34"/>
      <c r="AN116" s="9">
        <f>AG116+AH116+AI116+AJ116+AK116+AL116+AM116</f>
        <v>0</v>
      </c>
      <c r="AT116" s="11">
        <f>100+318</f>
        <v>418</v>
      </c>
      <c r="AV116" s="64">
        <f>L116+U116+AD116</f>
        <v>5482</v>
      </c>
      <c r="AW116" s="73">
        <f>AT116+AV116+AU116</f>
        <v>5900</v>
      </c>
      <c r="AY116" s="74">
        <f>AZ116+BA116+BB116+BC116+BD116+BE116</f>
        <v>5900</v>
      </c>
      <c r="BA116" s="15">
        <v>5900</v>
      </c>
      <c r="BL116" s="18">
        <v>2</v>
      </c>
    </row>
    <row r="117" customHeight="1" spans="1:65">
      <c r="A117" s="1" t="s">
        <v>169</v>
      </c>
      <c r="B117" s="33">
        <v>10059681</v>
      </c>
      <c r="C117" s="34" t="s">
        <v>89</v>
      </c>
      <c r="D117" s="3" t="s">
        <v>119</v>
      </c>
      <c r="E117" s="3">
        <v>2180</v>
      </c>
      <c r="I117" s="3">
        <v>17172</v>
      </c>
      <c r="J117" s="3">
        <f>196+168+168</f>
        <v>532</v>
      </c>
      <c r="K117" s="4">
        <f>25100-21495</f>
        <v>3605</v>
      </c>
      <c r="L117" s="5">
        <f>E117+F117+H117+I117+J117+G117+K117</f>
        <v>23489</v>
      </c>
      <c r="U117" s="7">
        <f>N117+O117+P117+Q117+S117+R117+T117</f>
        <v>0</v>
      </c>
      <c r="AD117" s="9">
        <f>W117+X117+Y117+Z117+AA117+AB117+AC117</f>
        <v>0</v>
      </c>
      <c r="AF117" s="34"/>
      <c r="AG117" s="34"/>
      <c r="AH117" s="34"/>
      <c r="AN117" s="9">
        <f>AG117+AH117+AI117+AJ117+AK117+AL117+AM117</f>
        <v>0</v>
      </c>
      <c r="AT117" s="11">
        <f>100+1352+49+110</f>
        <v>1611</v>
      </c>
      <c r="AV117" s="64">
        <f>L117+U117+AD117</f>
        <v>23489</v>
      </c>
      <c r="AW117" s="73">
        <f>AT117+AV117+AU117</f>
        <v>25100</v>
      </c>
      <c r="AY117" s="74">
        <f>AZ117+BA117+BB117+BC117+BD117+BE117</f>
        <v>25100</v>
      </c>
      <c r="BA117" s="15">
        <v>25100</v>
      </c>
      <c r="BL117" s="18">
        <v>6</v>
      </c>
      <c r="BM117" s="90" t="s">
        <v>139</v>
      </c>
    </row>
    <row r="118" customHeight="1" spans="1:65">
      <c r="A118" s="1" t="s">
        <v>169</v>
      </c>
      <c r="B118" s="33">
        <v>10059682</v>
      </c>
      <c r="C118" s="3">
        <v>302</v>
      </c>
      <c r="D118" s="34"/>
      <c r="L118" s="5">
        <f>E118+F118+H118+I118+J118+G118+K118</f>
        <v>0</v>
      </c>
      <c r="U118" s="7">
        <f>N118+O118+P118+Q118+S118+R118+T118</f>
        <v>0</v>
      </c>
      <c r="V118" s="91" t="s">
        <v>173</v>
      </c>
      <c r="W118" s="3">
        <v>980</v>
      </c>
      <c r="AA118" s="3">
        <v>1428</v>
      </c>
      <c r="AB118" s="3">
        <v>169</v>
      </c>
      <c r="AC118" s="8">
        <v>123</v>
      </c>
      <c r="AD118" s="9">
        <f>W118+X118+Y118+Z118+AA118+AB118+AC118</f>
        <v>2700</v>
      </c>
      <c r="AF118" s="34"/>
      <c r="AG118" s="34"/>
      <c r="AH118" s="34"/>
      <c r="AN118" s="9">
        <f>AG118+AH118+AI118+AJ118+AK118+AL118+AM118</f>
        <v>0</v>
      </c>
      <c r="AT118" s="11">
        <v>100</v>
      </c>
      <c r="AV118" s="64">
        <f>L118+U118+AD118</f>
        <v>2700</v>
      </c>
      <c r="AW118" s="73">
        <f>AT118+AV118+AU118</f>
        <v>2800</v>
      </c>
      <c r="AY118" s="74">
        <f>AZ118+BA118+BB118+BC118+BD118+BE118</f>
        <v>2800</v>
      </c>
      <c r="BA118" s="15">
        <v>2800</v>
      </c>
      <c r="BL118" s="18">
        <v>5</v>
      </c>
      <c r="BM118" s="90" t="s">
        <v>174</v>
      </c>
    </row>
    <row r="119" customHeight="1" spans="1:64">
      <c r="A119" s="1" t="s">
        <v>169</v>
      </c>
      <c r="B119" s="33">
        <v>10059683</v>
      </c>
      <c r="C119" s="34" t="s">
        <v>175</v>
      </c>
      <c r="D119" s="3" t="s">
        <v>176</v>
      </c>
      <c r="E119" s="3">
        <v>1880</v>
      </c>
      <c r="G119" s="3">
        <v>12390</v>
      </c>
      <c r="I119" s="3">
        <v>714</v>
      </c>
      <c r="K119" s="4">
        <f>19500-16695</f>
        <v>2805</v>
      </c>
      <c r="L119" s="5">
        <f>E119+F119+H119+I119+J119+G119+K119</f>
        <v>17789</v>
      </c>
      <c r="U119" s="7">
        <f>N119+O119+P119+Q119+S119+R119+T119</f>
        <v>0</v>
      </c>
      <c r="AD119" s="9">
        <f>W119+X119+Y119+Z119+AA119+AB119+AC119</f>
        <v>0</v>
      </c>
      <c r="AF119" s="34"/>
      <c r="AG119" s="34"/>
      <c r="AH119" s="34"/>
      <c r="AN119" s="9">
        <f>AG119+AH119+AI119+AJ119+AK119+AL119+AM119</f>
        <v>0</v>
      </c>
      <c r="AT119" s="11">
        <f>100+180+1431</f>
        <v>1711</v>
      </c>
      <c r="AV119" s="64">
        <f>L119+U119+AD119</f>
        <v>17789</v>
      </c>
      <c r="AW119" s="73">
        <f>AT119+AV119+AU119</f>
        <v>19500</v>
      </c>
      <c r="AY119" s="74">
        <f>AZ119+BA119+BB119+BC119+BD119+BE119</f>
        <v>19500</v>
      </c>
      <c r="BA119" s="15">
        <v>19500</v>
      </c>
      <c r="BL119" s="18">
        <v>8</v>
      </c>
    </row>
    <row r="120" customHeight="1" spans="1:65">
      <c r="A120" s="1" t="s">
        <v>169</v>
      </c>
      <c r="B120" s="33">
        <v>10059684</v>
      </c>
      <c r="C120" s="34" t="s">
        <v>54</v>
      </c>
      <c r="D120" s="34" t="s">
        <v>177</v>
      </c>
      <c r="E120" s="3">
        <v>2180</v>
      </c>
      <c r="I120" s="3">
        <v>10335</v>
      </c>
      <c r="K120" s="4">
        <f>15300-13688</f>
        <v>1612</v>
      </c>
      <c r="L120" s="5">
        <f>E120+F120+H120+I120+J120+G120+K120</f>
        <v>14127</v>
      </c>
      <c r="U120" s="7">
        <f>N120+O120+P120+Q120+S120+R120+T120</f>
        <v>0</v>
      </c>
      <c r="AD120" s="9">
        <f>W120+X120+Y120+Z120+AA120+AB120+AC120</f>
        <v>0</v>
      </c>
      <c r="AF120" s="34"/>
      <c r="AG120" s="34"/>
      <c r="AH120" s="34"/>
      <c r="AN120" s="9">
        <f>AG120+AH120+AI120+AJ120+AK120+AL120+AM120</f>
        <v>0</v>
      </c>
      <c r="AT120" s="11">
        <f>100+1014+30+29</f>
        <v>1173</v>
      </c>
      <c r="AV120" s="64">
        <f>L120+U120+AD120</f>
        <v>14127</v>
      </c>
      <c r="AW120" s="73">
        <f>AT120+AV120+AU120</f>
        <v>15300</v>
      </c>
      <c r="AY120" s="74">
        <f>AZ120+BA120+BB120+BC120+BD120+BE120</f>
        <v>15300</v>
      </c>
      <c r="BA120" s="15">
        <v>15300</v>
      </c>
      <c r="BL120" s="18">
        <v>4</v>
      </c>
      <c r="BM120" s="90" t="s">
        <v>72</v>
      </c>
    </row>
    <row r="121" customHeight="1" spans="1:65">
      <c r="A121" s="1" t="s">
        <v>169</v>
      </c>
      <c r="B121" s="33">
        <v>10059685</v>
      </c>
      <c r="C121" s="34" t="s">
        <v>59</v>
      </c>
      <c r="D121" s="3" t="s">
        <v>75</v>
      </c>
      <c r="E121" s="3">
        <v>2180</v>
      </c>
      <c r="G121" s="3">
        <v>9190</v>
      </c>
      <c r="J121" s="3">
        <v>504</v>
      </c>
      <c r="K121" s="4">
        <f>15400-13037</f>
        <v>2363</v>
      </c>
      <c r="L121" s="5">
        <f>E121+F121+H121+I121+J121+G121+K121</f>
        <v>14237</v>
      </c>
      <c r="U121" s="7">
        <f>N121+O121+P121+Q121+S121+R121+T121</f>
        <v>0</v>
      </c>
      <c r="AD121" s="9">
        <f>W121+X121+Y121+Z121+AA121+AB121+AC121</f>
        <v>0</v>
      </c>
      <c r="AF121" s="34"/>
      <c r="AG121" s="34"/>
      <c r="AH121" s="34"/>
      <c r="AN121" s="9">
        <f>AG121+AH121+AI121+AJ121+AK121+AL121+AM121</f>
        <v>0</v>
      </c>
      <c r="AT121" s="11">
        <f>100+1014+49</f>
        <v>1163</v>
      </c>
      <c r="AV121" s="64">
        <f>L121+U121+AD121</f>
        <v>14237</v>
      </c>
      <c r="AW121" s="73">
        <f>AT121+AV121+AU121</f>
        <v>15400</v>
      </c>
      <c r="AY121" s="74">
        <f>AZ121+BA121+BB121+BC121+BD121+BE121</f>
        <v>15400</v>
      </c>
      <c r="BA121" s="15">
        <v>15400</v>
      </c>
      <c r="BL121" s="18">
        <v>3</v>
      </c>
      <c r="BM121" s="90" t="s">
        <v>46</v>
      </c>
    </row>
    <row r="122" customHeight="1" spans="1:64">
      <c r="A122" s="1" t="s">
        <v>169</v>
      </c>
      <c r="B122" s="33">
        <v>10059686</v>
      </c>
      <c r="C122" s="34" t="s">
        <v>65</v>
      </c>
      <c r="L122" s="5">
        <f>E122+F122+H122+I122+J122+G122+K122</f>
        <v>0</v>
      </c>
      <c r="M122" s="3" t="s">
        <v>178</v>
      </c>
      <c r="N122" s="3">
        <v>2180</v>
      </c>
      <c r="R122" s="3">
        <v>7632</v>
      </c>
      <c r="T122" s="6">
        <v>1312</v>
      </c>
      <c r="U122" s="7">
        <f>N122+O122+P122+Q122+S122+R122+T122</f>
        <v>11124</v>
      </c>
      <c r="AD122" s="9">
        <f>W122+X122+Y122+Z122+AA122+AB122+AC122</f>
        <v>0</v>
      </c>
      <c r="AF122" s="34"/>
      <c r="AG122" s="34"/>
      <c r="AH122" s="34"/>
      <c r="AN122" s="9">
        <f>AG122+AH122+AI122+AJ122+AK122+AL122+AM122</f>
        <v>0</v>
      </c>
      <c r="AT122" s="11">
        <f>100+676+100</f>
        <v>876</v>
      </c>
      <c r="AV122" s="64">
        <f>L122+U122+AD122</f>
        <v>11124</v>
      </c>
      <c r="AW122" s="73">
        <f>AT122+AV122+AU122</f>
        <v>12000</v>
      </c>
      <c r="AY122" s="74">
        <f>AZ122+BA122+BB122+BC122+BD122+BE122</f>
        <v>12000</v>
      </c>
      <c r="BA122" s="15">
        <v>12000</v>
      </c>
      <c r="BL122" s="18">
        <v>4</v>
      </c>
    </row>
    <row r="123" customHeight="1" spans="1:65">
      <c r="A123" s="1" t="s">
        <v>169</v>
      </c>
      <c r="B123" s="33">
        <v>10059687</v>
      </c>
      <c r="C123" s="34" t="s">
        <v>67</v>
      </c>
      <c r="D123" s="3" t="s">
        <v>179</v>
      </c>
      <c r="E123" s="3">
        <v>2180</v>
      </c>
      <c r="I123" s="3">
        <v>7314</v>
      </c>
      <c r="K123" s="4">
        <f>12350-10439</f>
        <v>1911</v>
      </c>
      <c r="L123" s="5">
        <f>E123+F123+H123+I123+J123+G123+K123</f>
        <v>11405</v>
      </c>
      <c r="U123" s="7">
        <f>N123+O123+P123+Q123+S123+R123+T123</f>
        <v>0</v>
      </c>
      <c r="AD123" s="9">
        <f>W123+X123+Y123+Z123+AA123+AB123+AC123</f>
        <v>0</v>
      </c>
      <c r="AF123" s="34"/>
      <c r="AG123" s="34"/>
      <c r="AH123" s="34"/>
      <c r="AN123" s="9">
        <f>AG123+AH123+AI123+AJ123+AK123+AL123+AM123</f>
        <v>0</v>
      </c>
      <c r="AT123" s="11">
        <f>100+845</f>
        <v>945</v>
      </c>
      <c r="AV123" s="64">
        <f>L123+U123+AD123</f>
        <v>11405</v>
      </c>
      <c r="AW123" s="73">
        <f>AT123+AV123+AU123</f>
        <v>12350</v>
      </c>
      <c r="AY123" s="74">
        <f>AZ123+BA123+BB123+BC123+BD123+BE123</f>
        <v>13845</v>
      </c>
      <c r="AZ123" s="14">
        <v>12350</v>
      </c>
      <c r="BC123" s="17">
        <v>1450</v>
      </c>
      <c r="BD123" s="17">
        <v>45</v>
      </c>
      <c r="BL123" s="18">
        <v>5</v>
      </c>
      <c r="BM123" s="90" t="s">
        <v>61</v>
      </c>
    </row>
    <row r="124" customHeight="1" spans="1:64">
      <c r="A124" s="1" t="s">
        <v>169</v>
      </c>
      <c r="B124" s="33">
        <v>10059688</v>
      </c>
      <c r="C124" s="34" t="s">
        <v>62</v>
      </c>
      <c r="D124" s="3" t="s">
        <v>81</v>
      </c>
      <c r="E124" s="3">
        <v>2180</v>
      </c>
      <c r="I124" s="3">
        <v>6426</v>
      </c>
      <c r="K124" s="4">
        <f>10200-9151</f>
        <v>1049</v>
      </c>
      <c r="L124" s="5">
        <f>E124+F124+H124+I124+J124+G124+K124</f>
        <v>9655</v>
      </c>
      <c r="U124" s="7">
        <f>N124+O124+P124+Q124+S124+R124+T124</f>
        <v>0</v>
      </c>
      <c r="AD124" s="9">
        <f>W124+X124+Y124+Z124+AA124+AB124+AC124</f>
        <v>0</v>
      </c>
      <c r="AF124" s="34"/>
      <c r="AG124" s="34"/>
      <c r="AH124" s="34"/>
      <c r="AN124" s="9">
        <f>AG124+AH124+AI124+AJ124+AK124+AL124+AM124</f>
        <v>0</v>
      </c>
      <c r="AT124" s="11">
        <f>100+338+49+58</f>
        <v>545</v>
      </c>
      <c r="AV124" s="64">
        <f>L124+U124+AD124</f>
        <v>9655</v>
      </c>
      <c r="AW124" s="73">
        <f>AT124+AV124+AU124</f>
        <v>10200</v>
      </c>
      <c r="AY124" s="74">
        <f>AZ124+BA124+BB124+BC124+BD124+BE124</f>
        <v>111628</v>
      </c>
      <c r="BA124" s="15">
        <v>10200</v>
      </c>
      <c r="BE124" s="17">
        <f>87390+300+6000+6400+1000+338</f>
        <v>101428</v>
      </c>
      <c r="BL124" s="18">
        <v>3</v>
      </c>
    </row>
    <row r="125" customHeight="1" spans="1:65">
      <c r="A125" s="1" t="s">
        <v>180</v>
      </c>
      <c r="B125" s="33">
        <v>10059689</v>
      </c>
      <c r="C125" s="3" t="s">
        <v>74</v>
      </c>
      <c r="D125" s="34" t="s">
        <v>181</v>
      </c>
      <c r="E125" s="3">
        <v>1880</v>
      </c>
      <c r="I125" s="3">
        <f>1785+2856</f>
        <v>4641</v>
      </c>
      <c r="K125" s="4">
        <f>9780-7893</f>
        <v>1887</v>
      </c>
      <c r="L125" s="5">
        <f>E125+F125+H125+I125+J125+G125+K125</f>
        <v>8408</v>
      </c>
      <c r="U125" s="7">
        <f>N125+O125+P125+Q125+S125+R125+T125</f>
        <v>0</v>
      </c>
      <c r="AD125" s="9">
        <f>W125+X125+Y125+Z125+AA125+AB125+AC125</f>
        <v>0</v>
      </c>
      <c r="AF125" s="34"/>
      <c r="AG125" s="34"/>
      <c r="AH125" s="34"/>
      <c r="AN125" s="9">
        <f>AG125+AH125+AI125+AJ125+AK125+AL125+AM125</f>
        <v>0</v>
      </c>
      <c r="AT125" s="11">
        <f>100+1272</f>
        <v>1372</v>
      </c>
      <c r="AV125" s="64">
        <f>L125+U125+AD125</f>
        <v>8408</v>
      </c>
      <c r="AW125" s="73">
        <f>AT125+AV125+AU125</f>
        <v>9780</v>
      </c>
      <c r="AY125" s="74">
        <f>AZ125+BA125+BB125+BC125+BD125+BE125</f>
        <v>11560</v>
      </c>
      <c r="AZ125" s="14">
        <v>9780</v>
      </c>
      <c r="BC125" s="17">
        <v>1730</v>
      </c>
      <c r="BD125" s="17">
        <v>50</v>
      </c>
      <c r="BL125" s="18">
        <v>7</v>
      </c>
      <c r="BM125" s="90" t="s">
        <v>92</v>
      </c>
    </row>
    <row r="126" customHeight="1" spans="1:64">
      <c r="A126" s="1" t="s">
        <v>180</v>
      </c>
      <c r="B126" s="33">
        <v>10059690</v>
      </c>
      <c r="C126" s="3">
        <v>307</v>
      </c>
      <c r="D126" s="3" t="s">
        <v>179</v>
      </c>
      <c r="E126" s="3">
        <v>980</v>
      </c>
      <c r="I126" s="3">
        <f>2856+1428</f>
        <v>4284</v>
      </c>
      <c r="K126" s="4">
        <v>1000</v>
      </c>
      <c r="L126" s="5">
        <f>E126+F126+H126+I126+J126+G126+K126</f>
        <v>6264</v>
      </c>
      <c r="U126" s="7">
        <f>N126+O126+P126+Q126+S126+R126+T126</f>
        <v>0</v>
      </c>
      <c r="AD126" s="9">
        <f>W126+X126+Y126+Z126+AA126+AB126+AC126</f>
        <v>0</v>
      </c>
      <c r="AF126" s="34"/>
      <c r="AG126" s="34"/>
      <c r="AH126" s="34"/>
      <c r="AN126" s="9">
        <f>AG126+AH126+AI126+AJ126+AK126+AL126+AM126</f>
        <v>0</v>
      </c>
      <c r="AT126" s="11">
        <f>100+636</f>
        <v>736</v>
      </c>
      <c r="AV126" s="64">
        <f>L126+U126+AD126</f>
        <v>6264</v>
      </c>
      <c r="AW126" s="73">
        <f>AT126+AV126+AU126</f>
        <v>7000</v>
      </c>
      <c r="AY126" s="74">
        <f>AZ126+BA126+BB126+BC126+BD126+BE126</f>
        <v>7000</v>
      </c>
      <c r="AZ126" s="14">
        <v>7000</v>
      </c>
      <c r="BL126" s="18">
        <v>2</v>
      </c>
    </row>
    <row r="127" customHeight="1" spans="1:65">
      <c r="A127" s="1" t="s">
        <v>180</v>
      </c>
      <c r="B127" s="33">
        <v>10059691</v>
      </c>
      <c r="C127" s="3">
        <v>312</v>
      </c>
      <c r="L127" s="5">
        <f>E127+F127+H127+I127+J127+G127+K127</f>
        <v>0</v>
      </c>
      <c r="M127" s="3" t="s">
        <v>182</v>
      </c>
      <c r="N127" s="3">
        <v>880</v>
      </c>
      <c r="P127" s="3">
        <v>4890</v>
      </c>
      <c r="U127" s="7">
        <f>N127+O127+P127+Q127+S127+R127+T127</f>
        <v>5770</v>
      </c>
      <c r="AD127" s="9">
        <f>W127+X127+Y127+Z127+AA127+AB127+AC127</f>
        <v>0</v>
      </c>
      <c r="AF127" s="34"/>
      <c r="AG127" s="34"/>
      <c r="AH127" s="34"/>
      <c r="AN127" s="9">
        <f>AG127+AH127+AI127+AJ127+AK127+AL127+AM127</f>
        <v>0</v>
      </c>
      <c r="AT127" s="11">
        <v>100</v>
      </c>
      <c r="AV127" s="64">
        <f>L127+U127+AD127</f>
        <v>5770</v>
      </c>
      <c r="AW127" s="73">
        <f>AT127+AV127+AU127</f>
        <v>5870</v>
      </c>
      <c r="AY127" s="74">
        <f>AZ127+BA127+BB127+BC127+BD127+BE127</f>
        <v>5870</v>
      </c>
      <c r="BB127" s="16">
        <v>5870</v>
      </c>
      <c r="BL127" s="18">
        <v>1</v>
      </c>
      <c r="BM127" s="90" t="s">
        <v>139</v>
      </c>
    </row>
    <row r="128" customHeight="1" spans="1:65">
      <c r="A128" s="1" t="s">
        <v>180</v>
      </c>
      <c r="B128" s="33">
        <v>10059692</v>
      </c>
      <c r="C128" s="3">
        <v>312</v>
      </c>
      <c r="L128" s="5">
        <f>E128+F128+H128+I128+J128+G128+K128</f>
        <v>0</v>
      </c>
      <c r="M128" s="3" t="s">
        <v>183</v>
      </c>
      <c r="N128" s="3">
        <v>880</v>
      </c>
      <c r="P128" s="3">
        <v>4890</v>
      </c>
      <c r="U128" s="7">
        <f>N128+O128+P128+Q128+S128+R128+T128</f>
        <v>5770</v>
      </c>
      <c r="AD128" s="9">
        <f>W128+X128+Y128+Z128+AA128+AB128+AC128</f>
        <v>0</v>
      </c>
      <c r="AF128" s="34"/>
      <c r="AG128" s="34"/>
      <c r="AH128" s="34"/>
      <c r="AN128" s="9">
        <f>AG128+AH128+AI128+AJ128+AK128+AL128+AM128</f>
        <v>0</v>
      </c>
      <c r="AT128" s="11">
        <v>100</v>
      </c>
      <c r="AV128" s="64">
        <f>L128+U128+AD128</f>
        <v>5770</v>
      </c>
      <c r="AW128" s="73">
        <f>AT128+AV128+AU128</f>
        <v>5870</v>
      </c>
      <c r="AY128" s="74">
        <f>AZ128+BA128+BB128+BC128+BD128+BE128</f>
        <v>5870</v>
      </c>
      <c r="BB128" s="16">
        <v>5870</v>
      </c>
      <c r="BL128" s="18">
        <v>1</v>
      </c>
      <c r="BM128" s="90" t="s">
        <v>139</v>
      </c>
    </row>
    <row r="129" customHeight="1" spans="1:65">
      <c r="A129" s="1" t="s">
        <v>180</v>
      </c>
      <c r="B129" s="33">
        <v>10059693</v>
      </c>
      <c r="C129" s="3">
        <v>312</v>
      </c>
      <c r="L129" s="5">
        <f>E129+F129+H129+I129+J129+G129+K129</f>
        <v>0</v>
      </c>
      <c r="M129" s="3" t="s">
        <v>184</v>
      </c>
      <c r="N129" s="3">
        <v>880</v>
      </c>
      <c r="P129" s="3">
        <v>4890</v>
      </c>
      <c r="U129" s="7">
        <f>N129+O129+P129+Q129+S129+R129+T129</f>
        <v>5770</v>
      </c>
      <c r="AD129" s="9">
        <f>W129+X129+Y129+Z129+AA129+AB129+AC129</f>
        <v>0</v>
      </c>
      <c r="AF129" s="34"/>
      <c r="AG129" s="34"/>
      <c r="AH129" s="34"/>
      <c r="AN129" s="9">
        <f>AG129+AH129+AI129+AJ129+AK129+AL129+AM129</f>
        <v>0</v>
      </c>
      <c r="AT129" s="11">
        <v>100</v>
      </c>
      <c r="AV129" s="64">
        <f>L129+U129+AD129</f>
        <v>5770</v>
      </c>
      <c r="AW129" s="73">
        <f>AT129+AV129+AU129</f>
        <v>5870</v>
      </c>
      <c r="AY129" s="74">
        <f>AZ129+BA129+BB129+BC129+BD129+BE129</f>
        <v>5870</v>
      </c>
      <c r="BB129" s="16">
        <v>5870</v>
      </c>
      <c r="BL129" s="18">
        <v>1</v>
      </c>
      <c r="BM129" s="90" t="s">
        <v>139</v>
      </c>
    </row>
    <row r="130" customHeight="1" spans="1:65">
      <c r="A130" s="1" t="s">
        <v>180</v>
      </c>
      <c r="B130" s="33">
        <v>10059694</v>
      </c>
      <c r="C130" s="3" t="s">
        <v>120</v>
      </c>
      <c r="D130" s="34"/>
      <c r="L130" s="5">
        <f>E130+F130+H130+I130+J130+G130+K130</f>
        <v>0</v>
      </c>
      <c r="U130" s="7">
        <f>N130+O130+P130+Q130+S130+R130+T130</f>
        <v>0</v>
      </c>
      <c r="V130" s="91" t="s">
        <v>185</v>
      </c>
      <c r="AC130" s="8">
        <v>4553</v>
      </c>
      <c r="AD130" s="9">
        <f>W130+X130+Y130+Z130+AA130+AB130+AC130</f>
        <v>4553</v>
      </c>
      <c r="AF130" s="34"/>
      <c r="AG130" s="34"/>
      <c r="AH130" s="34"/>
      <c r="AN130" s="9">
        <f>AG130+AH130+AI130+AJ130+AK130+AL130+AM130</f>
        <v>0</v>
      </c>
      <c r="AT130" s="11">
        <f>100+477+100</f>
        <v>677</v>
      </c>
      <c r="AV130" s="64">
        <f>L130+U130+AD130</f>
        <v>4553</v>
      </c>
      <c r="AW130" s="73">
        <f>AT130+AV130+AU130</f>
        <v>5230</v>
      </c>
      <c r="AY130" s="74">
        <f>AZ130+BA130+BB130+BC130+BD130+BE130</f>
        <v>5230</v>
      </c>
      <c r="BB130" s="16">
        <v>5230</v>
      </c>
      <c r="BL130" s="18">
        <v>4</v>
      </c>
      <c r="BM130" s="90" t="s">
        <v>174</v>
      </c>
    </row>
    <row r="131" customHeight="1" spans="1:65">
      <c r="A131" s="1" t="s">
        <v>180</v>
      </c>
      <c r="B131" s="33">
        <v>10059695</v>
      </c>
      <c r="C131" s="3">
        <v>320</v>
      </c>
      <c r="D131" s="3" t="s">
        <v>110</v>
      </c>
      <c r="E131" s="3">
        <v>1299</v>
      </c>
      <c r="I131" s="3">
        <v>2856</v>
      </c>
      <c r="J131" s="3">
        <f>138+138</f>
        <v>276</v>
      </c>
      <c r="K131" s="4">
        <f>7600-5216</f>
        <v>2384</v>
      </c>
      <c r="L131" s="5">
        <f>E131+F131+H131+I131+J131+G131+K131</f>
        <v>6815</v>
      </c>
      <c r="U131" s="7">
        <f>N131+O131+P131+Q131+S131+R131+T131</f>
        <v>0</v>
      </c>
      <c r="AD131" s="9">
        <f>W131+X131+Y131+Z131+AA131+AB131+AC131</f>
        <v>0</v>
      </c>
      <c r="AF131" s="34"/>
      <c r="AG131" s="34"/>
      <c r="AH131" s="34"/>
      <c r="AN131" s="9">
        <f>AG131+AH131+AI131+AJ131+AK131+AL131+AM131</f>
        <v>0</v>
      </c>
      <c r="AT131" s="11">
        <f>100+636+49</f>
        <v>785</v>
      </c>
      <c r="AV131" s="64">
        <f>L131+U131+AD131</f>
        <v>6815</v>
      </c>
      <c r="AW131" s="73">
        <f>AT131+AV131+AU131</f>
        <v>7600</v>
      </c>
      <c r="AY131" s="74">
        <f>AZ131+BA131+BB131+BC131+BD131+BE131</f>
        <v>7600</v>
      </c>
      <c r="BA131" s="15">
        <v>7600</v>
      </c>
      <c r="BL131" s="18">
        <v>7</v>
      </c>
      <c r="BM131" s="90" t="s">
        <v>50</v>
      </c>
    </row>
    <row r="132" customHeight="1" spans="1:65">
      <c r="A132" s="1" t="s">
        <v>180</v>
      </c>
      <c r="B132" s="33">
        <v>10059696</v>
      </c>
      <c r="C132" s="34" t="s">
        <v>159</v>
      </c>
      <c r="D132" s="3" t="s">
        <v>122</v>
      </c>
      <c r="E132" s="3">
        <v>1880</v>
      </c>
      <c r="G132" s="3">
        <v>9890</v>
      </c>
      <c r="J132" s="3">
        <v>278</v>
      </c>
      <c r="K132" s="4">
        <f>15800-12882</f>
        <v>2918</v>
      </c>
      <c r="L132" s="5">
        <f>E132+F132+H132+I132+J132+G132+K132</f>
        <v>14966</v>
      </c>
      <c r="U132" s="7">
        <f>N132+O132+P132+Q132+S132+R132+T132</f>
        <v>0</v>
      </c>
      <c r="AD132" s="9">
        <f>W132+X132+Y132+Z132+AA132+AB132+AC132</f>
        <v>0</v>
      </c>
      <c r="AF132" s="34"/>
      <c r="AG132" s="34"/>
      <c r="AH132" s="34"/>
      <c r="AN132" s="9">
        <f>AG132+AH132+AI132+AJ132+AK132+AL132+AM132</f>
        <v>0</v>
      </c>
      <c r="AT132" s="11">
        <f>100+636+98</f>
        <v>834</v>
      </c>
      <c r="AV132" s="64">
        <f>L132+U132+AD132</f>
        <v>14966</v>
      </c>
      <c r="AW132" s="73">
        <f>AT132+AV132+AU132</f>
        <v>15800</v>
      </c>
      <c r="AY132" s="74">
        <f>AZ132+BA132+BB132+BC132+BD132+BE132</f>
        <v>15800</v>
      </c>
      <c r="AZ132" s="14">
        <v>15800</v>
      </c>
      <c r="BL132" s="18">
        <v>2</v>
      </c>
      <c r="BM132" s="90" t="s">
        <v>92</v>
      </c>
    </row>
    <row r="133" customHeight="1" spans="1:65">
      <c r="A133" s="1" t="s">
        <v>180</v>
      </c>
      <c r="B133" s="33">
        <v>10059697</v>
      </c>
      <c r="C133" s="3">
        <v>309</v>
      </c>
      <c r="D133" s="3" t="s">
        <v>186</v>
      </c>
      <c r="E133" s="3">
        <v>980</v>
      </c>
      <c r="G133" s="3">
        <v>8690</v>
      </c>
      <c r="K133" s="4">
        <f>11560-10455</f>
        <v>1105</v>
      </c>
      <c r="L133" s="5">
        <f>E133+F133+H133+I133+J133+G133+K133</f>
        <v>10775</v>
      </c>
      <c r="U133" s="7">
        <f>N133+O133+P133+Q133+S133+R133+T133</f>
        <v>0</v>
      </c>
      <c r="AD133" s="9">
        <f>W133+X133+Y133+Z133+AA133+AB133+AC133</f>
        <v>0</v>
      </c>
      <c r="AF133" s="34"/>
      <c r="AG133" s="34"/>
      <c r="AH133" s="34"/>
      <c r="AN133" s="9">
        <f>AG133+AH133+AI133+AJ133+AK133+AL133+AM133</f>
        <v>0</v>
      </c>
      <c r="AT133" s="11">
        <f>100+636+49</f>
        <v>785</v>
      </c>
      <c r="AV133" s="64">
        <f>L133+U133+AD133</f>
        <v>10775</v>
      </c>
      <c r="AW133" s="73">
        <f>AT133+AV133+AU133</f>
        <v>11560</v>
      </c>
      <c r="AY133" s="74">
        <f>AZ133+BA133+BB133+BC133+BD133+BE133</f>
        <v>11560</v>
      </c>
      <c r="BA133" s="15">
        <v>11560</v>
      </c>
      <c r="BL133" s="18">
        <v>4</v>
      </c>
      <c r="BM133" s="90" t="s">
        <v>52</v>
      </c>
    </row>
    <row r="134" customHeight="1" spans="1:65">
      <c r="A134" s="1" t="s">
        <v>180</v>
      </c>
      <c r="B134" s="33">
        <v>10059698</v>
      </c>
      <c r="C134" s="34" t="s">
        <v>48</v>
      </c>
      <c r="D134" s="3" t="s">
        <v>119</v>
      </c>
      <c r="E134" s="3">
        <v>1880</v>
      </c>
      <c r="G134" s="3">
        <v>26070</v>
      </c>
      <c r="J134" s="3">
        <f>129+129</f>
        <v>258</v>
      </c>
      <c r="K134" s="4">
        <f>35000-29459</f>
        <v>5541</v>
      </c>
      <c r="L134" s="5">
        <f>E134+F134+H134+I134+J134+G134+K134</f>
        <v>33749</v>
      </c>
      <c r="U134" s="7">
        <f>N134+O134+P134+Q134+S134+R134+T134</f>
        <v>0</v>
      </c>
      <c r="AD134" s="9">
        <f>W134+X134+Y134+Z134+AA134+AB134+AC134</f>
        <v>0</v>
      </c>
      <c r="AF134" s="34"/>
      <c r="AG134" s="34"/>
      <c r="AH134" s="34"/>
      <c r="AN134" s="9">
        <f>AG134+AH134+AI134+AJ134+AK134+AL134+AM134</f>
        <v>0</v>
      </c>
      <c r="AT134" s="11">
        <f>100+58+98+100+795+100</f>
        <v>1251</v>
      </c>
      <c r="AV134" s="64">
        <f>L134+U134+AD134</f>
        <v>33749</v>
      </c>
      <c r="AW134" s="73">
        <f>AT134+AV134+AU134</f>
        <v>35000</v>
      </c>
      <c r="AX134" s="13" t="s">
        <v>187</v>
      </c>
      <c r="AY134" s="74">
        <f>AZ134+BA134+BB134+BC134+BD134+BE134</f>
        <v>35000</v>
      </c>
      <c r="BB134" s="16">
        <v>35000</v>
      </c>
      <c r="BL134" s="18">
        <v>5</v>
      </c>
      <c r="BM134" s="90" t="s">
        <v>153</v>
      </c>
    </row>
    <row r="135" customHeight="1" spans="1:51">
      <c r="A135" s="1" t="s">
        <v>180</v>
      </c>
      <c r="B135" s="33">
        <v>10059699</v>
      </c>
      <c r="C135" s="3">
        <v>303</v>
      </c>
      <c r="L135" s="5">
        <f>E135+F135+H135+I135+J135+G135+K135</f>
        <v>0</v>
      </c>
      <c r="U135" s="7">
        <f>N135+O135+P135+Q135+S135+R135+T135</f>
        <v>0</v>
      </c>
      <c r="V135" s="3" t="s">
        <v>188</v>
      </c>
      <c r="AD135" s="9">
        <f>W135+X135+Y135+Z135+AA135+AB135+AC135</f>
        <v>0</v>
      </c>
      <c r="AF135" s="3" t="s">
        <v>188</v>
      </c>
      <c r="AG135" s="34">
        <v>880</v>
      </c>
      <c r="AH135" s="34"/>
      <c r="AJ135" s="3">
        <v>8320</v>
      </c>
      <c r="AN135" s="9">
        <f>AG135+AH135+AI135+AJ135+AK135+AL135+AM135</f>
        <v>9200</v>
      </c>
      <c r="AO135" s="10">
        <v>100</v>
      </c>
      <c r="AV135" s="64">
        <f>L135+U135+AD135</f>
        <v>0</v>
      </c>
      <c r="AW135" s="73">
        <f>AT135+AV135+AU135</f>
        <v>0</v>
      </c>
      <c r="AX135" s="13" t="s">
        <v>189</v>
      </c>
      <c r="AY135" s="74">
        <f>AZ135+BA135+BB135+BC135+BD135+BE135</f>
        <v>0</v>
      </c>
    </row>
    <row r="136" customHeight="1" spans="1:65">
      <c r="A136" s="1" t="s">
        <v>180</v>
      </c>
      <c r="B136" s="33">
        <v>10059700</v>
      </c>
      <c r="C136" s="3">
        <v>311</v>
      </c>
      <c r="D136" s="3" t="s">
        <v>176</v>
      </c>
      <c r="E136" s="3">
        <v>980</v>
      </c>
      <c r="I136" s="3">
        <v>2856</v>
      </c>
      <c r="K136" s="4">
        <f>5050-4413</f>
        <v>637</v>
      </c>
      <c r="L136" s="5">
        <f>E136+F136+H136+I136+J136+G136+K136</f>
        <v>4473</v>
      </c>
      <c r="U136" s="7">
        <f>N136+O136+P136+Q136+S136+R136+T136</f>
        <v>0</v>
      </c>
      <c r="AD136" s="9">
        <f>W136+X136+Y136+Z136+AA136+AB136+AC136</f>
        <v>0</v>
      </c>
      <c r="AF136" s="34"/>
      <c r="AG136" s="34"/>
      <c r="AH136" s="34"/>
      <c r="AN136" s="9">
        <f>AG136+AH136+AI136+AJ136+AK136+AL136+AM136</f>
        <v>0</v>
      </c>
      <c r="AT136" s="11">
        <f>100+477</f>
        <v>577</v>
      </c>
      <c r="AV136" s="64">
        <f>L136+U136+AD136</f>
        <v>4473</v>
      </c>
      <c r="AW136" s="73">
        <f>AT136+AV136+AU136</f>
        <v>5050</v>
      </c>
      <c r="AY136" s="74">
        <f>AZ136+BA136+BB136+BC136+BD136+BE136</f>
        <v>5050</v>
      </c>
      <c r="BA136" s="15">
        <v>5050</v>
      </c>
      <c r="BL136" s="18">
        <v>2</v>
      </c>
      <c r="BM136" s="90" t="s">
        <v>167</v>
      </c>
    </row>
    <row r="137" customHeight="1" spans="1:65">
      <c r="A137" s="1" t="s">
        <v>180</v>
      </c>
      <c r="B137" s="33">
        <v>10059701</v>
      </c>
      <c r="C137" s="3">
        <v>312</v>
      </c>
      <c r="D137" s="34" t="s">
        <v>190</v>
      </c>
      <c r="E137" s="3">
        <v>980</v>
      </c>
      <c r="I137" s="3">
        <v>3096</v>
      </c>
      <c r="K137" s="4">
        <f>5600-4653</f>
        <v>947</v>
      </c>
      <c r="L137" s="5">
        <f>E137+F137+H137+I137+J137+G137+K137</f>
        <v>5023</v>
      </c>
      <c r="U137" s="7">
        <f>N137+O137+P137+Q137+S137+R137+T137</f>
        <v>0</v>
      </c>
      <c r="AD137" s="9">
        <f>W137+X137+Y137+Z137+AA137+AB137+AC137</f>
        <v>0</v>
      </c>
      <c r="AF137" s="34"/>
      <c r="AG137" s="34"/>
      <c r="AH137" s="34"/>
      <c r="AN137" s="9">
        <f>AG137+AH137+AI137+AJ137+AK137+AL137+AM137</f>
        <v>0</v>
      </c>
      <c r="AT137" s="11">
        <f>100+477</f>
        <v>577</v>
      </c>
      <c r="AV137" s="64">
        <f>L137+U137+AD137</f>
        <v>5023</v>
      </c>
      <c r="AW137" s="73">
        <f>AT137+AV137+AU137</f>
        <v>5600</v>
      </c>
      <c r="AY137" s="74">
        <f>AZ137+BA137+BB137+BC137+BD137+BE137</f>
        <v>5600</v>
      </c>
      <c r="AZ137" s="14">
        <v>5600</v>
      </c>
      <c r="BL137" s="18">
        <v>4</v>
      </c>
      <c r="BM137" s="90" t="s">
        <v>50</v>
      </c>
    </row>
    <row r="138" customHeight="1" spans="1:65">
      <c r="A138" s="1" t="s">
        <v>180</v>
      </c>
      <c r="B138" s="33">
        <v>10059702</v>
      </c>
      <c r="C138" s="3" t="s">
        <v>70</v>
      </c>
      <c r="D138" s="3" t="s">
        <v>119</v>
      </c>
      <c r="E138" s="3">
        <v>1880</v>
      </c>
      <c r="G138" s="3">
        <v>8690</v>
      </c>
      <c r="K138" s="4">
        <f>12500-11196</f>
        <v>1304</v>
      </c>
      <c r="L138" s="5">
        <f>E138+F138+H138+I138+J138+G138+K138</f>
        <v>11874</v>
      </c>
      <c r="U138" s="7">
        <f>N138+O138+P138+Q138+S138+R138+T138</f>
        <v>0</v>
      </c>
      <c r="AD138" s="9">
        <f>W138+X138+Y138+Z138+AA138+AB138+AC138</f>
        <v>0</v>
      </c>
      <c r="AF138" s="34"/>
      <c r="AG138" s="34"/>
      <c r="AH138" s="34"/>
      <c r="AN138" s="9">
        <f>AG138+AH138+AI138+AJ138+AK138+AL138+AM138</f>
        <v>0</v>
      </c>
      <c r="AT138" s="11">
        <f>100+49+477</f>
        <v>626</v>
      </c>
      <c r="AV138" s="64">
        <f>L138+U138+AD138</f>
        <v>11874</v>
      </c>
      <c r="AW138" s="73">
        <f>AT138+AV138+AU138</f>
        <v>12500</v>
      </c>
      <c r="AX138" s="75" t="s">
        <v>187</v>
      </c>
      <c r="AY138" s="74">
        <f>AZ138+BA138+BB138+BC138+BD138+BE138</f>
        <v>12500</v>
      </c>
      <c r="BB138" s="16">
        <v>12500</v>
      </c>
      <c r="BL138" s="18">
        <v>3</v>
      </c>
      <c r="BM138" s="90" t="s">
        <v>153</v>
      </c>
    </row>
    <row r="139" customHeight="1" spans="1:54">
      <c r="A139" s="1" t="s">
        <v>180</v>
      </c>
      <c r="B139" s="33">
        <v>10059703</v>
      </c>
      <c r="C139" s="34" t="s">
        <v>84</v>
      </c>
      <c r="D139" s="3" t="s">
        <v>181</v>
      </c>
      <c r="K139" s="4">
        <v>700</v>
      </c>
      <c r="L139" s="5">
        <f>E139+F139+H139+I139+J139+G139+K139</f>
        <v>700</v>
      </c>
      <c r="U139" s="7">
        <f>N139+O139+P139+Q139+S139+R139+T139</f>
        <v>0</v>
      </c>
      <c r="AD139" s="9">
        <f>W139+X139+Y139+Z139+AA139+AB139+AC139</f>
        <v>0</v>
      </c>
      <c r="AF139" s="34" t="s">
        <v>181</v>
      </c>
      <c r="AG139" s="34">
        <v>2580</v>
      </c>
      <c r="AH139" s="34"/>
      <c r="AI139" s="3">
        <f>4690+17780</f>
        <v>22470</v>
      </c>
      <c r="AL139" s="3">
        <v>69</v>
      </c>
      <c r="AM139" s="3">
        <v>4912</v>
      </c>
      <c r="AN139" s="9">
        <f>AG139+AH139+AI139+AJ139+AK139+AL139+AM139</f>
        <v>30031</v>
      </c>
      <c r="AO139" s="10">
        <v>1829</v>
      </c>
      <c r="AV139" s="64">
        <f>L139+U139+AD139</f>
        <v>700</v>
      </c>
      <c r="AW139" s="73">
        <f>AT139+AV139+AU139</f>
        <v>700</v>
      </c>
      <c r="AX139" s="13" t="s">
        <v>191</v>
      </c>
      <c r="AY139" s="74">
        <f>AZ139+BA139+BB139+BC139+BD139+BE139</f>
        <v>700</v>
      </c>
      <c r="BB139" s="16">
        <v>700</v>
      </c>
    </row>
    <row r="140" customHeight="1" spans="1:65">
      <c r="A140" s="1" t="s">
        <v>180</v>
      </c>
      <c r="B140" s="33">
        <v>10059704</v>
      </c>
      <c r="C140" s="34" t="s">
        <v>192</v>
      </c>
      <c r="D140" s="34" t="s">
        <v>193</v>
      </c>
      <c r="E140" s="3">
        <v>1880</v>
      </c>
      <c r="I140" s="3">
        <v>11448</v>
      </c>
      <c r="J140" s="3">
        <f>168+169+338</f>
        <v>675</v>
      </c>
      <c r="K140" s="4">
        <f>16700-14939</f>
        <v>1761</v>
      </c>
      <c r="L140" s="5">
        <f>E140+F140+H140+I140+J140+G140+K140</f>
        <v>15764</v>
      </c>
      <c r="U140" s="7">
        <f>N140+O140+P140+Q140+S140+R140+T140</f>
        <v>0</v>
      </c>
      <c r="AD140" s="9">
        <f>W140+X140+Y140+Z140+AA140+AB140+AC140</f>
        <v>0</v>
      </c>
      <c r="AF140" s="34"/>
      <c r="AG140" s="34"/>
      <c r="AH140" s="34"/>
      <c r="AN140" s="9">
        <f>AG140+AH140+AI140+AJ140+AK140+AL140+AM140</f>
        <v>0</v>
      </c>
      <c r="AT140" s="11">
        <f>100+636+200</f>
        <v>936</v>
      </c>
      <c r="AV140" s="64">
        <f>L140+U140+AD140</f>
        <v>15764</v>
      </c>
      <c r="AW140" s="73">
        <f>AT140+AV140+AU140</f>
        <v>16700</v>
      </c>
      <c r="AY140" s="74">
        <f>AZ140+BA140+BB140+BC140+BD140+BE140</f>
        <v>16700</v>
      </c>
      <c r="BA140" s="15">
        <v>16700</v>
      </c>
      <c r="BL140" s="18">
        <v>4</v>
      </c>
      <c r="BM140" s="90" t="s">
        <v>52</v>
      </c>
    </row>
    <row r="141" customHeight="1" spans="1:65">
      <c r="A141" s="1" t="s">
        <v>180</v>
      </c>
      <c r="B141" s="33">
        <v>10059705</v>
      </c>
      <c r="C141" s="34" t="s">
        <v>89</v>
      </c>
      <c r="D141" s="3" t="s">
        <v>60</v>
      </c>
      <c r="E141" s="3">
        <v>2180</v>
      </c>
      <c r="G141" s="3">
        <v>4890</v>
      </c>
      <c r="I141" s="3">
        <v>5364</v>
      </c>
      <c r="J141" s="3">
        <f>168+129+129+129</f>
        <v>555</v>
      </c>
      <c r="K141" s="4">
        <f>15500-13645</f>
        <v>1855</v>
      </c>
      <c r="L141" s="5">
        <f>E141+F141+H141+I141+J141+G141+K141</f>
        <v>14844</v>
      </c>
      <c r="U141" s="7">
        <f>N141+O141+P141+Q141+S141+R141+T141</f>
        <v>0</v>
      </c>
      <c r="AD141" s="9">
        <f>W141+X141+Y141+Z141+AA141+AB141+AC141</f>
        <v>0</v>
      </c>
      <c r="AF141" s="34"/>
      <c r="AG141" s="34"/>
      <c r="AH141" s="34"/>
      <c r="AN141" s="9">
        <f>AG141+AH141+AI141+AJ141+AK141+AL141+AM141</f>
        <v>0</v>
      </c>
      <c r="AT141" s="11">
        <f>100+507+49</f>
        <v>656</v>
      </c>
      <c r="AV141" s="64">
        <f>L141+U141+AD141</f>
        <v>14844</v>
      </c>
      <c r="AW141" s="73">
        <f>AT141+AV141+AU141</f>
        <v>15500</v>
      </c>
      <c r="AY141" s="74">
        <f>AZ141+BA141+BB141+BC141+BD141+BE141</f>
        <v>15500</v>
      </c>
      <c r="BA141" s="15">
        <v>15500</v>
      </c>
      <c r="BL141" s="18">
        <v>2</v>
      </c>
      <c r="BM141" s="90" t="s">
        <v>50</v>
      </c>
    </row>
    <row r="142" customHeight="1" spans="1:65">
      <c r="A142" s="1" t="s">
        <v>180</v>
      </c>
      <c r="B142" s="33">
        <v>10059706</v>
      </c>
      <c r="C142" s="34" t="s">
        <v>62</v>
      </c>
      <c r="D142" s="3" t="s">
        <v>194</v>
      </c>
      <c r="E142" s="3">
        <v>2180</v>
      </c>
      <c r="G142" s="3">
        <f>8890+3990</f>
        <v>12880</v>
      </c>
      <c r="K142" s="4">
        <f>18900-16281</f>
        <v>2619</v>
      </c>
      <c r="L142" s="5">
        <f>E142+F142+H142+I142+J142+G142+K142</f>
        <v>17679</v>
      </c>
      <c r="U142" s="7">
        <f>N142+O142+P142+Q142+S142+R142+T142</f>
        <v>0</v>
      </c>
      <c r="AD142" s="9">
        <f>W142+X142+Y142+Z142+AA142+AB142+AC142</f>
        <v>0</v>
      </c>
      <c r="AF142" s="34"/>
      <c r="AG142" s="34"/>
      <c r="AH142" s="34"/>
      <c r="AN142" s="9">
        <f>AG142+AH142+AI142+AJ142+AK142+AL142+AM142</f>
        <v>0</v>
      </c>
      <c r="AT142" s="11">
        <f>100+1014+49+58</f>
        <v>1221</v>
      </c>
      <c r="AV142" s="64">
        <f>L142+U142+AD142</f>
        <v>17679</v>
      </c>
      <c r="AW142" s="73">
        <f>AT142+AV142+AU142</f>
        <v>18900</v>
      </c>
      <c r="AY142" s="74">
        <f>AZ142+BA142+BB142+BC142+BD142+BE142</f>
        <v>18900</v>
      </c>
      <c r="BA142" s="15">
        <v>18900</v>
      </c>
      <c r="BL142" s="18">
        <v>2</v>
      </c>
      <c r="BM142" s="90" t="s">
        <v>52</v>
      </c>
    </row>
    <row r="143" customHeight="1" spans="1:65">
      <c r="A143" s="1" t="s">
        <v>180</v>
      </c>
      <c r="B143" s="33">
        <v>10059707</v>
      </c>
      <c r="C143" s="34" t="s">
        <v>94</v>
      </c>
      <c r="D143" s="34" t="s">
        <v>195</v>
      </c>
      <c r="E143" s="3">
        <v>1680</v>
      </c>
      <c r="G143" s="3">
        <v>4890</v>
      </c>
      <c r="I143" s="3">
        <v>4770</v>
      </c>
      <c r="K143" s="4">
        <f>13400-11996</f>
        <v>1404</v>
      </c>
      <c r="L143" s="5">
        <f>E143+F143+H143+I143+J143+G143+K143</f>
        <v>12744</v>
      </c>
      <c r="U143" s="7">
        <f>N143+O143+P143+Q143+S143+R143+T143</f>
        <v>0</v>
      </c>
      <c r="AD143" s="9">
        <f>W143+X143+Y143+Z143+AA143+AB143+AC143</f>
        <v>0</v>
      </c>
      <c r="AF143" s="34"/>
      <c r="AG143" s="34"/>
      <c r="AH143" s="34"/>
      <c r="AN143" s="9">
        <f>AG143+AH143+AI143+AJ143+AK143+AL143+AM143</f>
        <v>0</v>
      </c>
      <c r="AT143" s="11">
        <f>100+507+49</f>
        <v>656</v>
      </c>
      <c r="AV143" s="64">
        <f>L143+U143+AD143</f>
        <v>12744</v>
      </c>
      <c r="AW143" s="73">
        <f>AT143+AV143+AU143</f>
        <v>13400</v>
      </c>
      <c r="AY143" s="74">
        <f>AZ143+BA143+BB143+BC143+BD143+BE143</f>
        <v>13400</v>
      </c>
      <c r="BA143" s="15">
        <v>13400</v>
      </c>
      <c r="BL143" s="18">
        <v>3</v>
      </c>
      <c r="BM143" s="90" t="s">
        <v>196</v>
      </c>
    </row>
    <row r="144" customHeight="1" spans="1:65">
      <c r="A144" s="1" t="s">
        <v>180</v>
      </c>
      <c r="B144" s="33">
        <v>10059708</v>
      </c>
      <c r="C144" s="34" t="s">
        <v>56</v>
      </c>
      <c r="L144" s="5">
        <f>E144+F144+H144+I144+J144+G144+K144</f>
        <v>0</v>
      </c>
      <c r="M144" s="3" t="s">
        <v>197</v>
      </c>
      <c r="N144" s="3">
        <v>3180</v>
      </c>
      <c r="P144" s="3">
        <v>35560</v>
      </c>
      <c r="T144" s="6">
        <v>6698</v>
      </c>
      <c r="U144" s="7">
        <f>N144+O144+P144+Q144+S144+R144+T144</f>
        <v>45438</v>
      </c>
      <c r="AD144" s="9">
        <f>W144+X144+Y144+Z144+AA144+AB144+AC144</f>
        <v>0</v>
      </c>
      <c r="AF144" s="34"/>
      <c r="AG144" s="34"/>
      <c r="AH144" s="34"/>
      <c r="AN144" s="9">
        <f>AG144+AH144+AI144+AJ144+AK144+AL144+AM144</f>
        <v>0</v>
      </c>
      <c r="AT144" s="11">
        <f>100+507+1859+196+300</f>
        <v>2962</v>
      </c>
      <c r="AV144" s="64">
        <f>L144+U144+AD144</f>
        <v>45438</v>
      </c>
      <c r="AW144" s="73">
        <f>AT144+AV144+AU144</f>
        <v>48400</v>
      </c>
      <c r="AY144" s="74">
        <f>AZ144+BA144+BB144+BC144+BD144+BE144</f>
        <v>48400</v>
      </c>
      <c r="BA144" s="15">
        <v>48400</v>
      </c>
      <c r="BL144" s="18">
        <v>8</v>
      </c>
      <c r="BM144" s="90" t="s">
        <v>196</v>
      </c>
    </row>
    <row r="145" customHeight="1" spans="1:65">
      <c r="A145" s="1" t="s">
        <v>180</v>
      </c>
      <c r="B145" s="33">
        <v>10059709</v>
      </c>
      <c r="C145" s="34" t="s">
        <v>54</v>
      </c>
      <c r="D145" s="3" t="s">
        <v>99</v>
      </c>
      <c r="E145" s="3">
        <v>2180</v>
      </c>
      <c r="G145" s="3">
        <v>9190</v>
      </c>
      <c r="K145" s="4">
        <f>13700-12176</f>
        <v>1524</v>
      </c>
      <c r="L145" s="5">
        <f>E145+F145+H145+I145+J145+G145+K145</f>
        <v>12894</v>
      </c>
      <c r="U145" s="7">
        <f>N145+O145+P145+Q145+S145+R145+T145</f>
        <v>0</v>
      </c>
      <c r="AD145" s="9">
        <f>W145+X145+Y145+Z145+AA145+AB145+AC145</f>
        <v>0</v>
      </c>
      <c r="AF145" s="34"/>
      <c r="AG145" s="34"/>
      <c r="AH145" s="34"/>
      <c r="AN145" s="9">
        <f>AG145+AH145+AI145+AJ145+AK145+AL145+AM145</f>
        <v>0</v>
      </c>
      <c r="AT145" s="11">
        <f>100+30+676</f>
        <v>806</v>
      </c>
      <c r="AV145" s="64">
        <f>L145+U145+AD145</f>
        <v>12894</v>
      </c>
      <c r="AW145" s="73">
        <f>AT145+AV145+AU145</f>
        <v>13700</v>
      </c>
      <c r="AX145" s="13" t="s">
        <v>100</v>
      </c>
      <c r="AY145" s="74">
        <f>AZ145+BA145+BB145+BC145+BD145+BE145</f>
        <v>13700</v>
      </c>
      <c r="BB145" s="16">
        <v>13700</v>
      </c>
      <c r="BL145" s="18">
        <v>2</v>
      </c>
      <c r="BM145" s="90" t="s">
        <v>143</v>
      </c>
    </row>
    <row r="146" customHeight="1" spans="1:52">
      <c r="A146" s="1" t="s">
        <v>180</v>
      </c>
      <c r="B146" s="33">
        <v>10059710</v>
      </c>
      <c r="C146" s="3">
        <v>307</v>
      </c>
      <c r="D146" s="3" t="s">
        <v>179</v>
      </c>
      <c r="I146" s="3">
        <v>1428</v>
      </c>
      <c r="J146" s="3">
        <f>168+207+69</f>
        <v>444</v>
      </c>
      <c r="K146" s="4">
        <f>2150-1872</f>
        <v>278</v>
      </c>
      <c r="L146" s="5">
        <f>E146+F146+H146+I146+J146+G146+K146</f>
        <v>2150</v>
      </c>
      <c r="U146" s="7">
        <f>N146+O146+P146+Q146+S146+R146+T146</f>
        <v>0</v>
      </c>
      <c r="AD146" s="9">
        <f>W146+X146+Y146+Z146+AA146+AB146+AC146</f>
        <v>0</v>
      </c>
      <c r="AF146" s="34"/>
      <c r="AG146" s="34"/>
      <c r="AH146" s="34"/>
      <c r="AN146" s="9">
        <f>AG146+AH146+AI146+AJ146+AK146+AL146+AM146</f>
        <v>0</v>
      </c>
      <c r="AV146" s="64">
        <f>L146+U146+AD146</f>
        <v>2150</v>
      </c>
      <c r="AW146" s="73">
        <f>AT146+AV146+AU146</f>
        <v>2150</v>
      </c>
      <c r="AY146" s="74">
        <f>AZ146+BA146+BB146+BC146+BD146+BE146</f>
        <v>2150</v>
      </c>
      <c r="AZ146" s="14">
        <v>2150</v>
      </c>
    </row>
    <row r="147" customHeight="1" spans="1:51">
      <c r="A147" s="1" t="s">
        <v>180</v>
      </c>
      <c r="B147" s="33">
        <v>10059711</v>
      </c>
      <c r="C147" s="34" t="s">
        <v>59</v>
      </c>
      <c r="D147" s="3" t="s">
        <v>198</v>
      </c>
      <c r="L147" s="5">
        <f>E147+F147+H147+I147+J147+G147+K147</f>
        <v>0</v>
      </c>
      <c r="U147" s="7">
        <f>N147+O147+P147+Q147+S147+R147+T147</f>
        <v>0</v>
      </c>
      <c r="AD147" s="9">
        <f>W147+X147+Y147+Z147+AA147+AB147+AC147</f>
        <v>0</v>
      </c>
      <c r="AF147" s="3" t="s">
        <v>198</v>
      </c>
      <c r="AG147" s="34">
        <v>2180</v>
      </c>
      <c r="AH147" s="34"/>
      <c r="AI147" s="3">
        <f>4690+8890</f>
        <v>13580</v>
      </c>
      <c r="AM147" s="3">
        <v>2449</v>
      </c>
      <c r="AN147" s="9">
        <f>AG147+AH147+AI147+AJ147+AK147+AL147+AM147</f>
        <v>18209</v>
      </c>
      <c r="AO147" s="10">
        <v>555</v>
      </c>
      <c r="AV147" s="64">
        <f>L147+U147+AD147</f>
        <v>0</v>
      </c>
      <c r="AW147" s="73">
        <f>AT147+AV147+AU147</f>
        <v>0</v>
      </c>
      <c r="AX147" s="13" t="s">
        <v>191</v>
      </c>
      <c r="AY147" s="74">
        <f>AZ147+BA147+BB147+BC147+BD147+BE147</f>
        <v>0</v>
      </c>
    </row>
    <row r="148" customHeight="1" spans="1:65">
      <c r="A148" s="1" t="s">
        <v>180</v>
      </c>
      <c r="B148" s="33">
        <v>10059712</v>
      </c>
      <c r="C148" s="34" t="s">
        <v>78</v>
      </c>
      <c r="D148" s="34" t="s">
        <v>199</v>
      </c>
      <c r="E148" s="3">
        <v>2580</v>
      </c>
      <c r="G148" s="3">
        <f>3290+5890</f>
        <v>9180</v>
      </c>
      <c r="J148" s="3">
        <f>199+258</f>
        <v>457</v>
      </c>
      <c r="K148" s="4">
        <f>17900-13380</f>
        <v>4520</v>
      </c>
      <c r="L148" s="5">
        <f>E148+F148+H148+I148+J148+G148+K148</f>
        <v>16737</v>
      </c>
      <c r="U148" s="7">
        <f>N148+O148+P148+Q148+S148+R148+T148</f>
        <v>0</v>
      </c>
      <c r="AD148" s="9">
        <f>W148+X148+Y148+Z148+AA148+AB148+AC148</f>
        <v>0</v>
      </c>
      <c r="AF148" s="34"/>
      <c r="AG148" s="34"/>
      <c r="AH148" s="34"/>
      <c r="AN148" s="9">
        <f>AG148+AH148+AI148+AJ148+AK148+AL148+AM148</f>
        <v>0</v>
      </c>
      <c r="AT148" s="11">
        <f>100+49+1014</f>
        <v>1163</v>
      </c>
      <c r="AV148" s="64">
        <f>L148+U148+AD148</f>
        <v>16737</v>
      </c>
      <c r="AW148" s="73">
        <f>AT148+AV148+AU148</f>
        <v>17900</v>
      </c>
      <c r="AY148" s="74">
        <f>AZ148+BA148+BB148+BC148+BD148+BE148</f>
        <v>18000</v>
      </c>
      <c r="AZ148" s="14">
        <v>17900</v>
      </c>
      <c r="BC148" s="17">
        <v>100</v>
      </c>
      <c r="BL148" s="18">
        <v>6</v>
      </c>
      <c r="BM148" s="90" t="s">
        <v>167</v>
      </c>
    </row>
    <row r="149" customHeight="1" spans="1:64">
      <c r="A149" s="1" t="s">
        <v>200</v>
      </c>
      <c r="B149" s="33">
        <v>10059713</v>
      </c>
      <c r="C149" s="3" t="s">
        <v>97</v>
      </c>
      <c r="D149" s="3" t="s">
        <v>129</v>
      </c>
      <c r="E149" s="3">
        <v>2180</v>
      </c>
      <c r="I149" s="3">
        <v>7140</v>
      </c>
      <c r="K149" s="4">
        <f>12360-10265</f>
        <v>2095</v>
      </c>
      <c r="L149" s="5">
        <f>E149+F149+H149+I149+J149+G149+K149</f>
        <v>11415</v>
      </c>
      <c r="U149" s="7">
        <f>N149+O149+P149+Q149+S149+R149+T149</f>
        <v>0</v>
      </c>
      <c r="AD149" s="9">
        <f>W149+X149+Y149+Z149+AA149+AB149+AC149</f>
        <v>0</v>
      </c>
      <c r="AF149" s="34"/>
      <c r="AG149" s="34"/>
      <c r="AH149" s="34"/>
      <c r="AN149" s="9">
        <f>AG149+AH149+AI149+AJ149+AK149+AL149+AM149</f>
        <v>0</v>
      </c>
      <c r="AT149" s="11">
        <f>100+845</f>
        <v>945</v>
      </c>
      <c r="AV149" s="64">
        <f>L149+U149+AD149</f>
        <v>11415</v>
      </c>
      <c r="AW149" s="73">
        <f>AT149+AV149+AU149</f>
        <v>12360</v>
      </c>
      <c r="AY149" s="74">
        <f>AZ149+BA149+BB149+BC149+BD149+BE149</f>
        <v>12360</v>
      </c>
      <c r="AZ149" s="14">
        <v>12360</v>
      </c>
      <c r="BL149" s="18">
        <v>5</v>
      </c>
    </row>
    <row r="150" customHeight="1" spans="1:64">
      <c r="A150" s="1" t="s">
        <v>200</v>
      </c>
      <c r="B150" s="33">
        <v>10059714</v>
      </c>
      <c r="C150" s="3">
        <v>316</v>
      </c>
      <c r="D150" s="3" t="s">
        <v>201</v>
      </c>
      <c r="E150" s="3">
        <v>980</v>
      </c>
      <c r="I150" s="3">
        <v>3816</v>
      </c>
      <c r="K150" s="4">
        <f>6700-5711</f>
        <v>989</v>
      </c>
      <c r="L150" s="5">
        <f>E150+F150+H150+I150+J150+G150+K150</f>
        <v>5785</v>
      </c>
      <c r="U150" s="7">
        <f>N150+O150+P150+Q150+S150+R150+T150</f>
        <v>0</v>
      </c>
      <c r="AD150" s="9">
        <f>W150+X150+Y150+Z150+AA150+AB150+AC150</f>
        <v>0</v>
      </c>
      <c r="AF150" s="34"/>
      <c r="AG150" s="34"/>
      <c r="AH150" s="34"/>
      <c r="AN150" s="9">
        <f>AG150+AH150+AI150+AJ150+AK150+AL150+AM150</f>
        <v>0</v>
      </c>
      <c r="AT150" s="11">
        <f>100+477+338</f>
        <v>915</v>
      </c>
      <c r="AV150" s="64">
        <f>L150+U150+AD150</f>
        <v>5785</v>
      </c>
      <c r="AW150" s="73">
        <f>AT150+AV150+AU150</f>
        <v>6700</v>
      </c>
      <c r="AY150" s="74">
        <f>AZ150+BA150+BB150+BC150+BD150+BE150</f>
        <v>6800</v>
      </c>
      <c r="AZ150" s="14">
        <v>6700</v>
      </c>
      <c r="BC150" s="17">
        <v>100</v>
      </c>
      <c r="BL150" s="18">
        <v>3</v>
      </c>
    </row>
    <row r="151" customHeight="1" spans="1:65">
      <c r="A151" s="1" t="s">
        <v>200</v>
      </c>
      <c r="B151" s="33">
        <v>10059715</v>
      </c>
      <c r="C151" s="3">
        <v>303</v>
      </c>
      <c r="D151" s="3" t="s">
        <v>181</v>
      </c>
      <c r="E151" s="3">
        <v>980</v>
      </c>
      <c r="I151" s="3">
        <v>3816</v>
      </c>
      <c r="K151" s="4">
        <f>6570-5471</f>
        <v>1099</v>
      </c>
      <c r="L151" s="5">
        <f>E151+F151+H151+I151+J151+G151+K151</f>
        <v>5895</v>
      </c>
      <c r="U151" s="7">
        <f>N151+O151+P151+Q151+S151+R151+T151</f>
        <v>0</v>
      </c>
      <c r="AD151" s="9">
        <f>W151+X151+Y151+Z151+AA151+AB151+AC151</f>
        <v>0</v>
      </c>
      <c r="AF151" s="34"/>
      <c r="AG151" s="34"/>
      <c r="AH151" s="34"/>
      <c r="AN151" s="9">
        <f>AG151+AH151+AI151+AJ151+AK151+AL151+AM151</f>
        <v>0</v>
      </c>
      <c r="AT151" s="11">
        <f>100+98+477</f>
        <v>675</v>
      </c>
      <c r="AV151" s="64">
        <f>L151+U151+AD151</f>
        <v>5895</v>
      </c>
      <c r="AW151" s="73">
        <f>AT151+AV151+AU151</f>
        <v>6570</v>
      </c>
      <c r="AY151" s="74">
        <f>AZ151+BA151+BB151+BC151+BD151+BE151</f>
        <v>6570</v>
      </c>
      <c r="AZ151" s="14">
        <v>6570</v>
      </c>
      <c r="BL151" s="18">
        <v>3</v>
      </c>
      <c r="BM151" s="90" t="s">
        <v>52</v>
      </c>
    </row>
    <row r="152" customHeight="1" spans="1:64">
      <c r="A152" s="1" t="s">
        <v>200</v>
      </c>
      <c r="B152" s="33">
        <v>10059716</v>
      </c>
      <c r="C152" s="3">
        <v>313</v>
      </c>
      <c r="D152" s="3" t="s">
        <v>137</v>
      </c>
      <c r="E152" s="3">
        <v>980</v>
      </c>
      <c r="G152" s="3">
        <v>5990</v>
      </c>
      <c r="K152" s="4">
        <f>9100-7388</f>
        <v>1712</v>
      </c>
      <c r="L152" s="5">
        <f>E152+F152+H152+I152+J152+G152+K152</f>
        <v>8682</v>
      </c>
      <c r="U152" s="7">
        <f>N152+O152+P152+Q152+S152+R152+T152</f>
        <v>0</v>
      </c>
      <c r="AD152" s="9">
        <f>W152+X152+Y152+Z152+AA152+AB152+AC152</f>
        <v>0</v>
      </c>
      <c r="AF152" s="34"/>
      <c r="AG152" s="34"/>
      <c r="AH152" s="34"/>
      <c r="AN152" s="9">
        <f>AG152+AH152+AI152+AJ152+AK152+AL152+AM152</f>
        <v>0</v>
      </c>
      <c r="AT152" s="11">
        <f>100+318</f>
        <v>418</v>
      </c>
      <c r="AV152" s="64">
        <f>L152+U152+AD152</f>
        <v>8682</v>
      </c>
      <c r="AW152" s="73">
        <f>AT152+AV152+AU152</f>
        <v>9100</v>
      </c>
      <c r="AY152" s="74">
        <f>AZ152+BA152+BB152+BC152+BD152+BE152</f>
        <v>9100</v>
      </c>
      <c r="BA152" s="15">
        <v>9100</v>
      </c>
      <c r="BL152" s="18">
        <v>3</v>
      </c>
    </row>
    <row r="153" customHeight="1" spans="1:65">
      <c r="A153" s="1" t="s">
        <v>200</v>
      </c>
      <c r="B153" s="33">
        <v>10059717</v>
      </c>
      <c r="C153" s="3">
        <v>312</v>
      </c>
      <c r="D153" s="3" t="s">
        <v>122</v>
      </c>
      <c r="E153" s="3">
        <v>980</v>
      </c>
      <c r="I153" s="3">
        <v>3816</v>
      </c>
      <c r="K153" s="4">
        <f>6000-5263</f>
        <v>737</v>
      </c>
      <c r="L153" s="5">
        <f>E153+F153+H153+I153+J153+G153+K153</f>
        <v>5533</v>
      </c>
      <c r="U153" s="7">
        <f>N153+O153+P153+Q153+S153+R153+T153</f>
        <v>0</v>
      </c>
      <c r="AD153" s="9">
        <f>W153+X153+Y153+Z153+AA153+AB153+AC153</f>
        <v>0</v>
      </c>
      <c r="AF153" s="34"/>
      <c r="AG153" s="34"/>
      <c r="AH153" s="34"/>
      <c r="AN153" s="9">
        <f>AG153+AH153+AI153+AJ153+AK153+AL153+AM153</f>
        <v>0</v>
      </c>
      <c r="AT153" s="11">
        <f>100+318+49</f>
        <v>467</v>
      </c>
      <c r="AV153" s="64">
        <f>L153+U153+AD153</f>
        <v>5533</v>
      </c>
      <c r="AW153" s="73">
        <f>AT153+AV153+AU153</f>
        <v>6000</v>
      </c>
      <c r="AY153" s="74">
        <f>AZ153+BA153+BB153+BC153+BD153+BE153</f>
        <v>6000</v>
      </c>
      <c r="BA153" s="15">
        <v>6000</v>
      </c>
      <c r="BL153" s="18">
        <v>2</v>
      </c>
      <c r="BM153" s="90" t="s">
        <v>92</v>
      </c>
    </row>
    <row r="154" customHeight="1" spans="1:64">
      <c r="A154" s="1" t="s">
        <v>200</v>
      </c>
      <c r="B154" s="33">
        <v>10059718</v>
      </c>
      <c r="C154" s="3">
        <v>310</v>
      </c>
      <c r="D154" s="3" t="s">
        <v>202</v>
      </c>
      <c r="E154" s="3">
        <v>980</v>
      </c>
      <c r="I154" s="3">
        <v>3816</v>
      </c>
      <c r="K154" s="4">
        <f>6100-5422</f>
        <v>678</v>
      </c>
      <c r="L154" s="5">
        <f>E154+F154+H154+I154+J154+G154+K154</f>
        <v>5474</v>
      </c>
      <c r="U154" s="7">
        <f>N154+O154+P154+Q154+S154+R154+T154</f>
        <v>0</v>
      </c>
      <c r="AD154" s="9">
        <f>W154+X154+Y154+Z154+AA154+AB154+AC154</f>
        <v>0</v>
      </c>
      <c r="AF154" s="34"/>
      <c r="AG154" s="34"/>
      <c r="AH154" s="34"/>
      <c r="AN154" s="9">
        <f>AG154+AH154+AI154+AJ154+AK154+AL154+AM154</f>
        <v>0</v>
      </c>
      <c r="AT154" s="11">
        <f>100+477+49</f>
        <v>626</v>
      </c>
      <c r="AV154" s="64">
        <f>L154+U154+AD154</f>
        <v>5474</v>
      </c>
      <c r="AW154" s="73">
        <f>AT154+AV154+AU154</f>
        <v>6100</v>
      </c>
      <c r="AY154" s="74">
        <f>AZ154+BA154+BB154+BC154+BD154+BE154</f>
        <v>6100</v>
      </c>
      <c r="BA154" s="15">
        <v>6100</v>
      </c>
      <c r="BL154" s="18">
        <v>2</v>
      </c>
    </row>
    <row r="155" customHeight="1" spans="1:65">
      <c r="A155" s="1" t="s">
        <v>200</v>
      </c>
      <c r="B155" s="33">
        <v>10059719</v>
      </c>
      <c r="C155" s="3">
        <v>308</v>
      </c>
      <c r="D155" s="3" t="s">
        <v>186</v>
      </c>
      <c r="E155" s="3">
        <v>980</v>
      </c>
      <c r="G155" s="3">
        <v>11800</v>
      </c>
      <c r="K155" s="4">
        <f>15800-13516</f>
        <v>2284</v>
      </c>
      <c r="L155" s="5">
        <f>E155+F155+H155+I155+J155+G155+K155</f>
        <v>15064</v>
      </c>
      <c r="U155" s="7">
        <f>N155+O155+P155+Q155+S155+R155+T155</f>
        <v>0</v>
      </c>
      <c r="AD155" s="9">
        <f>W155+X155+Y155+Z155+AA155+AB155+AC155</f>
        <v>0</v>
      </c>
      <c r="AF155" s="34"/>
      <c r="AG155" s="34"/>
      <c r="AH155" s="34"/>
      <c r="AN155" s="9">
        <f>AG155+AH155+AI155+AJ155+AK155+AL155+AM155</f>
        <v>0</v>
      </c>
      <c r="AT155" s="11">
        <f>100+636</f>
        <v>736</v>
      </c>
      <c r="AV155" s="64">
        <f>L155+U155+AD155</f>
        <v>15064</v>
      </c>
      <c r="AW155" s="73">
        <f>AT155+AV155+AU155</f>
        <v>15800</v>
      </c>
      <c r="AY155" s="74">
        <f>AZ155+BA155+BB155+BC155+BD155+BE155</f>
        <v>15800</v>
      </c>
      <c r="AZ155" s="14">
        <v>15800</v>
      </c>
      <c r="BL155" s="18">
        <v>3</v>
      </c>
      <c r="BM155" s="90" t="s">
        <v>52</v>
      </c>
    </row>
    <row r="156" customHeight="1" spans="1:64">
      <c r="A156" s="1" t="s">
        <v>200</v>
      </c>
      <c r="B156" s="33">
        <v>10059720</v>
      </c>
      <c r="C156" s="3">
        <v>309</v>
      </c>
      <c r="D156" s="3" t="s">
        <v>202</v>
      </c>
      <c r="E156" s="3">
        <v>980</v>
      </c>
      <c r="I156" s="3">
        <v>3816</v>
      </c>
      <c r="K156" s="4">
        <f>6350-5532</f>
        <v>818</v>
      </c>
      <c r="L156" s="5">
        <f>E156+F156+H156+I156+J156+G156+K156</f>
        <v>5614</v>
      </c>
      <c r="U156" s="7">
        <f>N156+O156+P156+Q156+S156+R156+T156</f>
        <v>0</v>
      </c>
      <c r="AD156" s="9">
        <f>W156+X156+Y156+Z156+AA156+AB156+AC156</f>
        <v>0</v>
      </c>
      <c r="AF156" s="34"/>
      <c r="AG156" s="34"/>
      <c r="AH156" s="34"/>
      <c r="AN156" s="9">
        <f>AG156+AH156+AI156+AJ156+AK156+AL156+AM156</f>
        <v>0</v>
      </c>
      <c r="AT156" s="11">
        <f>100+636</f>
        <v>736</v>
      </c>
      <c r="AV156" s="64">
        <f>L156+U156+AD156</f>
        <v>5614</v>
      </c>
      <c r="AW156" s="73">
        <f>AT156+AV156+AU156</f>
        <v>6350</v>
      </c>
      <c r="AY156" s="74">
        <f>AZ156+BA156+BB156+BC156+BD156+BE156</f>
        <v>6350</v>
      </c>
      <c r="BA156" s="15">
        <v>6350</v>
      </c>
      <c r="BL156" s="18">
        <v>2</v>
      </c>
    </row>
    <row r="157" customHeight="1" spans="1:65">
      <c r="A157" s="1" t="s">
        <v>200</v>
      </c>
      <c r="B157" s="33">
        <v>10059721</v>
      </c>
      <c r="C157" s="34" t="s">
        <v>89</v>
      </c>
      <c r="D157" s="3" t="s">
        <v>176</v>
      </c>
      <c r="E157" s="3">
        <v>2180</v>
      </c>
      <c r="G157" s="3">
        <v>17780</v>
      </c>
      <c r="I157" s="3">
        <v>1428</v>
      </c>
      <c r="K157" s="4">
        <f>26300-22749</f>
        <v>3551</v>
      </c>
      <c r="L157" s="5">
        <f>E157+F157+H157+I157+J157+G157+K157</f>
        <v>24939</v>
      </c>
      <c r="U157" s="7">
        <f>N157+O157+P157+Q157+S157+R157+T157</f>
        <v>0</v>
      </c>
      <c r="AD157" s="9">
        <f>W157+X157+Y157+Z157+AA157+AB157+AC157</f>
        <v>0</v>
      </c>
      <c r="AF157" s="34"/>
      <c r="AG157" s="34"/>
      <c r="AH157" s="34"/>
      <c r="AN157" s="9">
        <f>AG157+AH157+AI157+AJ157+AK157+AL157+AM157</f>
        <v>0</v>
      </c>
      <c r="AT157" s="11">
        <f>100+1183+29+49</f>
        <v>1361</v>
      </c>
      <c r="AV157" s="64">
        <f>L157+U157+AD157</f>
        <v>24939</v>
      </c>
      <c r="AW157" s="73">
        <f>AT157+AV157+AU157</f>
        <v>26300</v>
      </c>
      <c r="AY157" s="74">
        <f>AZ157+BA157+BB157+BC157+BD157+BE157</f>
        <v>27300</v>
      </c>
      <c r="BA157" s="15">
        <v>26300</v>
      </c>
      <c r="BC157" s="17">
        <v>970</v>
      </c>
      <c r="BD157" s="17">
        <v>30</v>
      </c>
      <c r="BL157" s="18">
        <v>5</v>
      </c>
      <c r="BM157" s="90" t="s">
        <v>167</v>
      </c>
    </row>
    <row r="158" customHeight="1" spans="1:64">
      <c r="A158" s="1" t="s">
        <v>200</v>
      </c>
      <c r="B158" s="33">
        <v>10059722</v>
      </c>
      <c r="C158" s="3">
        <v>318</v>
      </c>
      <c r="L158" s="5">
        <f>E158+F158+H158+I158+J158+G158+K158</f>
        <v>0</v>
      </c>
      <c r="M158" s="3" t="s">
        <v>118</v>
      </c>
      <c r="N158" s="3">
        <v>980</v>
      </c>
      <c r="R158" s="3">
        <v>2856</v>
      </c>
      <c r="T158" s="6">
        <v>405</v>
      </c>
      <c r="U158" s="7">
        <f>N158+O158+P158+Q158+S158+R158+T158</f>
        <v>4241</v>
      </c>
      <c r="AD158" s="9">
        <f>W158+X158+Y158+Z158+AA158+AB158+AC158</f>
        <v>0</v>
      </c>
      <c r="AF158" s="34"/>
      <c r="AG158" s="34"/>
      <c r="AH158" s="34"/>
      <c r="AN158" s="9">
        <f>AG158+AH158+AI158+AJ158+AK158+AL158+AM158</f>
        <v>0</v>
      </c>
      <c r="AT158" s="11">
        <f>100+159</f>
        <v>259</v>
      </c>
      <c r="AV158" s="64">
        <f>L158+U158+AD158</f>
        <v>4241</v>
      </c>
      <c r="AW158" s="73">
        <f>AT158+AV158+AU158</f>
        <v>4500</v>
      </c>
      <c r="AY158" s="74">
        <f>AZ158+BA158+BB158+BC158+BD158+BE158</f>
        <v>4500</v>
      </c>
      <c r="BA158" s="15">
        <v>4500</v>
      </c>
      <c r="BL158" s="18">
        <v>1</v>
      </c>
    </row>
    <row r="159" customHeight="1" spans="1:65">
      <c r="A159" s="1" t="s">
        <v>200</v>
      </c>
      <c r="B159" s="33">
        <v>10059723</v>
      </c>
      <c r="C159" s="34" t="s">
        <v>59</v>
      </c>
      <c r="D159" s="3" t="s">
        <v>82</v>
      </c>
      <c r="E159" s="3">
        <v>2180</v>
      </c>
      <c r="G159" s="3">
        <v>4890</v>
      </c>
      <c r="I159" s="3">
        <v>1428</v>
      </c>
      <c r="K159" s="4">
        <f>10100-8936</f>
        <v>1164</v>
      </c>
      <c r="L159" s="5">
        <f>E159+F159+H159+I159+J159+G159+K159</f>
        <v>9662</v>
      </c>
      <c r="U159" s="7">
        <f>N159+O159+P159+Q159+S159+R159+T159</f>
        <v>0</v>
      </c>
      <c r="AD159" s="9">
        <f>W159+X159+Y159+Z159+AA159+AB159+AC159</f>
        <v>0</v>
      </c>
      <c r="AF159" s="34"/>
      <c r="AG159" s="34"/>
      <c r="AH159" s="34"/>
      <c r="AN159" s="9">
        <f>AG159+AH159+AI159+AJ159+AK159+AL159+AM159</f>
        <v>0</v>
      </c>
      <c r="AT159" s="11">
        <f>100+338</f>
        <v>438</v>
      </c>
      <c r="AV159" s="64">
        <f>L159+U159+AD159</f>
        <v>9662</v>
      </c>
      <c r="AW159" s="73">
        <f>AT159+AV159+AU159</f>
        <v>10100</v>
      </c>
      <c r="AY159" s="74">
        <f>AZ159+BA159+BB159+BC159+BD159+BE159</f>
        <v>10100</v>
      </c>
      <c r="BA159" s="15">
        <v>10100</v>
      </c>
      <c r="BL159" s="18">
        <v>2</v>
      </c>
      <c r="BM159" s="90" t="s">
        <v>92</v>
      </c>
    </row>
    <row r="160" customHeight="1" spans="1:65">
      <c r="A160" s="1" t="s">
        <v>200</v>
      </c>
      <c r="B160" s="33">
        <v>10059724</v>
      </c>
      <c r="C160" s="34" t="s">
        <v>48</v>
      </c>
      <c r="D160" s="3" t="s">
        <v>181</v>
      </c>
      <c r="E160" s="3">
        <v>1880</v>
      </c>
      <c r="I160" s="3">
        <v>11448</v>
      </c>
      <c r="K160" s="4">
        <f>17800-14846</f>
        <v>2954</v>
      </c>
      <c r="L160" s="5">
        <f>E160+F160+H160+I160+J160+G160+K160</f>
        <v>16282</v>
      </c>
      <c r="U160" s="7">
        <f>N160+O160+P160+Q160+S160+R160+T160</f>
        <v>0</v>
      </c>
      <c r="AD160" s="9">
        <f>W160+X160+Y160+Z160+AA160+AB160+AC160</f>
        <v>0</v>
      </c>
      <c r="AF160" s="34"/>
      <c r="AG160" s="34"/>
      <c r="AH160" s="34"/>
      <c r="AN160" s="9">
        <f>AG160+AH160+AI160+AJ160+AK160+AL160+AM160</f>
        <v>0</v>
      </c>
      <c r="AT160" s="11">
        <f>100+147+58+1113+100</f>
        <v>1518</v>
      </c>
      <c r="AV160" s="64">
        <f>L160+U160+AD160</f>
        <v>16282</v>
      </c>
      <c r="AW160" s="73">
        <f>AT160+AV160+AU160</f>
        <v>17800</v>
      </c>
      <c r="AY160" s="74">
        <f>AZ160+BA160+BB160+BC160+BD160+BE160</f>
        <v>18100</v>
      </c>
      <c r="AZ160" s="14">
        <v>17800</v>
      </c>
      <c r="BC160" s="17">
        <v>290</v>
      </c>
      <c r="BD160" s="17">
        <v>10</v>
      </c>
      <c r="BL160" s="18">
        <v>6</v>
      </c>
      <c r="BM160" s="90" t="s">
        <v>52</v>
      </c>
    </row>
    <row r="161" customHeight="1" spans="1:65">
      <c r="A161" s="1" t="s">
        <v>200</v>
      </c>
      <c r="B161" s="33">
        <v>10059725</v>
      </c>
      <c r="C161" s="3">
        <v>311</v>
      </c>
      <c r="D161" s="34" t="s">
        <v>203</v>
      </c>
      <c r="E161" s="3">
        <v>980</v>
      </c>
      <c r="I161" s="3">
        <v>2261</v>
      </c>
      <c r="K161" s="4">
        <f>4780-4136</f>
        <v>644</v>
      </c>
      <c r="L161" s="5">
        <f>E161+F161+H161+I161+J161+G161+K161</f>
        <v>3885</v>
      </c>
      <c r="U161" s="7">
        <f>N161+O161+P161+Q161+S161+R161+T161</f>
        <v>0</v>
      </c>
      <c r="AD161" s="9">
        <f>W161+X161+Y161+Z161+AA161+AB161+AC161</f>
        <v>0</v>
      </c>
      <c r="AF161" s="34"/>
      <c r="AG161" s="34"/>
      <c r="AH161" s="34"/>
      <c r="AN161" s="9">
        <f>AG161+AH161+AI161+AJ161+AK161+AL161+AM161</f>
        <v>0</v>
      </c>
      <c r="AT161" s="11">
        <f>100+795</f>
        <v>895</v>
      </c>
      <c r="AV161" s="64">
        <f>L161+U161+AD161</f>
        <v>3885</v>
      </c>
      <c r="AW161" s="73">
        <f>AT161+AV161+AU161</f>
        <v>4780</v>
      </c>
      <c r="AY161" s="74">
        <f>AZ161+BA161+BB161+BC161+BD161+BE161</f>
        <v>4780</v>
      </c>
      <c r="BA161" s="15">
        <v>4780</v>
      </c>
      <c r="BL161" s="18">
        <v>3</v>
      </c>
      <c r="BM161" s="90" t="s">
        <v>92</v>
      </c>
    </row>
    <row r="162" customHeight="1" spans="1:65">
      <c r="A162" s="1" t="s">
        <v>200</v>
      </c>
      <c r="B162" s="33">
        <v>10059726</v>
      </c>
      <c r="C162" s="34" t="s">
        <v>56</v>
      </c>
      <c r="D162" s="3" t="s">
        <v>115</v>
      </c>
      <c r="E162" s="3">
        <v>3180</v>
      </c>
      <c r="G162" s="3">
        <v>17980</v>
      </c>
      <c r="J162" s="3">
        <v>69</v>
      </c>
      <c r="K162" s="4">
        <f>24700-22174</f>
        <v>2526</v>
      </c>
      <c r="L162" s="5">
        <f>E162+F162+H162+I162+J162+G162+K162</f>
        <v>23755</v>
      </c>
      <c r="U162" s="7">
        <f>N162+O162+P162+Q162+S162+R162+T162</f>
        <v>0</v>
      </c>
      <c r="AD162" s="9">
        <f>W162+X162+Y162+Z162+AA162+AB162+AC162</f>
        <v>0</v>
      </c>
      <c r="AF162" s="34"/>
      <c r="AG162" s="34"/>
      <c r="AH162" s="34"/>
      <c r="AN162" s="9">
        <f>AG162+AH162+AI162+AJ162+AK162+AL162+AM162</f>
        <v>0</v>
      </c>
      <c r="AT162" s="11">
        <f>100+845</f>
        <v>945</v>
      </c>
      <c r="AV162" s="64">
        <f>L162+U162+AD162</f>
        <v>23755</v>
      </c>
      <c r="AW162" s="73">
        <f>AT162+AV162+AU162</f>
        <v>24700</v>
      </c>
      <c r="AY162" s="74">
        <f>AZ162+BA162+BB162+BC162+BD162+BE162</f>
        <v>24700</v>
      </c>
      <c r="BA162" s="15">
        <v>24700</v>
      </c>
      <c r="BL162" s="18">
        <v>4</v>
      </c>
      <c r="BM162" s="90" t="s">
        <v>72</v>
      </c>
    </row>
    <row r="163" customHeight="1" spans="1:65">
      <c r="A163" s="1" t="s">
        <v>200</v>
      </c>
      <c r="B163" s="33">
        <v>10059727</v>
      </c>
      <c r="C163" s="3">
        <v>307</v>
      </c>
      <c r="D163" s="3" t="s">
        <v>121</v>
      </c>
      <c r="E163" s="3">
        <v>980</v>
      </c>
      <c r="I163" s="3">
        <f>3816+954</f>
        <v>4770</v>
      </c>
      <c r="J163" s="3">
        <f>129+49+99+129+69</f>
        <v>475</v>
      </c>
      <c r="K163" s="4">
        <f>8450-7090</f>
        <v>1360</v>
      </c>
      <c r="L163" s="5">
        <f>E163+F163+H163+I163+J163+G163+K163</f>
        <v>7585</v>
      </c>
      <c r="U163" s="7">
        <f>N163+O163+P163+Q163+S163+R163+T163</f>
        <v>0</v>
      </c>
      <c r="AD163" s="9">
        <f>W163+X163+Y163+Z163+AA163+AB163+AC163</f>
        <v>0</v>
      </c>
      <c r="AF163" s="34"/>
      <c r="AG163" s="34"/>
      <c r="AH163" s="34"/>
      <c r="AN163" s="9">
        <f>AG163+AH163+AI163+AJ163+AK163+AL163+AM163</f>
        <v>0</v>
      </c>
      <c r="AT163" s="11">
        <f>100+636+49+80</f>
        <v>865</v>
      </c>
      <c r="AV163" s="64">
        <f>L163+U163+AD163</f>
        <v>7585</v>
      </c>
      <c r="AW163" s="73">
        <f>AT163+AV163+AU163</f>
        <v>8450</v>
      </c>
      <c r="AY163" s="74">
        <f>AZ163+BA163+BB163+BC163+BD163+BE163</f>
        <v>8450</v>
      </c>
      <c r="AZ163" s="14">
        <v>8450</v>
      </c>
      <c r="BL163" s="18">
        <v>3</v>
      </c>
      <c r="BM163" s="90" t="s">
        <v>92</v>
      </c>
    </row>
    <row r="164" customHeight="1" spans="1:65">
      <c r="A164" s="1" t="s">
        <v>200</v>
      </c>
      <c r="B164" s="33">
        <v>10059728</v>
      </c>
      <c r="C164" s="3" t="s">
        <v>120</v>
      </c>
      <c r="D164" s="3" t="s">
        <v>60</v>
      </c>
      <c r="E164" s="3">
        <v>1880</v>
      </c>
      <c r="I164" s="3">
        <f>954+3816</f>
        <v>4770</v>
      </c>
      <c r="K164" s="4">
        <f>8800-7435</f>
        <v>1365</v>
      </c>
      <c r="L164" s="5">
        <f>E164+F164+H164+I164+J164+G164+K164</f>
        <v>8015</v>
      </c>
      <c r="U164" s="7">
        <f>N164+O164+P164+Q164+S164+R164+T164</f>
        <v>0</v>
      </c>
      <c r="AD164" s="9">
        <f>W164+X164+Y164+Z164+AA164+AB164+AC164</f>
        <v>0</v>
      </c>
      <c r="AF164" s="34"/>
      <c r="AG164" s="34"/>
      <c r="AH164" s="34"/>
      <c r="AN164" s="9">
        <f>AG164+AH164+AI164+AJ164+AK164+AL164+AM164</f>
        <v>0</v>
      </c>
      <c r="AT164" s="11">
        <f>100+636+49</f>
        <v>785</v>
      </c>
      <c r="AV164" s="64">
        <f>L164+U164+AD164</f>
        <v>8015</v>
      </c>
      <c r="AW164" s="73">
        <f>AT164+AV164+AU164</f>
        <v>8800</v>
      </c>
      <c r="AY164" s="74">
        <f>AZ164+BA164+BB164+BC164+BD164+BE164</f>
        <v>8800</v>
      </c>
      <c r="AZ164" s="14">
        <v>8800</v>
      </c>
      <c r="BL164" s="18">
        <v>4</v>
      </c>
      <c r="BM164" s="90" t="s">
        <v>143</v>
      </c>
    </row>
    <row r="165" customHeight="1" spans="1:65">
      <c r="A165" s="1" t="s">
        <v>200</v>
      </c>
      <c r="B165" s="33">
        <v>10059729</v>
      </c>
      <c r="C165" s="34" t="s">
        <v>78</v>
      </c>
      <c r="L165" s="5">
        <f>E165+F165+H165+I165+J165+G165+K165</f>
        <v>0</v>
      </c>
      <c r="M165" s="3" t="s">
        <v>197</v>
      </c>
      <c r="N165" s="3">
        <v>2580</v>
      </c>
      <c r="P165" s="3">
        <v>13580</v>
      </c>
      <c r="T165" s="6">
        <v>2690</v>
      </c>
      <c r="U165" s="7">
        <f>N165+O165+P165+Q165+S165+R165+T165</f>
        <v>18850</v>
      </c>
      <c r="AD165" s="9">
        <f>W165+X165+Y165+Z165+AA165+AB165+AC165</f>
        <v>0</v>
      </c>
      <c r="AF165" s="34"/>
      <c r="AG165" s="34"/>
      <c r="AH165" s="34"/>
      <c r="AN165" s="9">
        <f>AG165+AH165+AI165+AJ165+AK165+AL165+AM165</f>
        <v>0</v>
      </c>
      <c r="AT165" s="11">
        <f>100+845+147+58</f>
        <v>1150</v>
      </c>
      <c r="AV165" s="64">
        <f>L165+U165+AD165</f>
        <v>18850</v>
      </c>
      <c r="AW165" s="73">
        <f>AT165+AV165+AU165</f>
        <v>20000</v>
      </c>
      <c r="AY165" s="74">
        <f>AZ165+BA165+BB165+BC165+BD165+BE165</f>
        <v>20000</v>
      </c>
      <c r="BA165" s="15">
        <v>20000</v>
      </c>
      <c r="BL165" s="18">
        <v>4</v>
      </c>
      <c r="BM165" s="90" t="s">
        <v>174</v>
      </c>
    </row>
    <row r="166" customHeight="1" spans="1:65">
      <c r="A166" s="1" t="s">
        <v>200</v>
      </c>
      <c r="B166" s="33">
        <v>10059730</v>
      </c>
      <c r="C166" s="3" t="s">
        <v>44</v>
      </c>
      <c r="D166" s="3" t="s">
        <v>204</v>
      </c>
      <c r="E166" s="3">
        <v>1880</v>
      </c>
      <c r="I166" s="3">
        <f>1428+2856</f>
        <v>4284</v>
      </c>
      <c r="J166" s="3">
        <v>336</v>
      </c>
      <c r="K166" s="4">
        <f>10100-8031</f>
        <v>2069</v>
      </c>
      <c r="L166" s="5">
        <f>E166+F166+H166+I166+J166+G166+K166</f>
        <v>8569</v>
      </c>
      <c r="U166" s="7">
        <f>N166+O166+P166+Q166+S166+R166+T166</f>
        <v>0</v>
      </c>
      <c r="AD166" s="9">
        <f>W166+X166+Y166+Z166+AA166+AB166+AC166</f>
        <v>0</v>
      </c>
      <c r="AF166" s="34"/>
      <c r="AG166" s="34"/>
      <c r="AH166" s="34"/>
      <c r="AN166" s="9">
        <f>AG166+AH166+AI166+AJ166+AK166+AL166+AM166</f>
        <v>0</v>
      </c>
      <c r="AT166" s="11">
        <f>100+1431</f>
        <v>1531</v>
      </c>
      <c r="AV166" s="64">
        <f>L166+U166+AD166</f>
        <v>8569</v>
      </c>
      <c r="AW166" s="73">
        <f>AT166+AV166+AU166</f>
        <v>10100</v>
      </c>
      <c r="AY166" s="74">
        <f>AZ166+BA166+BB166+BC166+BD166+BE166</f>
        <v>10100</v>
      </c>
      <c r="AZ166" s="14">
        <v>10100</v>
      </c>
      <c r="BL166" s="18">
        <v>7</v>
      </c>
      <c r="BM166" s="90" t="s">
        <v>72</v>
      </c>
    </row>
    <row r="167" customHeight="1" spans="1:65">
      <c r="A167" s="1" t="s">
        <v>200</v>
      </c>
      <c r="B167" s="33">
        <v>10059731</v>
      </c>
      <c r="C167" s="34" t="s">
        <v>94</v>
      </c>
      <c r="D167" s="3" t="s">
        <v>112</v>
      </c>
      <c r="E167" s="3">
        <v>1680</v>
      </c>
      <c r="I167" s="3">
        <v>4641</v>
      </c>
      <c r="J167" s="3">
        <f>129+69+129</f>
        <v>327</v>
      </c>
      <c r="K167" s="4">
        <f>8040-6748</f>
        <v>1292</v>
      </c>
      <c r="L167" s="5">
        <f>E167+F167+H167+I167+J167+G167+K167</f>
        <v>7940</v>
      </c>
      <c r="U167" s="7">
        <f>N167+O167+P167+Q167+S167+R167+T167</f>
        <v>0</v>
      </c>
      <c r="AD167" s="9">
        <f>W167+X167+Y167+Z167+AA167+AB167+AC167</f>
        <v>0</v>
      </c>
      <c r="AF167" s="34"/>
      <c r="AG167" s="34"/>
      <c r="AH167" s="34"/>
      <c r="AN167" s="9">
        <f>AG167+AH167+AI167+AJ167+AK167+AL167+AM167</f>
        <v>0</v>
      </c>
      <c r="AT167" s="11">
        <f>100</f>
        <v>100</v>
      </c>
      <c r="AV167" s="64">
        <f>L167+U167+AD167</f>
        <v>7940</v>
      </c>
      <c r="AW167" s="73">
        <f>AT167+AV167+AU167</f>
        <v>8040</v>
      </c>
      <c r="AY167" s="74">
        <f>AZ167+BA167+BB167+BC167+BD167+BE167</f>
        <v>8040</v>
      </c>
      <c r="AZ167" s="14">
        <v>8040</v>
      </c>
      <c r="BL167" s="18">
        <v>4</v>
      </c>
      <c r="BM167" s="90" t="s">
        <v>52</v>
      </c>
    </row>
    <row r="168" customHeight="1" spans="1:65">
      <c r="A168" s="1" t="s">
        <v>200</v>
      </c>
      <c r="B168" s="33">
        <v>10059732</v>
      </c>
      <c r="C168" s="34" t="s">
        <v>54</v>
      </c>
      <c r="D168" s="3" t="s">
        <v>205</v>
      </c>
      <c r="E168" s="3">
        <v>2180</v>
      </c>
      <c r="G168" s="3">
        <v>9190</v>
      </c>
      <c r="K168" s="4">
        <f>12450-11977</f>
        <v>473</v>
      </c>
      <c r="L168" s="5">
        <f>E168+F168+H168+I168+J168+G168+K168</f>
        <v>11843</v>
      </c>
      <c r="U168" s="7">
        <f>N168+O168+P168+Q168+S168+R168+T168</f>
        <v>0</v>
      </c>
      <c r="AD168" s="9">
        <f>W168+X168+Y168+Z168+AA168+AB168+AC168</f>
        <v>0</v>
      </c>
      <c r="AF168" s="34"/>
      <c r="AG168" s="34"/>
      <c r="AH168" s="34"/>
      <c r="AN168" s="9">
        <f>AG168+AH168+AI168+AJ168+AK168+AL168+AM168</f>
        <v>0</v>
      </c>
      <c r="AT168" s="11">
        <f>100+507</f>
        <v>607</v>
      </c>
      <c r="AV168" s="64">
        <f>L168+U168+AD168</f>
        <v>11843</v>
      </c>
      <c r="AW168" s="73">
        <f>AT168+AV168+AU168</f>
        <v>12450</v>
      </c>
      <c r="AY168" s="74">
        <f>AZ168+BA168+BB168+BC168+BD168+BE168</f>
        <v>12450</v>
      </c>
      <c r="BB168" s="16">
        <v>12450</v>
      </c>
      <c r="BL168" s="18">
        <v>1</v>
      </c>
      <c r="BM168" s="90" t="s">
        <v>143</v>
      </c>
    </row>
    <row r="169" customHeight="1" spans="1:64">
      <c r="A169" s="1" t="s">
        <v>200</v>
      </c>
      <c r="B169" s="33">
        <v>10059733</v>
      </c>
      <c r="C169" s="34" t="s">
        <v>84</v>
      </c>
      <c r="L169" s="5">
        <f>E169+F169+H169+I169+J169+G169+K169</f>
        <v>0</v>
      </c>
      <c r="M169" s="3" t="s">
        <v>206</v>
      </c>
      <c r="N169" s="3">
        <v>2580</v>
      </c>
      <c r="R169" s="3">
        <v>13197</v>
      </c>
      <c r="T169" s="6">
        <v>3010</v>
      </c>
      <c r="U169" s="7">
        <f>N169+O169+P169+Q169+S169+R169+T169</f>
        <v>18787</v>
      </c>
      <c r="AD169" s="9">
        <f>W169+X169+Y169+Z169+AA169+AB169+AC169</f>
        <v>0</v>
      </c>
      <c r="AF169" s="34"/>
      <c r="AG169" s="34"/>
      <c r="AH169" s="34"/>
      <c r="AN169" s="9">
        <f>AG169+AH169+AI169+AJ169+AK169+AL169+AM169</f>
        <v>0</v>
      </c>
      <c r="AT169" s="11">
        <f>100+1014+49</f>
        <v>1163</v>
      </c>
      <c r="AV169" s="64">
        <f>L169+U169+AD169</f>
        <v>18787</v>
      </c>
      <c r="AW169" s="73">
        <f>AT169+AV169+AU169</f>
        <v>19950</v>
      </c>
      <c r="AY169" s="74">
        <f>AZ169+BA169+BB169+BC169+BD169+BE169</f>
        <v>19950</v>
      </c>
      <c r="BA169" s="15">
        <v>19950</v>
      </c>
      <c r="BL169" s="18">
        <v>6</v>
      </c>
    </row>
    <row r="170" customHeight="1" spans="1:64">
      <c r="A170" s="1" t="s">
        <v>200</v>
      </c>
      <c r="B170" s="33">
        <v>10059734</v>
      </c>
      <c r="C170" s="3">
        <v>302</v>
      </c>
      <c r="L170" s="5">
        <f>E170+F170+H170+I170+J170+G170+K170</f>
        <v>0</v>
      </c>
      <c r="M170" s="3" t="s">
        <v>207</v>
      </c>
      <c r="N170" s="3">
        <v>980</v>
      </c>
      <c r="R170" s="3">
        <v>1428</v>
      </c>
      <c r="S170" s="3">
        <v>169</v>
      </c>
      <c r="T170" s="6">
        <v>123</v>
      </c>
      <c r="U170" s="7">
        <f>N170+O170+P170+Q170+S170+R170+T170</f>
        <v>2700</v>
      </c>
      <c r="AD170" s="9">
        <f>W170+X170+Y170+Z170+AA170+AB170+AC170</f>
        <v>0</v>
      </c>
      <c r="AF170" s="34"/>
      <c r="AG170" s="34"/>
      <c r="AH170" s="34"/>
      <c r="AN170" s="9">
        <f>AG170+AH170+AI170+AJ170+AK170+AL170+AM170</f>
        <v>0</v>
      </c>
      <c r="AT170" s="11">
        <v>100</v>
      </c>
      <c r="AV170" s="64">
        <f>L170+U170+AD170</f>
        <v>2700</v>
      </c>
      <c r="AW170" s="73">
        <f>AT170+AV170+AU170</f>
        <v>2800</v>
      </c>
      <c r="AY170" s="74">
        <f>AZ170+BA170+BB170+BC170+BD170+BE170</f>
        <v>2800</v>
      </c>
      <c r="BA170" s="15">
        <v>2800</v>
      </c>
      <c r="BL170" s="18">
        <v>1</v>
      </c>
    </row>
    <row r="171" customHeight="1" spans="1:65">
      <c r="A171" s="1" t="s">
        <v>200</v>
      </c>
      <c r="B171" s="33">
        <v>10059735</v>
      </c>
      <c r="C171" s="34" t="s">
        <v>67</v>
      </c>
      <c r="D171" s="3" t="s">
        <v>201</v>
      </c>
      <c r="E171" s="3">
        <v>2180</v>
      </c>
      <c r="G171" s="3">
        <v>17780</v>
      </c>
      <c r="K171" s="4">
        <f>25800-21358</f>
        <v>4442</v>
      </c>
      <c r="L171" s="5">
        <f>E171+F171+H171+I171+J171+G171+K171</f>
        <v>24402</v>
      </c>
      <c r="U171" s="7">
        <f>N171+O171+P171+Q171+S171+R171+T171</f>
        <v>0</v>
      </c>
      <c r="AD171" s="9">
        <f>W171+X171+Y171+Z171+AA171+AB171+AC171</f>
        <v>0</v>
      </c>
      <c r="AF171" s="34"/>
      <c r="AG171" s="34"/>
      <c r="AH171" s="34"/>
      <c r="AN171" s="9">
        <f>AG171+AH171+AI171+AJ171+AK171+AL171+AM171</f>
        <v>0</v>
      </c>
      <c r="AT171" s="11">
        <f>100+1014+174+110</f>
        <v>1398</v>
      </c>
      <c r="AV171" s="64">
        <f>L171+U171+AD171</f>
        <v>24402</v>
      </c>
      <c r="AW171" s="73">
        <f>AT171+AV171+AU171</f>
        <v>25800</v>
      </c>
      <c r="AY171" s="74">
        <f>AZ171+BA171+BB171+BC171+BD171+BE171</f>
        <v>25800</v>
      </c>
      <c r="BA171" s="15">
        <v>25800</v>
      </c>
      <c r="BL171" s="18">
        <v>3</v>
      </c>
      <c r="BM171" s="90" t="s">
        <v>130</v>
      </c>
    </row>
    <row r="172" customHeight="1" spans="1:64">
      <c r="A172" s="1" t="s">
        <v>200</v>
      </c>
      <c r="B172" s="33">
        <v>10059736</v>
      </c>
      <c r="C172" s="34" t="s">
        <v>62</v>
      </c>
      <c r="D172" s="3" t="s">
        <v>208</v>
      </c>
      <c r="E172" s="3">
        <v>2180</v>
      </c>
      <c r="I172" s="3">
        <v>7632</v>
      </c>
      <c r="K172" s="4">
        <f>11500-10299</f>
        <v>1201</v>
      </c>
      <c r="L172" s="5">
        <f>E172+F172+H172+I172+J172+G172+K172</f>
        <v>11013</v>
      </c>
      <c r="U172" s="7">
        <f>N172+O172+P172+Q172+S172+R172+T172</f>
        <v>0</v>
      </c>
      <c r="AD172" s="9">
        <f>W172+X172+Y172+Z172+AA172+AB172+AC172</f>
        <v>0</v>
      </c>
      <c r="AF172" s="34"/>
      <c r="AG172" s="34"/>
      <c r="AH172" s="34"/>
      <c r="AN172" s="9">
        <f>AG172+AH172+AI172+AJ172+AK172+AL172+AM172</f>
        <v>0</v>
      </c>
      <c r="AT172" s="11">
        <f>100+338+49</f>
        <v>487</v>
      </c>
      <c r="AV172" s="64">
        <f>L172+U172+AD172</f>
        <v>11013</v>
      </c>
      <c r="AW172" s="73">
        <f>AT172+AV172+AU172</f>
        <v>11500</v>
      </c>
      <c r="AY172" s="74">
        <f>AZ172+BA172+BB172+BC172+BD172+BE172</f>
        <v>14552</v>
      </c>
      <c r="BA172" s="15">
        <v>11500</v>
      </c>
      <c r="BE172" s="17">
        <f>3000+52</f>
        <v>3052</v>
      </c>
      <c r="BL172" s="18">
        <v>2</v>
      </c>
    </row>
    <row r="173" customHeight="1" spans="1:65">
      <c r="A173" s="1" t="s">
        <v>200</v>
      </c>
      <c r="B173" s="33">
        <v>10059737</v>
      </c>
      <c r="C173" s="34" t="s">
        <v>59</v>
      </c>
      <c r="D173" s="3" t="s">
        <v>193</v>
      </c>
      <c r="E173" s="3">
        <v>2180</v>
      </c>
      <c r="I173" s="3">
        <f>2737+7632</f>
        <v>10369</v>
      </c>
      <c r="K173" s="4">
        <f>15000-13374</f>
        <v>1626</v>
      </c>
      <c r="L173" s="5">
        <f>E173+F173+H173+I173+J173+G173+K173</f>
        <v>14175</v>
      </c>
      <c r="U173" s="7">
        <f>N173+O173+P173+Q173+S173+R173+T173</f>
        <v>0</v>
      </c>
      <c r="AD173" s="9">
        <f>W173+X173+Y173+Z173+AA173+AB173+AC173</f>
        <v>0</v>
      </c>
      <c r="AF173" s="34"/>
      <c r="AG173" s="34"/>
      <c r="AH173" s="34"/>
      <c r="AN173" s="9">
        <f>AG173+AH173+AI173+AJ173+AK173+AL173+AM173</f>
        <v>0</v>
      </c>
      <c r="AT173" s="11">
        <f>100+676+49</f>
        <v>825</v>
      </c>
      <c r="AV173" s="64">
        <f>L173+U173+AD173</f>
        <v>14175</v>
      </c>
      <c r="AW173" s="73">
        <f>AT173+AV173+AU173</f>
        <v>15000</v>
      </c>
      <c r="AY173" s="74">
        <f>AZ173+BA173+BB173+BC173+BD173+BE173</f>
        <v>15300</v>
      </c>
      <c r="BA173" s="15">
        <v>15000</v>
      </c>
      <c r="BC173" s="17">
        <v>290</v>
      </c>
      <c r="BD173" s="17">
        <v>10</v>
      </c>
      <c r="BL173" s="18">
        <v>4</v>
      </c>
      <c r="BM173" s="90" t="s">
        <v>52</v>
      </c>
    </row>
    <row r="174" customHeight="1" spans="1:65">
      <c r="A174" s="1" t="s">
        <v>200</v>
      </c>
      <c r="B174" s="33">
        <v>10059738</v>
      </c>
      <c r="C174" s="34" t="s">
        <v>65</v>
      </c>
      <c r="L174" s="5">
        <f>E174+F174+H174+I174+J174+G174+K174</f>
        <v>0</v>
      </c>
      <c r="M174" s="3" t="s">
        <v>172</v>
      </c>
      <c r="T174" s="6">
        <v>10004</v>
      </c>
      <c r="U174" s="7">
        <f>N174+O174+P174+Q174+S174+R174+T174</f>
        <v>10004</v>
      </c>
      <c r="AD174" s="9">
        <f>W174+X174+Y174+Z174+AA174+AB174+AC174</f>
        <v>0</v>
      </c>
      <c r="AF174" s="34"/>
      <c r="AG174" s="34"/>
      <c r="AH174" s="34"/>
      <c r="AN174" s="9">
        <f>AG174+AH174+AI174+AJ174+AK174+AL174+AM174</f>
        <v>0</v>
      </c>
      <c r="AT174" s="11">
        <f>100+100+49+40+507</f>
        <v>796</v>
      </c>
      <c r="AV174" s="64">
        <f>L174+U174+AD174</f>
        <v>10004</v>
      </c>
      <c r="AW174" s="73">
        <f>AT174+AV174+AU174</f>
        <v>10800</v>
      </c>
      <c r="AX174" s="13" t="s">
        <v>209</v>
      </c>
      <c r="AY174" s="74">
        <f>AZ174+BA174+BB174+BC174+BD174+BE174</f>
        <v>11340</v>
      </c>
      <c r="BB174" s="16">
        <v>10800</v>
      </c>
      <c r="BC174" s="17">
        <v>520</v>
      </c>
      <c r="BD174" s="17">
        <v>20</v>
      </c>
      <c r="BL174" s="18">
        <v>5</v>
      </c>
      <c r="BM174" s="90" t="s">
        <v>61</v>
      </c>
    </row>
    <row r="175" customHeight="1" spans="1:65">
      <c r="A175" s="1" t="s">
        <v>210</v>
      </c>
      <c r="B175" s="33">
        <v>10059739</v>
      </c>
      <c r="C175" s="34" t="s">
        <v>78</v>
      </c>
      <c r="D175" s="3" t="s">
        <v>201</v>
      </c>
      <c r="E175" s="3">
        <v>2580</v>
      </c>
      <c r="G175" s="3">
        <v>4690</v>
      </c>
      <c r="I175" s="3">
        <v>7632</v>
      </c>
      <c r="J175" s="3">
        <f>645+645</f>
        <v>1290</v>
      </c>
      <c r="K175" s="4">
        <f>19500-17137</f>
        <v>2363</v>
      </c>
      <c r="L175" s="5">
        <f>E175+F175+H175+I175+J175+G175+K175</f>
        <v>18555</v>
      </c>
      <c r="U175" s="7">
        <f>N175+O175+P175+Q175+S175+R175+T175</f>
        <v>0</v>
      </c>
      <c r="AD175" s="9">
        <f>W175+X175+Y175+Z175+AA175+AB175+AC175</f>
        <v>0</v>
      </c>
      <c r="AF175" s="34"/>
      <c r="AG175" s="34"/>
      <c r="AH175" s="34"/>
      <c r="AN175" s="9">
        <f>AG175+AH175+AI175+AJ175+AK175+AL175+AM175</f>
        <v>0</v>
      </c>
      <c r="AT175" s="11">
        <f>100+845</f>
        <v>945</v>
      </c>
      <c r="AV175" s="64">
        <f>L175+U175+AD175</f>
        <v>18555</v>
      </c>
      <c r="AW175" s="73">
        <f>AT175+AV175+AU175</f>
        <v>19500</v>
      </c>
      <c r="AY175" s="74">
        <f>AZ175+BA175+BB175+BC175+BD175+BE175</f>
        <v>19500</v>
      </c>
      <c r="BA175" s="15">
        <v>19500</v>
      </c>
      <c r="BL175" s="18">
        <v>5</v>
      </c>
      <c r="BM175" s="90" t="s">
        <v>130</v>
      </c>
    </row>
    <row r="176" customHeight="1" spans="1:65">
      <c r="A176" s="1" t="s">
        <v>210</v>
      </c>
      <c r="B176" s="33">
        <v>10059740</v>
      </c>
      <c r="C176" s="34" t="s">
        <v>56</v>
      </c>
      <c r="D176" s="3" t="s">
        <v>170</v>
      </c>
      <c r="E176" s="3">
        <v>3180</v>
      </c>
      <c r="I176" s="3">
        <v>16303</v>
      </c>
      <c r="K176" s="4">
        <f>24500-21531</f>
        <v>2969</v>
      </c>
      <c r="L176" s="5">
        <f>E176+F176+H176+I176+J176+G176+K176</f>
        <v>22452</v>
      </c>
      <c r="U176" s="7">
        <f>N176+O176+P176+Q176+S176+R176+T176</f>
        <v>0</v>
      </c>
      <c r="AD176" s="9">
        <f>W176+X176+Y176+Z176+AA176+AB176+AC176</f>
        <v>0</v>
      </c>
      <c r="AF176" s="34"/>
      <c r="AG176" s="34"/>
      <c r="AH176" s="34"/>
      <c r="AN176" s="9">
        <f>AG176+AH176+AI176+AJ176+AK176+AL176+AM176</f>
        <v>0</v>
      </c>
      <c r="AT176" s="11">
        <f>100+1690+58+200</f>
        <v>2048</v>
      </c>
      <c r="AV176" s="64">
        <f>L176+U176+AD176</f>
        <v>22452</v>
      </c>
      <c r="AW176" s="73">
        <f>AT176+AV176+AU176</f>
        <v>24500</v>
      </c>
      <c r="AY176" s="74">
        <f>AZ176+BA176+BB176+BC176+BD176+BE176</f>
        <v>24800</v>
      </c>
      <c r="BA176" s="15">
        <v>24500</v>
      </c>
      <c r="BC176" s="17">
        <v>290</v>
      </c>
      <c r="BD176" s="17">
        <v>10</v>
      </c>
      <c r="BL176" s="18">
        <v>10</v>
      </c>
      <c r="BM176" s="90" t="s">
        <v>143</v>
      </c>
    </row>
    <row r="177" customHeight="1" spans="1:65">
      <c r="A177" s="1" t="s">
        <v>210</v>
      </c>
      <c r="B177" s="33">
        <v>10059741</v>
      </c>
      <c r="C177" s="3">
        <v>302</v>
      </c>
      <c r="L177" s="5">
        <f>E177+F177+H177+I177+J177+G177+K177</f>
        <v>0</v>
      </c>
      <c r="M177" s="3" t="s">
        <v>158</v>
      </c>
      <c r="N177" s="3">
        <v>980</v>
      </c>
      <c r="R177" s="3">
        <v>3096</v>
      </c>
      <c r="T177" s="6">
        <v>506</v>
      </c>
      <c r="U177" s="7">
        <f>N177+O177+P177+Q177+S177+R177+T177</f>
        <v>4582</v>
      </c>
      <c r="AD177" s="9">
        <f>W177+X177+Y177+Z177+AA177+AB177+AC177</f>
        <v>0</v>
      </c>
      <c r="AF177" s="34"/>
      <c r="AG177" s="34"/>
      <c r="AH177" s="34"/>
      <c r="AN177" s="9">
        <f>AG177+AH177+AI177+AJ177+AK177+AL177+AM177</f>
        <v>0</v>
      </c>
      <c r="AT177" s="11">
        <f>100+318</f>
        <v>418</v>
      </c>
      <c r="AV177" s="64">
        <f>L177+U177+AD177</f>
        <v>4582</v>
      </c>
      <c r="AW177" s="73">
        <f>AT177+AV177+AU177</f>
        <v>5000</v>
      </c>
      <c r="AY177" s="74">
        <f>AZ177+BA177+BB177+BC177+BD177+BE177</f>
        <v>5000</v>
      </c>
      <c r="BA177" s="15">
        <v>5000</v>
      </c>
      <c r="BL177" s="18">
        <v>3</v>
      </c>
      <c r="BM177" s="90" t="s">
        <v>92</v>
      </c>
    </row>
    <row r="178" customHeight="1" spans="1:65">
      <c r="A178" s="1" t="s">
        <v>210</v>
      </c>
      <c r="B178" s="33">
        <v>10059742</v>
      </c>
      <c r="C178" s="3">
        <v>309</v>
      </c>
      <c r="D178" s="3" t="s">
        <v>211</v>
      </c>
      <c r="E178" s="3">
        <v>980</v>
      </c>
      <c r="I178" s="3">
        <f>2856+714</f>
        <v>3570</v>
      </c>
      <c r="K178" s="4">
        <f>6500-5335</f>
        <v>1165</v>
      </c>
      <c r="L178" s="5">
        <f>E178+F178+H178+I178+J178+G178+K178</f>
        <v>5715</v>
      </c>
      <c r="U178" s="7">
        <f>N178+O178+P178+Q178+S178+R178+T178</f>
        <v>0</v>
      </c>
      <c r="AD178" s="9">
        <f>W178+X178+Y178+Z178+AA178+AB178+AC178</f>
        <v>0</v>
      </c>
      <c r="AF178" s="34"/>
      <c r="AG178" s="34"/>
      <c r="AH178" s="34"/>
      <c r="AN178" s="9">
        <f>AG178+AH178+AI178+AJ178+AK178+AL178+AM178</f>
        <v>0</v>
      </c>
      <c r="AT178" s="11">
        <f>100+49+636</f>
        <v>785</v>
      </c>
      <c r="AV178" s="64">
        <f>L178+U178+AD178</f>
        <v>5715</v>
      </c>
      <c r="AW178" s="73">
        <f>AT178+AV178+AU178</f>
        <v>6500</v>
      </c>
      <c r="AY178" s="74">
        <f>AZ178+BA178+BB178+BC178+BD178+BE178</f>
        <v>6500</v>
      </c>
      <c r="BA178" s="15">
        <v>6500</v>
      </c>
      <c r="BL178" s="18">
        <v>4</v>
      </c>
      <c r="BM178" s="90" t="s">
        <v>61</v>
      </c>
    </row>
    <row r="179" customHeight="1" spans="1:65">
      <c r="A179" s="1" t="s">
        <v>210</v>
      </c>
      <c r="B179" s="33">
        <v>10059743</v>
      </c>
      <c r="C179" s="3" t="s">
        <v>70</v>
      </c>
      <c r="D179" s="3" t="s">
        <v>82</v>
      </c>
      <c r="E179" s="3">
        <v>1880</v>
      </c>
      <c r="I179" s="3">
        <f>2856+1904</f>
        <v>4760</v>
      </c>
      <c r="K179" s="4">
        <f>9000-7576</f>
        <v>1424</v>
      </c>
      <c r="L179" s="5">
        <f>E179+F179+H179+I179+J179+G179+K179</f>
        <v>8064</v>
      </c>
      <c r="U179" s="7">
        <f>N179+O179+P179+Q179+S179+R179+T179</f>
        <v>0</v>
      </c>
      <c r="AD179" s="9">
        <f>W179+X179+Y179+Z179+AA179+AB179+AC179</f>
        <v>0</v>
      </c>
      <c r="AF179" s="34"/>
      <c r="AG179" s="34"/>
      <c r="AH179" s="34"/>
      <c r="AN179" s="9">
        <f>AG179+AH179+AI179+AJ179+AK179+AL179+AM179</f>
        <v>0</v>
      </c>
      <c r="AT179" s="11">
        <f>100+636+200</f>
        <v>936</v>
      </c>
      <c r="AV179" s="64">
        <f>L179+U179+AD179</f>
        <v>8064</v>
      </c>
      <c r="AW179" s="73">
        <f>AT179+AV179+AU179</f>
        <v>9000</v>
      </c>
      <c r="AX179" s="75" t="s">
        <v>142</v>
      </c>
      <c r="AY179" s="74">
        <f>AZ179+BA179+BB179+BC179+BD179+BE179</f>
        <v>9000</v>
      </c>
      <c r="BB179" s="16">
        <v>9000</v>
      </c>
      <c r="BL179" s="18">
        <v>3</v>
      </c>
      <c r="BM179" s="90" t="s">
        <v>92</v>
      </c>
    </row>
    <row r="180" customHeight="1" spans="1:65">
      <c r="A180" s="1" t="s">
        <v>210</v>
      </c>
      <c r="B180" s="33">
        <v>10059744</v>
      </c>
      <c r="C180" s="34" t="s">
        <v>175</v>
      </c>
      <c r="D180" s="3" t="s">
        <v>119</v>
      </c>
      <c r="E180" s="3">
        <v>1880</v>
      </c>
      <c r="G180" s="3">
        <v>8890</v>
      </c>
      <c r="J180" s="3">
        <v>69</v>
      </c>
      <c r="K180" s="4">
        <f>15400-12299</f>
        <v>3101</v>
      </c>
      <c r="L180" s="5">
        <f>E180+F180+H180+I180+J180+G180+K180</f>
        <v>13940</v>
      </c>
      <c r="U180" s="7">
        <f>N180+O180+P180+Q180+S180+R180+T180</f>
        <v>0</v>
      </c>
      <c r="AD180" s="9">
        <f>W180+X180+Y180+Z180+AA180+AB180+AC180</f>
        <v>0</v>
      </c>
      <c r="AF180" s="34"/>
      <c r="AG180" s="34"/>
      <c r="AH180" s="34"/>
      <c r="AN180" s="9">
        <f>AG180+AH180+AI180+AJ180+AK180+AL180+AM180</f>
        <v>0</v>
      </c>
      <c r="AT180" s="11">
        <f>100+147+1113+100</f>
        <v>1460</v>
      </c>
      <c r="AV180" s="64">
        <f>L180+U180+AD180</f>
        <v>13940</v>
      </c>
      <c r="AW180" s="73">
        <f>AT180+AV180+AU180</f>
        <v>15400</v>
      </c>
      <c r="AY180" s="74">
        <f>AZ180+BA180+BB180+BC180+BD180+BE180</f>
        <v>15400</v>
      </c>
      <c r="AZ180" s="14">
        <v>15400</v>
      </c>
      <c r="BL180" s="18">
        <v>10</v>
      </c>
      <c r="BM180" s="90" t="s">
        <v>212</v>
      </c>
    </row>
    <row r="181" customHeight="1" spans="1:65">
      <c r="A181" s="1" t="s">
        <v>210</v>
      </c>
      <c r="B181" s="33">
        <v>10059745</v>
      </c>
      <c r="C181" s="3">
        <v>308</v>
      </c>
      <c r="D181" s="3" t="s">
        <v>213</v>
      </c>
      <c r="E181" s="3">
        <v>980</v>
      </c>
      <c r="I181" s="3">
        <f>3816+2856+1908</f>
        <v>8580</v>
      </c>
      <c r="K181" s="4">
        <f>12200-10147</f>
        <v>2053</v>
      </c>
      <c r="L181" s="5">
        <f>E181+F181+H181+I181+J181+G181+K181</f>
        <v>11613</v>
      </c>
      <c r="U181" s="7">
        <f>N181+O181+P181+Q181+S181+R181+T181</f>
        <v>0</v>
      </c>
      <c r="AD181" s="9">
        <f>W181+X181+Y181+Z181+AA181+AB181+AC181</f>
        <v>0</v>
      </c>
      <c r="AF181" s="34"/>
      <c r="AG181" s="34"/>
      <c r="AH181" s="34"/>
      <c r="AN181" s="9">
        <f>AG181+AH181+AI181+AJ181+AK181+AL181+AM181</f>
        <v>0</v>
      </c>
      <c r="AT181" s="11">
        <f>100+318+169</f>
        <v>587</v>
      </c>
      <c r="AV181" s="64">
        <f>L181+U181+AD181</f>
        <v>11613</v>
      </c>
      <c r="AW181" s="73">
        <f>AT181+AV181+AU181</f>
        <v>12200</v>
      </c>
      <c r="AY181" s="74">
        <f>AZ181+BA181+BB181+BC181+BD181+BE181</f>
        <v>12200</v>
      </c>
      <c r="AZ181" s="14">
        <v>12200</v>
      </c>
      <c r="BL181" s="18">
        <v>4</v>
      </c>
      <c r="BM181" s="90" t="s">
        <v>92</v>
      </c>
    </row>
    <row r="182" customHeight="1" spans="1:65">
      <c r="A182" s="1" t="s">
        <v>210</v>
      </c>
      <c r="B182" s="33">
        <v>10059746</v>
      </c>
      <c r="C182" s="3" t="s">
        <v>192</v>
      </c>
      <c r="D182" s="3" t="s">
        <v>179</v>
      </c>
      <c r="E182" s="3">
        <v>1880</v>
      </c>
      <c r="I182" s="3">
        <f>3816+3096</f>
        <v>6912</v>
      </c>
      <c r="J182" s="3">
        <f>129+129+169</f>
        <v>427</v>
      </c>
      <c r="K182" s="4">
        <f>12500-10432</f>
        <v>2068</v>
      </c>
      <c r="L182" s="5">
        <f>E182+F182+H182+I182+J182+G182+K182</f>
        <v>11287</v>
      </c>
      <c r="U182" s="7">
        <f>N182+O182+P182+Q182+S182+R182+T182</f>
        <v>0</v>
      </c>
      <c r="AD182" s="9">
        <f>W182+X182+Y182+Z182+AA182+AB182+AC182</f>
        <v>0</v>
      </c>
      <c r="AF182" s="34"/>
      <c r="AG182" s="34"/>
      <c r="AH182" s="34"/>
      <c r="AN182" s="9">
        <f>AG182+AH182+AI182+AJ182+AK182+AL182+AM182</f>
        <v>0</v>
      </c>
      <c r="AT182" s="11">
        <f>100+1113</f>
        <v>1213</v>
      </c>
      <c r="AV182" s="64">
        <f>L182+U182+AD182</f>
        <v>11287</v>
      </c>
      <c r="AW182" s="73">
        <f>AT182+AV182+AU182</f>
        <v>12500</v>
      </c>
      <c r="AY182" s="74">
        <f>AZ182+BA182+BB182+BC182+BD182+BE182</f>
        <v>12600</v>
      </c>
      <c r="AZ182" s="14">
        <v>12500</v>
      </c>
      <c r="BC182" s="17">
        <v>100</v>
      </c>
      <c r="BL182" s="18">
        <v>7</v>
      </c>
      <c r="BM182" s="90" t="s">
        <v>92</v>
      </c>
    </row>
    <row r="183" customHeight="1" spans="1:65">
      <c r="A183" s="1" t="s">
        <v>210</v>
      </c>
      <c r="B183" s="33">
        <v>10059747</v>
      </c>
      <c r="C183" s="3" t="s">
        <v>120</v>
      </c>
      <c r="D183" s="3" t="s">
        <v>214</v>
      </c>
      <c r="E183" s="3">
        <v>1880</v>
      </c>
      <c r="I183" s="3">
        <f>2856+1428</f>
        <v>4284</v>
      </c>
      <c r="J183" s="3">
        <f>129+129+168</f>
        <v>426</v>
      </c>
      <c r="K183" s="4">
        <f>8840-7404</f>
        <v>1436</v>
      </c>
      <c r="L183" s="5">
        <f>E183+F183+H183+I183+J183+G183+K183</f>
        <v>8026</v>
      </c>
      <c r="U183" s="7">
        <f>N183+O183+P183+Q183+S183+R183+T183</f>
        <v>0</v>
      </c>
      <c r="AD183" s="9">
        <f>W183+X183+Y183+Z183+AA183+AB183+AC183</f>
        <v>0</v>
      </c>
      <c r="AF183" s="34"/>
      <c r="AG183" s="34"/>
      <c r="AH183" s="34"/>
      <c r="AN183" s="9">
        <f>AG183+AH183+AI183+AJ183+AK183+AL183+AM183</f>
        <v>0</v>
      </c>
      <c r="AT183" s="11">
        <f>100+636+29+49</f>
        <v>814</v>
      </c>
      <c r="AV183" s="64">
        <f>L183+U183+AD183</f>
        <v>8026</v>
      </c>
      <c r="AW183" s="73">
        <f>AT183+AV183+AU183</f>
        <v>8840</v>
      </c>
      <c r="AY183" s="74">
        <f>AZ183+BA183+BB183+BC183+BD183+BE183</f>
        <v>8840</v>
      </c>
      <c r="AZ183" s="14">
        <v>8840</v>
      </c>
      <c r="BL183" s="18">
        <v>6</v>
      </c>
      <c r="BM183" s="90" t="s">
        <v>92</v>
      </c>
    </row>
    <row r="184" customHeight="1" spans="1:64">
      <c r="A184" s="1" t="s">
        <v>210</v>
      </c>
      <c r="B184" s="33">
        <v>10059748</v>
      </c>
      <c r="C184" s="34" t="s">
        <v>48</v>
      </c>
      <c r="D184" s="3" t="s">
        <v>112</v>
      </c>
      <c r="E184" s="3">
        <v>1880</v>
      </c>
      <c r="I184" s="3">
        <v>5712</v>
      </c>
      <c r="J184" s="3">
        <f>169+169+336+258</f>
        <v>932</v>
      </c>
      <c r="K184" s="4">
        <f>10950-9260</f>
        <v>1690</v>
      </c>
      <c r="L184" s="5">
        <f>E184+F184+H184+I184+J184+G184+K184</f>
        <v>10214</v>
      </c>
      <c r="U184" s="7">
        <f>N184+O184+P184+Q184+S184+R184+T184</f>
        <v>0</v>
      </c>
      <c r="AD184" s="9">
        <f>W184+X184+Y184+Z184+AA184+AB184+AC184</f>
        <v>0</v>
      </c>
      <c r="AF184" s="34"/>
      <c r="AG184" s="34"/>
      <c r="AH184" s="34"/>
      <c r="AN184" s="9">
        <f>AG184+AH184+AI184+AJ184+AK184+AL184+AM184</f>
        <v>0</v>
      </c>
      <c r="AT184" s="11">
        <f>100+636</f>
        <v>736</v>
      </c>
      <c r="AV184" s="64">
        <f>L184+U184+AD184</f>
        <v>10214</v>
      </c>
      <c r="AW184" s="73">
        <f>AT184+AV184+AU184</f>
        <v>10950</v>
      </c>
      <c r="AY184" s="74">
        <f>AZ184+BA184+BB184+BC184+BD184+BE184</f>
        <v>10950</v>
      </c>
      <c r="AZ184" s="14">
        <v>10950</v>
      </c>
      <c r="BL184" s="18">
        <v>4</v>
      </c>
    </row>
    <row r="185" customHeight="1" spans="1:65">
      <c r="A185" s="1" t="s">
        <v>210</v>
      </c>
      <c r="B185" s="33">
        <v>10059749</v>
      </c>
      <c r="C185" s="3">
        <v>311</v>
      </c>
      <c r="L185" s="5">
        <f>E185+F185+H185+I185+J185+G185+K185</f>
        <v>0</v>
      </c>
      <c r="M185" s="3" t="s">
        <v>136</v>
      </c>
      <c r="N185" s="3">
        <v>980</v>
      </c>
      <c r="R185" s="3">
        <v>2856</v>
      </c>
      <c r="T185" s="6">
        <v>374</v>
      </c>
      <c r="U185" s="7">
        <f>N185+O185+P185+Q185+S185+R185+T185</f>
        <v>4210</v>
      </c>
      <c r="AD185" s="9">
        <f>W185+X185+Y185+Z185+AA185+AB185+AC185</f>
        <v>0</v>
      </c>
      <c r="AF185" s="34"/>
      <c r="AG185" s="34"/>
      <c r="AH185" s="34"/>
      <c r="AN185" s="9">
        <f>AG185+AH185+AI185+AJ185+AK185+AL185+AM185</f>
        <v>0</v>
      </c>
      <c r="AT185" s="11">
        <f>100+40</f>
        <v>140</v>
      </c>
      <c r="AV185" s="64">
        <f>L185+U185+AD185</f>
        <v>4210</v>
      </c>
      <c r="AW185" s="73">
        <f>AT185+AV185+AU185</f>
        <v>4350</v>
      </c>
      <c r="AY185" s="74">
        <f>AZ185+BA185+BB185+BC185+BD185+BE185</f>
        <v>4350</v>
      </c>
      <c r="BA185" s="15">
        <v>4350</v>
      </c>
      <c r="BL185" s="18">
        <v>5</v>
      </c>
      <c r="BM185" s="90" t="s">
        <v>196</v>
      </c>
    </row>
    <row r="186" customHeight="1" spans="1:65">
      <c r="A186" s="1" t="s">
        <v>210</v>
      </c>
      <c r="B186" s="33">
        <v>10059750</v>
      </c>
      <c r="C186" s="3">
        <v>312</v>
      </c>
      <c r="D186" s="3" t="s">
        <v>201</v>
      </c>
      <c r="E186" s="3">
        <v>980</v>
      </c>
      <c r="G186" s="3">
        <f>4890+8890</f>
        <v>13780</v>
      </c>
      <c r="J186" s="3">
        <f>129+129</f>
        <v>258</v>
      </c>
      <c r="K186" s="4">
        <f>19700-16231</f>
        <v>3469</v>
      </c>
      <c r="L186" s="5">
        <f>E186+F186+H186+I186+J186+G186+K186</f>
        <v>18487</v>
      </c>
      <c r="U186" s="7">
        <f>N186+O186+P186+Q186+S186+R186+T186</f>
        <v>0</v>
      </c>
      <c r="AD186" s="9">
        <f>W186+X186+Y186+Z186+AA186+AB186+AC186</f>
        <v>0</v>
      </c>
      <c r="AF186" s="34"/>
      <c r="AG186" s="34"/>
      <c r="AH186" s="34"/>
      <c r="AN186" s="9">
        <f>AG186+AH186+AI186+AJ186+AK186+AL186+AM186</f>
        <v>0</v>
      </c>
      <c r="AT186" s="11">
        <f>100+1113</f>
        <v>1213</v>
      </c>
      <c r="AV186" s="64">
        <f>L186+U186+AD186</f>
        <v>18487</v>
      </c>
      <c r="AW186" s="73">
        <f>AT186+AV186+AU186</f>
        <v>19700</v>
      </c>
      <c r="AY186" s="74">
        <f>AZ186+BA186+BB186+BC186+BD186+BE186</f>
        <v>19700</v>
      </c>
      <c r="BA186" s="15">
        <v>19700</v>
      </c>
      <c r="BL186" s="18">
        <v>6</v>
      </c>
      <c r="BM186" s="90" t="s">
        <v>140</v>
      </c>
    </row>
    <row r="187" customHeight="1" spans="1:65">
      <c r="A187" s="1" t="s">
        <v>210</v>
      </c>
      <c r="B187" s="33">
        <v>10059751</v>
      </c>
      <c r="C187" s="3">
        <v>310</v>
      </c>
      <c r="L187" s="5">
        <f>E187+F187+H187+I187+J187+G187+K187</f>
        <v>0</v>
      </c>
      <c r="M187" s="3" t="s">
        <v>118</v>
      </c>
      <c r="N187" s="3">
        <v>980</v>
      </c>
      <c r="Q187" s="3">
        <v>4160</v>
      </c>
      <c r="S187" s="3">
        <v>297</v>
      </c>
      <c r="T187" s="6">
        <v>663</v>
      </c>
      <c r="U187" s="7">
        <f>N187+O187+P187+Q187+S187+R187+T187</f>
        <v>6100</v>
      </c>
      <c r="AD187" s="9">
        <f>W187+X187+Y187+Z187+AA187+AB187+AC187</f>
        <v>0</v>
      </c>
      <c r="AF187" s="34"/>
      <c r="AG187" s="34"/>
      <c r="AH187" s="34"/>
      <c r="AN187" s="9">
        <f>AG187+AH187+AI187+AJ187+AK187+AL187+AM187</f>
        <v>0</v>
      </c>
      <c r="AT187" s="11">
        <f>100</f>
        <v>100</v>
      </c>
      <c r="AV187" s="64">
        <f>L187+U187+AD187</f>
        <v>6100</v>
      </c>
      <c r="AW187" s="73">
        <f>AT187+AV187+AU187</f>
        <v>6200</v>
      </c>
      <c r="AY187" s="74">
        <f>AZ187+BA187+BB187+BC187+BD187+BE187</f>
        <v>6200</v>
      </c>
      <c r="BA187" s="15">
        <v>6200</v>
      </c>
      <c r="BL187" s="18">
        <v>1</v>
      </c>
      <c r="BM187" s="90" t="s">
        <v>92</v>
      </c>
    </row>
    <row r="188" customHeight="1" spans="1:64">
      <c r="A188" s="1" t="s">
        <v>210</v>
      </c>
      <c r="B188" s="33">
        <v>10059752</v>
      </c>
      <c r="C188" s="34" t="s">
        <v>94</v>
      </c>
      <c r="D188" s="3" t="s">
        <v>119</v>
      </c>
      <c r="E188" s="3">
        <v>1680</v>
      </c>
      <c r="G188" s="3">
        <v>4890</v>
      </c>
      <c r="J188" s="3">
        <f>69+168+129+169</f>
        <v>535</v>
      </c>
      <c r="K188" s="4">
        <f>8800-7205</f>
        <v>1595</v>
      </c>
      <c r="L188" s="5">
        <f>E188+F188+H188+I188+J188+G188+K188</f>
        <v>8700</v>
      </c>
      <c r="U188" s="7">
        <f>N188+O188+P188+Q188+S188+R188+T188</f>
        <v>0</v>
      </c>
      <c r="AD188" s="9">
        <f>W188+X188+Y188+Z188+AA188+AB188+AC188</f>
        <v>0</v>
      </c>
      <c r="AF188" s="34"/>
      <c r="AG188" s="34"/>
      <c r="AH188" s="34"/>
      <c r="AN188" s="9">
        <f>AG188+AH188+AI188+AJ188+AK188+AL188+AM188</f>
        <v>0</v>
      </c>
      <c r="AT188" s="11">
        <f>100</f>
        <v>100</v>
      </c>
      <c r="AV188" s="64">
        <f>L188+U188+AD188</f>
        <v>8700</v>
      </c>
      <c r="AW188" s="73">
        <f>AT188+AV188+AU188</f>
        <v>8800</v>
      </c>
      <c r="AY188" s="74">
        <f>AZ188+BA188+BB188+BC188+BD188+BE188</f>
        <v>9850</v>
      </c>
      <c r="AZ188" s="14">
        <v>8800</v>
      </c>
      <c r="BC188" s="17">
        <v>1000</v>
      </c>
      <c r="BD188" s="17">
        <v>50</v>
      </c>
      <c r="BL188" s="18">
        <v>7</v>
      </c>
    </row>
    <row r="189" customHeight="1" spans="1:64">
      <c r="A189" s="1" t="s">
        <v>210</v>
      </c>
      <c r="B189" s="33">
        <v>10059753</v>
      </c>
      <c r="C189" s="34" t="s">
        <v>159</v>
      </c>
      <c r="D189" s="3" t="s">
        <v>122</v>
      </c>
      <c r="E189" s="3">
        <v>1880</v>
      </c>
      <c r="I189" s="3">
        <v>3816</v>
      </c>
      <c r="J189" s="3">
        <f>169+129+258+258</f>
        <v>814</v>
      </c>
      <c r="K189" s="4">
        <f>8200-7246</f>
        <v>954</v>
      </c>
      <c r="L189" s="5">
        <f>E189+F189+H189+I189+J189+G189+K189</f>
        <v>7464</v>
      </c>
      <c r="U189" s="7">
        <f>N189+O189+P189+Q189+S189+R189+T189</f>
        <v>0</v>
      </c>
      <c r="AD189" s="9">
        <f>W189+X189+Y189+Z189+AA189+AB189+AC189</f>
        <v>0</v>
      </c>
      <c r="AF189" s="34"/>
      <c r="AG189" s="34"/>
      <c r="AH189" s="34"/>
      <c r="AN189" s="9">
        <f>AG189+AH189+AI189+AJ189+AK189+AL189+AM189</f>
        <v>0</v>
      </c>
      <c r="AT189" s="11">
        <f>100+636</f>
        <v>736</v>
      </c>
      <c r="AV189" s="64">
        <f>L189+U189+AD189</f>
        <v>7464</v>
      </c>
      <c r="AW189" s="73">
        <f>AT189+AV189+AU189</f>
        <v>8200</v>
      </c>
      <c r="AY189" s="74">
        <f>AZ189+BA189+BB189+BC189+BD189+BE189</f>
        <v>8200</v>
      </c>
      <c r="BA189" s="15">
        <v>8200</v>
      </c>
      <c r="BL189" s="18">
        <v>4</v>
      </c>
    </row>
    <row r="190" customHeight="1" spans="1:65">
      <c r="A190" s="1" t="s">
        <v>210</v>
      </c>
      <c r="B190" s="33">
        <v>10059754</v>
      </c>
      <c r="C190" s="3" t="s">
        <v>44</v>
      </c>
      <c r="D190" s="3" t="s">
        <v>156</v>
      </c>
      <c r="E190" s="3">
        <v>1880</v>
      </c>
      <c r="I190" s="3">
        <f>2856+1904</f>
        <v>4760</v>
      </c>
      <c r="K190" s="4">
        <f>8000-7752</f>
        <v>248</v>
      </c>
      <c r="L190" s="5">
        <f>E190+F190+H190+I190+J190+G190+K190</f>
        <v>6888</v>
      </c>
      <c r="U190" s="7">
        <f>N190+O190+P190+Q190+S190+R190+T190</f>
        <v>0</v>
      </c>
      <c r="AD190" s="9">
        <f>W190+X190+Y190+Z190+AA190+AB190+AC190</f>
        <v>0</v>
      </c>
      <c r="AF190" s="34"/>
      <c r="AG190" s="34"/>
      <c r="AH190" s="34"/>
      <c r="AN190" s="9">
        <f>AG190+AH190+AI190+AJ190+AK190+AL190+AM190</f>
        <v>0</v>
      </c>
      <c r="AT190" s="11">
        <f>100+954+58</f>
        <v>1112</v>
      </c>
      <c r="AV190" s="64">
        <f>L190+U190+AD190</f>
        <v>6888</v>
      </c>
      <c r="AW190" s="73">
        <f>AT190+AV190+AU190</f>
        <v>8000</v>
      </c>
      <c r="AY190" s="74">
        <f>AZ190+BA190+BB190+BC190+BD190+BE190</f>
        <v>8000</v>
      </c>
      <c r="BB190" s="16">
        <v>8000</v>
      </c>
      <c r="BL190" s="18">
        <v>6</v>
      </c>
      <c r="BM190" s="90" t="s">
        <v>92</v>
      </c>
    </row>
    <row r="191" customHeight="1" spans="1:64">
      <c r="A191" s="1" t="s">
        <v>210</v>
      </c>
      <c r="B191" s="33">
        <v>10059755</v>
      </c>
      <c r="C191" s="34" t="s">
        <v>67</v>
      </c>
      <c r="L191" s="5">
        <f>E191+F191+H191+I191+J191+G191+K191</f>
        <v>0</v>
      </c>
      <c r="M191" s="3" t="s">
        <v>215</v>
      </c>
      <c r="N191" s="3">
        <v>2180</v>
      </c>
      <c r="R191" s="3">
        <v>6837</v>
      </c>
      <c r="S191" s="3">
        <v>385</v>
      </c>
      <c r="T191" s="6">
        <v>1913</v>
      </c>
      <c r="U191" s="7">
        <f>N191+O191+P191+Q191+S191+R191+T191</f>
        <v>11315</v>
      </c>
      <c r="AD191" s="9">
        <f>W191+X191+Y191+Z191+AA191+AB191+AC191</f>
        <v>0</v>
      </c>
      <c r="AF191" s="34"/>
      <c r="AG191" s="34"/>
      <c r="AH191" s="34"/>
      <c r="AN191" s="9">
        <f>AG191+AH191+AI191+AJ191+AK191+AL191+AM191</f>
        <v>0</v>
      </c>
      <c r="AT191" s="11">
        <f>100+676+180+29</f>
        <v>985</v>
      </c>
      <c r="AV191" s="64">
        <f>L191+U191+AD191</f>
        <v>11315</v>
      </c>
      <c r="AW191" s="73">
        <f>AT191+AV191+AU191</f>
        <v>12300</v>
      </c>
      <c r="AY191" s="74">
        <f>AZ191+BA191+BB191+BC191+BD191+BE191</f>
        <v>12300</v>
      </c>
      <c r="BA191" s="15">
        <v>12300</v>
      </c>
      <c r="BL191" s="18">
        <v>6</v>
      </c>
    </row>
    <row r="192" customHeight="1" spans="1:65">
      <c r="A192" s="1" t="s">
        <v>210</v>
      </c>
      <c r="B192" s="33">
        <v>10059756</v>
      </c>
      <c r="C192" s="34" t="s">
        <v>89</v>
      </c>
      <c r="D192" s="3" t="s">
        <v>205</v>
      </c>
      <c r="K192" s="4">
        <f>11800-707</f>
        <v>11093</v>
      </c>
      <c r="L192" s="5">
        <f>E192+F192+H192+I192+J192+G192+K192</f>
        <v>11093</v>
      </c>
      <c r="U192" s="7">
        <f>N192+O192+P192+Q192+S192+R192+T192</f>
        <v>0</v>
      </c>
      <c r="AD192" s="9">
        <f>W192+X192+Y192+Z192+AA192+AB192+AC192</f>
        <v>0</v>
      </c>
      <c r="AF192" s="34"/>
      <c r="AG192" s="34"/>
      <c r="AH192" s="34"/>
      <c r="AN192" s="9">
        <f>AG192+AH192+AI192+AJ192+AK192+AL192+AM192</f>
        <v>0</v>
      </c>
      <c r="AT192" s="11">
        <f>100+507+100</f>
        <v>707</v>
      </c>
      <c r="AV192" s="64">
        <f>L192+U192+AD192</f>
        <v>11093</v>
      </c>
      <c r="AW192" s="73">
        <f>AT192+AV192+AU192</f>
        <v>11800</v>
      </c>
      <c r="AX192" s="13" t="s">
        <v>216</v>
      </c>
      <c r="AY192" s="74">
        <f>AZ192+BA192+BB192+BC192+BD192+BE192</f>
        <v>11800</v>
      </c>
      <c r="BB192" s="16">
        <v>11800</v>
      </c>
      <c r="BL192" s="18">
        <v>9</v>
      </c>
      <c r="BM192" s="90" t="s">
        <v>143</v>
      </c>
    </row>
    <row r="193" customHeight="1" spans="1:65">
      <c r="A193" s="1" t="s">
        <v>210</v>
      </c>
      <c r="B193" s="33">
        <v>10059757</v>
      </c>
      <c r="C193" s="34" t="s">
        <v>59</v>
      </c>
      <c r="D193" s="3" t="s">
        <v>186</v>
      </c>
      <c r="E193" s="3">
        <v>2180</v>
      </c>
      <c r="H193" s="3">
        <v>8320</v>
      </c>
      <c r="J193" s="3">
        <v>1548</v>
      </c>
      <c r="K193" s="4">
        <f>15100-12993</f>
        <v>2107</v>
      </c>
      <c r="L193" s="5">
        <f>E193+F193+H193+I193+J193+G193+K193</f>
        <v>14155</v>
      </c>
      <c r="U193" s="7">
        <f>N193+O193+P193+Q193+S193+R193+T193</f>
        <v>0</v>
      </c>
      <c r="AD193" s="9">
        <f>W193+X193+Y193+Z193+AA193+AB193+AC193</f>
        <v>0</v>
      </c>
      <c r="AF193" s="34"/>
      <c r="AG193" s="34"/>
      <c r="AH193" s="34"/>
      <c r="AN193" s="9">
        <f>AG193+AH193+AI193+AJ193+AK193+AL193+AM193</f>
        <v>0</v>
      </c>
      <c r="AT193" s="11">
        <f>100+845</f>
        <v>945</v>
      </c>
      <c r="AV193" s="64">
        <f>L193+U193+AD193</f>
        <v>14155</v>
      </c>
      <c r="AW193" s="73">
        <f>AT193+AV193+AU193</f>
        <v>15100</v>
      </c>
      <c r="AY193" s="74">
        <f>AZ193+BA193+BB193+BC193+BD193+BE193</f>
        <v>15100</v>
      </c>
      <c r="BA193" s="15">
        <v>15100</v>
      </c>
      <c r="BL193" s="18">
        <v>2</v>
      </c>
      <c r="BM193" s="90" t="s">
        <v>143</v>
      </c>
    </row>
    <row r="194" customHeight="1" spans="1:65">
      <c r="A194" s="1" t="s">
        <v>210</v>
      </c>
      <c r="B194" s="33">
        <v>10059758</v>
      </c>
      <c r="C194" s="34" t="s">
        <v>84</v>
      </c>
      <c r="L194" s="5">
        <f>E194+F194+H194+I194+J194+G194+K194</f>
        <v>0</v>
      </c>
      <c r="M194" s="3" t="s">
        <v>57</v>
      </c>
      <c r="N194" s="3">
        <v>2580</v>
      </c>
      <c r="P194" s="3">
        <v>9190</v>
      </c>
      <c r="T194" s="6">
        <v>2161</v>
      </c>
      <c r="U194" s="7">
        <f>N194+O194+P194+Q194+S194+R194+T194</f>
        <v>13931</v>
      </c>
      <c r="AD194" s="9">
        <f>W194+X194+Y194+Z194+AA194+AB194+AC194</f>
        <v>0</v>
      </c>
      <c r="AF194" s="34"/>
      <c r="AG194" s="34"/>
      <c r="AH194" s="34"/>
      <c r="AN194" s="9">
        <f>AG194+AH194+AI194+AJ194+AK194+AL194+AM194</f>
        <v>0</v>
      </c>
      <c r="AT194" s="11">
        <f>100+169</f>
        <v>269</v>
      </c>
      <c r="AV194" s="64">
        <f>L194+U194+AD194</f>
        <v>13931</v>
      </c>
      <c r="AW194" s="73">
        <f>AT194+AV194+AU194</f>
        <v>14200</v>
      </c>
      <c r="AY194" s="74">
        <f>AZ194+BA194+BB194+BC194+BD194+BE194</f>
        <v>14200</v>
      </c>
      <c r="BA194" s="15">
        <v>14200</v>
      </c>
      <c r="BL194" s="18">
        <v>2</v>
      </c>
      <c r="BM194" s="90" t="s">
        <v>92</v>
      </c>
    </row>
    <row r="195" customHeight="1" spans="1:64">
      <c r="A195" s="1" t="s">
        <v>210</v>
      </c>
      <c r="B195" s="33">
        <v>10059759</v>
      </c>
      <c r="C195" s="34" t="s">
        <v>62</v>
      </c>
      <c r="D195" s="3" t="s">
        <v>208</v>
      </c>
      <c r="E195" s="3">
        <v>2180</v>
      </c>
      <c r="I195" s="3">
        <v>6519</v>
      </c>
      <c r="K195" s="4">
        <f>10200-9186</f>
        <v>1014</v>
      </c>
      <c r="L195" s="5">
        <f>E195+F195+H195+I195+J195+G195+K195</f>
        <v>9713</v>
      </c>
      <c r="U195" s="7">
        <f>N195+O195+P195+Q195+S195+R195+T195</f>
        <v>0</v>
      </c>
      <c r="AD195" s="9">
        <f>W195+X195+Y195+Z195+AA195+AB195+AC195</f>
        <v>0</v>
      </c>
      <c r="AF195" s="34"/>
      <c r="AG195" s="34"/>
      <c r="AH195" s="34"/>
      <c r="AN195" s="9">
        <f>AG195+AH195+AI195+AJ195+AK195+AL195+AM195</f>
        <v>0</v>
      </c>
      <c r="AT195" s="11">
        <f>100+49+338</f>
        <v>487</v>
      </c>
      <c r="AV195" s="64">
        <f>L195+U195+AD195</f>
        <v>9713</v>
      </c>
      <c r="AW195" s="73">
        <f>AT195+AV195+AU195</f>
        <v>10200</v>
      </c>
      <c r="AY195" s="74">
        <f>AZ195+BA195+BB195+BC195+BD195+BE195</f>
        <v>10200</v>
      </c>
      <c r="BA195" s="15">
        <v>10200</v>
      </c>
      <c r="BL195" s="18">
        <v>2</v>
      </c>
    </row>
    <row r="196" customHeight="1" spans="1:65">
      <c r="A196" s="1" t="s">
        <v>210</v>
      </c>
      <c r="B196" s="33">
        <v>10059760</v>
      </c>
      <c r="C196" s="34" t="s">
        <v>54</v>
      </c>
      <c r="L196" s="5">
        <f>E196+F196+H196+I196+J196+G196+K196</f>
        <v>0</v>
      </c>
      <c r="U196" s="7">
        <f>N196+O196+P196+Q196+S196+R196+T196</f>
        <v>0</v>
      </c>
      <c r="V196" s="3" t="s">
        <v>185</v>
      </c>
      <c r="AD196" s="9">
        <f>W196+X196+Y196+Z196+AA196+AB196+AC196</f>
        <v>0</v>
      </c>
      <c r="AF196" s="34"/>
      <c r="AG196" s="34"/>
      <c r="AH196" s="34"/>
      <c r="AN196" s="9">
        <f>AG196+AH196+AI196+AJ196+AK196+AL196+AM196</f>
        <v>0</v>
      </c>
      <c r="AV196" s="64">
        <f>L196+U196+AD196</f>
        <v>0</v>
      </c>
      <c r="AW196" s="73">
        <f>AT196+AV196+AU196</f>
        <v>0</v>
      </c>
      <c r="AY196" s="74">
        <f>AZ196+BA196+BB196+BC196+BD196+BE196</f>
        <v>0</v>
      </c>
      <c r="BM196" s="90" t="s">
        <v>217</v>
      </c>
    </row>
    <row r="197" customHeight="1" spans="1:65">
      <c r="A197" s="1" t="s">
        <v>210</v>
      </c>
      <c r="B197" s="33">
        <v>10059761</v>
      </c>
      <c r="C197" s="3">
        <v>320</v>
      </c>
      <c r="D197" s="34" t="s">
        <v>193</v>
      </c>
      <c r="E197" s="3">
        <v>1299</v>
      </c>
      <c r="I197" s="3">
        <v>11448</v>
      </c>
      <c r="J197" s="3">
        <f>336+129+168</f>
        <v>633</v>
      </c>
      <c r="K197" s="4">
        <f>17000-15160</f>
        <v>1840</v>
      </c>
      <c r="L197" s="5">
        <f>E197+F197+H197+I197+J197+G197+K197</f>
        <v>15220</v>
      </c>
      <c r="U197" s="7">
        <f>N197+O197+P197+Q197+S197+R197+T197</f>
        <v>0</v>
      </c>
      <c r="AD197" s="9">
        <f>W197+X197+Y197+Z197+AA197+AB197+AC197</f>
        <v>0</v>
      </c>
      <c r="AF197" s="34"/>
      <c r="AG197" s="34"/>
      <c r="AH197" s="34"/>
      <c r="AN197" s="9">
        <f>AG197+AH197+AI197+AJ197+AK197+AL197+AM197</f>
        <v>0</v>
      </c>
      <c r="AT197" s="11">
        <f>100+1113+169</f>
        <v>1382</v>
      </c>
      <c r="AU197" s="11">
        <v>398</v>
      </c>
      <c r="AV197" s="64">
        <f>L197+U197+AD197</f>
        <v>15220</v>
      </c>
      <c r="AW197" s="73">
        <f>AT197+AV197+AU197</f>
        <v>17000</v>
      </c>
      <c r="AY197" s="74">
        <f>AZ197+BA197+BB197+BC197+BD197+BE197</f>
        <v>17000</v>
      </c>
      <c r="BA197" s="15">
        <v>17000</v>
      </c>
      <c r="BL197" s="18">
        <v>5</v>
      </c>
      <c r="BM197" s="90" t="s">
        <v>92</v>
      </c>
    </row>
    <row r="198" customHeight="1" spans="1:65">
      <c r="A198" s="1" t="s">
        <v>210</v>
      </c>
      <c r="B198" s="33">
        <v>10059762</v>
      </c>
      <c r="C198" s="34" t="s">
        <v>65</v>
      </c>
      <c r="D198" s="3" t="s">
        <v>176</v>
      </c>
      <c r="E198" s="3">
        <v>2180</v>
      </c>
      <c r="G198" s="3">
        <v>4690</v>
      </c>
      <c r="I198" s="3">
        <v>5724</v>
      </c>
      <c r="K198" s="4">
        <f>15500-13448</f>
        <v>2052</v>
      </c>
      <c r="L198" s="5">
        <f>E198+F198+H198+I198+J198+G198+K198</f>
        <v>14646</v>
      </c>
      <c r="U198" s="7">
        <f>N198+O198+P198+Q198+S198+R198+T198</f>
        <v>0</v>
      </c>
      <c r="AD198" s="9">
        <f>W198+X198+Y198+Z198+AA198+AB198+AC198</f>
        <v>0</v>
      </c>
      <c r="AF198" s="34"/>
      <c r="AG198" s="34"/>
      <c r="AH198" s="34"/>
      <c r="AN198" s="9">
        <f>AG198+AH198+AI198+AJ198+AK198+AL198+AM198</f>
        <v>0</v>
      </c>
      <c r="AT198" s="11">
        <f>100+676+49+29</f>
        <v>854</v>
      </c>
      <c r="AV198" s="64">
        <f>L198+U198+AD198</f>
        <v>14646</v>
      </c>
      <c r="AW198" s="73">
        <f>AT198+AV198+AU198</f>
        <v>15500</v>
      </c>
      <c r="AY198" s="74">
        <f>AZ198+BA198+BB198+BC198+BD198+BE198</f>
        <v>15500</v>
      </c>
      <c r="BA198" s="15">
        <v>15500</v>
      </c>
      <c r="BL198" s="18">
        <v>3</v>
      </c>
      <c r="BM198" s="90" t="s">
        <v>153</v>
      </c>
    </row>
    <row r="199" customHeight="1" spans="1:65">
      <c r="A199" s="1" t="s">
        <v>210</v>
      </c>
      <c r="B199" s="33">
        <v>10059763</v>
      </c>
      <c r="C199" s="3" t="s">
        <v>97</v>
      </c>
      <c r="D199" s="3" t="s">
        <v>218</v>
      </c>
      <c r="E199" s="3">
        <v>2180</v>
      </c>
      <c r="I199" s="3">
        <v>7021</v>
      </c>
      <c r="J199" s="3">
        <v>49</v>
      </c>
      <c r="K199" s="4">
        <f>12200-10305</f>
        <v>1895</v>
      </c>
      <c r="L199" s="5">
        <f>E199+F199+H199+I199+J199+G199+K199</f>
        <v>11145</v>
      </c>
      <c r="U199" s="7">
        <f>N199+O199+P199+Q199+S199+R199+T199</f>
        <v>0</v>
      </c>
      <c r="AD199" s="9">
        <f>W199+X199+Y199+Z199+AA199+AB199+AC199</f>
        <v>0</v>
      </c>
      <c r="AF199" s="34"/>
      <c r="AG199" s="34"/>
      <c r="AH199" s="34"/>
      <c r="AN199" s="9">
        <f>AG199+AH199+AI199+AJ199+AK199+AL199+AM199</f>
        <v>0</v>
      </c>
      <c r="AT199" s="11">
        <f>100+845+110</f>
        <v>1055</v>
      </c>
      <c r="AV199" s="64">
        <f>L199+U199+AD199</f>
        <v>11145</v>
      </c>
      <c r="AW199" s="73">
        <f>AT199+AV199+AU199</f>
        <v>12200</v>
      </c>
      <c r="AY199" s="74">
        <f>AZ199+BA199+BB199+BC199+BD199+BE199</f>
        <v>12200</v>
      </c>
      <c r="BA199" s="15">
        <v>12200</v>
      </c>
      <c r="BL199" s="18">
        <v>8</v>
      </c>
      <c r="BM199" s="90" t="s">
        <v>130</v>
      </c>
    </row>
    <row r="200" customHeight="1" spans="1:65">
      <c r="A200" s="1" t="s">
        <v>210</v>
      </c>
      <c r="B200" s="33">
        <v>10059764</v>
      </c>
      <c r="C200" s="34" t="s">
        <v>59</v>
      </c>
      <c r="D200" s="3" t="s">
        <v>170</v>
      </c>
      <c r="E200" s="3">
        <v>2180</v>
      </c>
      <c r="G200" s="3">
        <v>9190</v>
      </c>
      <c r="I200" s="3">
        <v>714</v>
      </c>
      <c r="K200" s="4">
        <f>14900-12691</f>
        <v>2209</v>
      </c>
      <c r="L200" s="5">
        <f>E200+F200+H200+I200+J200+G200+K200</f>
        <v>14293</v>
      </c>
      <c r="U200" s="7">
        <f>N200+O200+P200+Q200+S200+R200+T200</f>
        <v>0</v>
      </c>
      <c r="AD200" s="9">
        <f>W200+X200+Y200+Z200+AA200+AB200+AC200</f>
        <v>0</v>
      </c>
      <c r="AF200" s="34"/>
      <c r="AG200" s="34"/>
      <c r="AH200" s="34"/>
      <c r="AN200" s="9">
        <f>AG200+AH200+AI200+AJ200+AK200+AL200+AM200</f>
        <v>0</v>
      </c>
      <c r="AT200" s="11">
        <f>100+507</f>
        <v>607</v>
      </c>
      <c r="AV200" s="64">
        <f>L200+U200+AD200</f>
        <v>14293</v>
      </c>
      <c r="AW200" s="73">
        <f>AT200+AV200+AU200</f>
        <v>14900</v>
      </c>
      <c r="AY200" s="74">
        <f>AZ200+BA200+BB200+BC200+BD200+BE200</f>
        <v>14900</v>
      </c>
      <c r="BA200" s="15">
        <v>14900</v>
      </c>
      <c r="BL200" s="18">
        <v>4</v>
      </c>
      <c r="BM200" s="90" t="s">
        <v>130</v>
      </c>
    </row>
    <row r="201" customHeight="1" spans="1:65">
      <c r="A201" s="1" t="s">
        <v>219</v>
      </c>
      <c r="B201" s="33">
        <v>10059765</v>
      </c>
      <c r="C201" s="34" t="s">
        <v>56</v>
      </c>
      <c r="D201" s="3" t="s">
        <v>205</v>
      </c>
      <c r="E201" s="3">
        <v>3180</v>
      </c>
      <c r="G201" s="3">
        <v>9190</v>
      </c>
      <c r="I201" s="3">
        <v>5724</v>
      </c>
      <c r="K201" s="4">
        <f>19150-18730</f>
        <v>420</v>
      </c>
      <c r="L201" s="5">
        <f>E201+F201+H201+I201+J201+G201+K201</f>
        <v>18514</v>
      </c>
      <c r="U201" s="7">
        <f>N201+O201+P201+Q201+S201+R201+T201</f>
        <v>0</v>
      </c>
      <c r="AD201" s="9">
        <f>W201+X201+Y201+Z201+AA201+AB201+AC201</f>
        <v>0</v>
      </c>
      <c r="AF201" s="34"/>
      <c r="AG201" s="34"/>
      <c r="AH201" s="34"/>
      <c r="AN201" s="9">
        <f>AG201+AH201+AI201+AJ201+AK201+AL201+AM201</f>
        <v>0</v>
      </c>
      <c r="AT201" s="11">
        <f>100+507+29</f>
        <v>636</v>
      </c>
      <c r="AV201" s="64">
        <f>L201+U201+AD201</f>
        <v>18514</v>
      </c>
      <c r="AW201" s="73">
        <f>AT201+AV201+AU201</f>
        <v>19150</v>
      </c>
      <c r="AY201" s="74">
        <f>AZ201+BA201+BB201+BC201+BD201+BE201</f>
        <v>19150</v>
      </c>
      <c r="BB201" s="16">
        <v>19150</v>
      </c>
      <c r="BL201" s="18">
        <v>3</v>
      </c>
      <c r="BM201" s="90" t="s">
        <v>143</v>
      </c>
    </row>
    <row r="202" customHeight="1" spans="1:64">
      <c r="A202" s="1" t="s">
        <v>219</v>
      </c>
      <c r="B202" s="33">
        <v>10059766</v>
      </c>
      <c r="C202" s="34" t="s">
        <v>62</v>
      </c>
      <c r="D202" s="3" t="s">
        <v>82</v>
      </c>
      <c r="E202" s="3">
        <v>2180</v>
      </c>
      <c r="G202" s="3">
        <v>17780</v>
      </c>
      <c r="K202" s="4">
        <f>22820-20567</f>
        <v>2253</v>
      </c>
      <c r="L202" s="5">
        <f>E202+F202+H202+I202+J202+G202+K202</f>
        <v>22213</v>
      </c>
      <c r="U202" s="7">
        <f>N202+O202+P202+Q202+S202+R202+T202</f>
        <v>0</v>
      </c>
      <c r="AD202" s="9">
        <f>W202+X202+Y202+Z202+AA202+AB202+AC202</f>
        <v>0</v>
      </c>
      <c r="AF202" s="34"/>
      <c r="AG202" s="34"/>
      <c r="AH202" s="34"/>
      <c r="AN202" s="9">
        <f>AG202+AH202+AI202+AJ202+AK202+AL202+AM202</f>
        <v>0</v>
      </c>
      <c r="AT202" s="11">
        <f>100+507</f>
        <v>607</v>
      </c>
      <c r="AV202" s="64">
        <f>L202+U202+AD202</f>
        <v>22213</v>
      </c>
      <c r="AW202" s="73">
        <f>AT202+AV202+AU202</f>
        <v>22820</v>
      </c>
      <c r="AY202" s="74">
        <f>AZ202+BA202+BB202+BC202+BD202+BE202</f>
        <v>24300</v>
      </c>
      <c r="BA202" s="15">
        <v>22820</v>
      </c>
      <c r="BC202" s="17">
        <v>1460</v>
      </c>
      <c r="BD202" s="17">
        <v>20</v>
      </c>
      <c r="BL202" s="18">
        <v>3</v>
      </c>
    </row>
    <row r="203" customHeight="1" spans="1:64">
      <c r="A203" s="1" t="s">
        <v>219</v>
      </c>
      <c r="B203" s="33">
        <v>10059767</v>
      </c>
      <c r="C203" s="3">
        <v>318</v>
      </c>
      <c r="D203" s="3" t="s">
        <v>110</v>
      </c>
      <c r="E203" s="3">
        <v>980</v>
      </c>
      <c r="I203" s="3">
        <v>3816</v>
      </c>
      <c r="J203" s="3">
        <v>69</v>
      </c>
      <c r="K203" s="4">
        <f>6100-5452</f>
        <v>648</v>
      </c>
      <c r="L203" s="5">
        <f>E203+F203+H203+I203+J203+G203+K203</f>
        <v>5513</v>
      </c>
      <c r="U203" s="7">
        <f>N203+O203+P203+Q203+S203+R203+T203</f>
        <v>0</v>
      </c>
      <c r="AD203" s="9">
        <f>W203+X203+Y203+Z203+AA203+AB203+AC203</f>
        <v>0</v>
      </c>
      <c r="AF203" s="34"/>
      <c r="AG203" s="34"/>
      <c r="AH203" s="34"/>
      <c r="AN203" s="9">
        <f>AG203+AH203+AI203+AJ203+AK203+AL203+AM203</f>
        <v>0</v>
      </c>
      <c r="AT203" s="11">
        <f>100+169+318</f>
        <v>587</v>
      </c>
      <c r="AV203" s="64">
        <f>L203+U203+AD203</f>
        <v>5513</v>
      </c>
      <c r="AW203" s="73">
        <f>AT203+AV203+AU203</f>
        <v>6100</v>
      </c>
      <c r="AY203" s="74">
        <f>AZ203+BA203+BB203+BC203+BD203+BE203</f>
        <v>6100</v>
      </c>
      <c r="BA203" s="15">
        <v>6100</v>
      </c>
      <c r="BL203" s="18">
        <v>2</v>
      </c>
    </row>
    <row r="204" customHeight="1" spans="1:65">
      <c r="A204" s="1" t="s">
        <v>219</v>
      </c>
      <c r="B204" s="33">
        <v>10059768</v>
      </c>
      <c r="C204" s="3">
        <v>302</v>
      </c>
      <c r="D204" s="3" t="s">
        <v>179</v>
      </c>
      <c r="E204" s="3">
        <v>980</v>
      </c>
      <c r="I204" s="3">
        <v>3816</v>
      </c>
      <c r="K204" s="4">
        <f>6050-5214</f>
        <v>836</v>
      </c>
      <c r="L204" s="5">
        <f>E204+F204+H204+I204+J204+G204+K204</f>
        <v>5632</v>
      </c>
      <c r="U204" s="7">
        <f>N204+O204+P204+Q204+S204+R204+T204</f>
        <v>0</v>
      </c>
      <c r="AD204" s="9">
        <f>W204+X204+Y204+Z204+AA204+AB204+AC204</f>
        <v>0</v>
      </c>
      <c r="AF204" s="34"/>
      <c r="AG204" s="34"/>
      <c r="AH204" s="34"/>
      <c r="AN204" s="9">
        <f>AG204+AH204+AI204+AJ204+AK204+AL204+AM204</f>
        <v>0</v>
      </c>
      <c r="AT204" s="11">
        <f>100+318</f>
        <v>418</v>
      </c>
      <c r="AV204" s="64">
        <f>L204+U204+AD204</f>
        <v>5632</v>
      </c>
      <c r="AW204" s="73">
        <f>AT204+AV204+AU204</f>
        <v>6050</v>
      </c>
      <c r="AY204" s="74">
        <f>AZ204+BA204+BB204+BC204+BD204+BE204</f>
        <v>6050</v>
      </c>
      <c r="AZ204" s="14">
        <v>6050</v>
      </c>
      <c r="BL204" s="18">
        <v>2</v>
      </c>
      <c r="BM204" s="90" t="s">
        <v>61</v>
      </c>
    </row>
    <row r="205" customHeight="1" spans="1:65">
      <c r="A205" s="1" t="s">
        <v>219</v>
      </c>
      <c r="B205" s="33">
        <v>10059769</v>
      </c>
      <c r="C205" s="3" t="s">
        <v>70</v>
      </c>
      <c r="D205" s="3" t="s">
        <v>220</v>
      </c>
      <c r="E205" s="3">
        <v>1880</v>
      </c>
      <c r="I205" s="3">
        <v>3816</v>
      </c>
      <c r="J205" s="3">
        <f>129+168+139+199+129+129</f>
        <v>893</v>
      </c>
      <c r="K205" s="4">
        <f>8770-7784</f>
        <v>986</v>
      </c>
      <c r="L205" s="5">
        <f>E205+F205+H205+I205+J205+G205+K205</f>
        <v>7575</v>
      </c>
      <c r="U205" s="7">
        <f>N205+O205+P205+Q205+S205+R205+T205</f>
        <v>0</v>
      </c>
      <c r="AD205" s="9">
        <f>W205+X205+Y205+Z205+AA205+AB205+AC205</f>
        <v>0</v>
      </c>
      <c r="AF205" s="34"/>
      <c r="AG205" s="34"/>
      <c r="AH205" s="34"/>
      <c r="AN205" s="9">
        <f>AG205+AH205+AI205+AJ205+AK205+AL205+AM205</f>
        <v>0</v>
      </c>
      <c r="AT205" s="11">
        <f>100+795+300</f>
        <v>1195</v>
      </c>
      <c r="AV205" s="64">
        <f>L205+U205+AD205</f>
        <v>7575</v>
      </c>
      <c r="AW205" s="73">
        <f>AT205+AV205+AU205</f>
        <v>8770</v>
      </c>
      <c r="AY205" s="74">
        <f>AZ205+BA205+BB205+BC205+BD205+BE205</f>
        <v>8770</v>
      </c>
      <c r="BA205" s="15">
        <v>8770</v>
      </c>
      <c r="BL205" s="18">
        <v>4</v>
      </c>
      <c r="BM205" s="90" t="s">
        <v>139</v>
      </c>
    </row>
    <row r="206" customHeight="1" spans="1:64">
      <c r="A206" s="1" t="s">
        <v>219</v>
      </c>
      <c r="B206" s="33">
        <v>10059770</v>
      </c>
      <c r="C206" s="3">
        <v>301</v>
      </c>
      <c r="D206" s="3" t="s">
        <v>193</v>
      </c>
      <c r="E206" s="3">
        <v>1299</v>
      </c>
      <c r="I206" s="3">
        <f>3816+3816</f>
        <v>7632</v>
      </c>
      <c r="K206" s="4">
        <f>12200-10144</f>
        <v>2056</v>
      </c>
      <c r="L206" s="5">
        <f>E206+F206+H206+I206+J206+G206+K206</f>
        <v>10987</v>
      </c>
      <c r="U206" s="7">
        <f>N206+O206+P206+Q206+S206+R206+T206</f>
        <v>0</v>
      </c>
      <c r="AD206" s="9">
        <f>W206+X206+Y206+Z206+AA206+AB206+AC206</f>
        <v>0</v>
      </c>
      <c r="AF206" s="34"/>
      <c r="AG206" s="34"/>
      <c r="AH206" s="34"/>
      <c r="AN206" s="9">
        <f>AG206+AH206+AI206+AJ206+AK206+AL206+AM206</f>
        <v>0</v>
      </c>
      <c r="AT206" s="11">
        <f>100+1113</f>
        <v>1213</v>
      </c>
      <c r="AV206" s="64">
        <f>L206+U206+AD206</f>
        <v>10987</v>
      </c>
      <c r="AW206" s="73">
        <f>AT206+AV206+AU206</f>
        <v>12200</v>
      </c>
      <c r="AY206" s="74">
        <f>AZ206+BA206+BB206+BC206+BD206+BE206</f>
        <v>12200</v>
      </c>
      <c r="BA206" s="15">
        <v>12200</v>
      </c>
      <c r="BL206" s="18">
        <v>6</v>
      </c>
    </row>
    <row r="207" customHeight="1" spans="1:64">
      <c r="A207" s="1" t="s">
        <v>219</v>
      </c>
      <c r="B207" s="33">
        <v>10059771</v>
      </c>
      <c r="C207" s="3">
        <v>308</v>
      </c>
      <c r="D207" s="3" t="s">
        <v>181</v>
      </c>
      <c r="E207" s="3">
        <v>980</v>
      </c>
      <c r="I207" s="3">
        <v>3816</v>
      </c>
      <c r="K207" s="4">
        <f>6200-5214</f>
        <v>986</v>
      </c>
      <c r="L207" s="5">
        <f>E207+F207+H207+I207+J207+G207+K207</f>
        <v>5782</v>
      </c>
      <c r="U207" s="7">
        <f>N207+O207+P207+Q207+S207+R207+T207</f>
        <v>0</v>
      </c>
      <c r="AD207" s="9">
        <f>W207+X207+Y207+Z207+AA207+AB207+AC207</f>
        <v>0</v>
      </c>
      <c r="AF207" s="34"/>
      <c r="AG207" s="34"/>
      <c r="AH207" s="34"/>
      <c r="AN207" s="9">
        <f>AG207+AH207+AI207+AJ207+AK207+AL207+AM207</f>
        <v>0</v>
      </c>
      <c r="AT207" s="11">
        <f>100+318</f>
        <v>418</v>
      </c>
      <c r="AV207" s="64">
        <f>L207+U207+AD207</f>
        <v>5782</v>
      </c>
      <c r="AW207" s="73">
        <f>AT207+AV207+AU207</f>
        <v>6200</v>
      </c>
      <c r="AY207" s="74">
        <f>AZ207+BA207+BB207+BC207+BD207+BE207</f>
        <v>6200</v>
      </c>
      <c r="AZ207" s="14">
        <v>6200</v>
      </c>
      <c r="BL207" s="18">
        <v>4</v>
      </c>
    </row>
    <row r="208" customHeight="1" spans="1:65">
      <c r="A208" s="1" t="s">
        <v>219</v>
      </c>
      <c r="B208" s="33">
        <v>10059772</v>
      </c>
      <c r="C208" s="34" t="s">
        <v>48</v>
      </c>
      <c r="D208" s="3" t="s">
        <v>133</v>
      </c>
      <c r="E208" s="3">
        <v>1880</v>
      </c>
      <c r="I208" s="3">
        <v>7632</v>
      </c>
      <c r="K208" s="4">
        <f>11300-10089</f>
        <v>1211</v>
      </c>
      <c r="L208" s="5">
        <f>E208+F208+H208+I208+J208+G208+K208</f>
        <v>10723</v>
      </c>
      <c r="U208" s="7">
        <f>N208+O208+P208+Q208+S208+R208+T208</f>
        <v>0</v>
      </c>
      <c r="AD208" s="9">
        <f>W208+X208+Y208+Z208+AA208+AB208+AC208</f>
        <v>0</v>
      </c>
      <c r="AF208" s="34"/>
      <c r="AG208" s="34"/>
      <c r="AH208" s="34"/>
      <c r="AN208" s="9">
        <f>AG208+AH208+AI208+AJ208+AK208+AL208+AM208</f>
        <v>0</v>
      </c>
      <c r="AT208" s="11">
        <f>100+477</f>
        <v>577</v>
      </c>
      <c r="AV208" s="64">
        <f>L208+U208+AD208</f>
        <v>10723</v>
      </c>
      <c r="AW208" s="73">
        <f>AT208+AV208+AU208</f>
        <v>11300</v>
      </c>
      <c r="AY208" s="74">
        <f>AZ208+BA208+BB208+BC208+BD208+BE208</f>
        <v>11300</v>
      </c>
      <c r="BA208" s="15">
        <v>11300</v>
      </c>
      <c r="BL208" s="18">
        <v>3</v>
      </c>
      <c r="BM208" s="90" t="s">
        <v>134</v>
      </c>
    </row>
    <row r="209" customHeight="1" spans="1:65">
      <c r="A209" s="1" t="s">
        <v>219</v>
      </c>
      <c r="B209" s="33">
        <v>10059773</v>
      </c>
      <c r="C209" s="3" t="s">
        <v>120</v>
      </c>
      <c r="D209" s="3" t="s">
        <v>119</v>
      </c>
      <c r="E209" s="3">
        <v>1880</v>
      </c>
      <c r="I209" s="3">
        <f>795+3816</f>
        <v>4611</v>
      </c>
      <c r="K209" s="4">
        <f>8200-7098</f>
        <v>1102</v>
      </c>
      <c r="L209" s="5">
        <f>E209+F209+H209+I209+J209+G209+K209</f>
        <v>7593</v>
      </c>
      <c r="U209" s="7">
        <f>N209+O209+P209+Q209+S209+R209+T209</f>
        <v>0</v>
      </c>
      <c r="AD209" s="9">
        <f>W209+X209+Y209+Z209+AA209+AB209+AC209</f>
        <v>0</v>
      </c>
      <c r="AF209" s="34"/>
      <c r="AG209" s="34"/>
      <c r="AH209" s="34"/>
      <c r="AN209" s="9">
        <f>AG209+AH209+AI209+AJ209+AK209+AL209+AM209</f>
        <v>0</v>
      </c>
      <c r="AT209" s="11">
        <f>100+169+338</f>
        <v>607</v>
      </c>
      <c r="AV209" s="64">
        <f>L209+U209+AD209</f>
        <v>7593</v>
      </c>
      <c r="AW209" s="73">
        <f>AT209+AV209+AU209</f>
        <v>8200</v>
      </c>
      <c r="AY209" s="74">
        <f>AZ209+BA209+BB209+BC209+BD209+BE209</f>
        <v>8200</v>
      </c>
      <c r="BA209" s="15">
        <v>8200</v>
      </c>
      <c r="BL209" s="18">
        <v>7</v>
      </c>
      <c r="BM209" s="90" t="s">
        <v>212</v>
      </c>
    </row>
    <row r="210" customHeight="1" spans="1:64">
      <c r="A210" s="1" t="s">
        <v>219</v>
      </c>
      <c r="B210" s="33">
        <v>10059774</v>
      </c>
      <c r="C210" s="3">
        <v>311</v>
      </c>
      <c r="D210" s="3" t="s">
        <v>205</v>
      </c>
      <c r="J210" s="3">
        <f>129+129+129</f>
        <v>387</v>
      </c>
      <c r="K210" s="4">
        <f>5800-646</f>
        <v>5154</v>
      </c>
      <c r="L210" s="5">
        <f>E210+F210+H210+I210+J210+G210+K210</f>
        <v>5541</v>
      </c>
      <c r="U210" s="7">
        <f>N210+O210+P210+Q210+S210+R210+T210</f>
        <v>0</v>
      </c>
      <c r="AD210" s="9">
        <f>W210+X210+Y210+Z210+AA210+AB210+AC210</f>
        <v>0</v>
      </c>
      <c r="AF210" s="34"/>
      <c r="AG210" s="34"/>
      <c r="AH210" s="34"/>
      <c r="AN210" s="9">
        <f>AG210+AH210+AI210+AJ210+AK210+AL210+AM210</f>
        <v>0</v>
      </c>
      <c r="AT210" s="11">
        <f>100+159</f>
        <v>259</v>
      </c>
      <c r="AV210" s="64">
        <f>L210+U210+AD210</f>
        <v>5541</v>
      </c>
      <c r="AW210" s="73">
        <f>AT210+AV210+AU210</f>
        <v>5800</v>
      </c>
      <c r="AX210" s="75" t="s">
        <v>221</v>
      </c>
      <c r="AY210" s="74">
        <f>AZ210+BA210+BB210+BC210+BD210+BE210</f>
        <v>5800</v>
      </c>
      <c r="BB210" s="16">
        <v>5800</v>
      </c>
      <c r="BL210" s="18">
        <v>1</v>
      </c>
    </row>
    <row r="211" customHeight="1" spans="1:65">
      <c r="A211" s="1" t="s">
        <v>219</v>
      </c>
      <c r="B211" s="33">
        <v>10059775</v>
      </c>
      <c r="C211" s="3" t="s">
        <v>44</v>
      </c>
      <c r="D211" s="3" t="s">
        <v>222</v>
      </c>
      <c r="E211" s="3">
        <v>1880</v>
      </c>
      <c r="I211" s="3">
        <f>1908+3816</f>
        <v>5724</v>
      </c>
      <c r="K211" s="4">
        <f>10350-8758</f>
        <v>1592</v>
      </c>
      <c r="L211" s="5">
        <f>E211+F211+H211+I211+J211+G211+K211</f>
        <v>9196</v>
      </c>
      <c r="U211" s="7">
        <f>N211+O211+P211+Q211+S211+R211+T211</f>
        <v>0</v>
      </c>
      <c r="AD211" s="9">
        <f>W211+X211+Y211+Z211+AA211+AB211+AC211</f>
        <v>0</v>
      </c>
      <c r="AF211" s="34"/>
      <c r="AG211" s="34"/>
      <c r="AH211" s="34"/>
      <c r="AN211" s="9">
        <f>AG211+AH211+AI211+AJ211+AK211+AL211+AM211</f>
        <v>0</v>
      </c>
      <c r="AT211" s="11">
        <f>100+954+100</f>
        <v>1154</v>
      </c>
      <c r="AV211" s="64">
        <f>L211+U211+AD211</f>
        <v>9196</v>
      </c>
      <c r="AW211" s="73">
        <f>AT211+AV211+AU211</f>
        <v>10350</v>
      </c>
      <c r="AY211" s="74">
        <f>AZ211+BA211+BB211+BC211+BD211+BE211</f>
        <v>10350</v>
      </c>
      <c r="AZ211" s="14">
        <v>10350</v>
      </c>
      <c r="BL211" s="18">
        <v>9</v>
      </c>
      <c r="BM211" s="90" t="s">
        <v>140</v>
      </c>
    </row>
    <row r="212" customHeight="1" spans="1:65">
      <c r="A212" s="1" t="s">
        <v>219</v>
      </c>
      <c r="B212" s="33">
        <v>10059776</v>
      </c>
      <c r="C212" s="34" t="s">
        <v>223</v>
      </c>
      <c r="D212" s="3" t="s">
        <v>60</v>
      </c>
      <c r="E212" s="3">
        <v>1880</v>
      </c>
      <c r="I212" s="3">
        <v>8568</v>
      </c>
      <c r="K212" s="4">
        <f>14180-11751</f>
        <v>2429</v>
      </c>
      <c r="L212" s="5">
        <f>E212+F212+H212+I212+J212+G212+K212</f>
        <v>12877</v>
      </c>
      <c r="U212" s="7">
        <f>N212+O212+P212+Q212+S212+R212+T212</f>
        <v>0</v>
      </c>
      <c r="AD212" s="9">
        <f>W212+X212+Y212+Z212+AA212+AB212+AC212</f>
        <v>0</v>
      </c>
      <c r="AF212" s="34"/>
      <c r="AG212" s="34"/>
      <c r="AH212" s="34"/>
      <c r="AN212" s="9">
        <f>AG212+AH212+AI212+AJ212+AK212+AL212+AM212</f>
        <v>0</v>
      </c>
      <c r="AT212" s="11">
        <f>100+80+954+169</f>
        <v>1303</v>
      </c>
      <c r="AV212" s="64">
        <f>L212+U212+AD212</f>
        <v>12877</v>
      </c>
      <c r="AW212" s="73">
        <f>AT212+AV212+AU212</f>
        <v>14180</v>
      </c>
      <c r="AX212" s="75" t="s">
        <v>32</v>
      </c>
      <c r="AY212" s="74">
        <f>AZ212+BA212+BB212+BC212+BD212+BE212</f>
        <v>0</v>
      </c>
      <c r="BG212" s="10">
        <v>14180</v>
      </c>
      <c r="BL212" s="18">
        <v>8</v>
      </c>
      <c r="BM212" s="90" t="s">
        <v>128</v>
      </c>
    </row>
    <row r="213" customHeight="1" spans="1:65">
      <c r="A213" s="1" t="s">
        <v>219</v>
      </c>
      <c r="B213" s="33">
        <v>10059777</v>
      </c>
      <c r="C213" s="3">
        <v>313</v>
      </c>
      <c r="D213" s="3" t="s">
        <v>122</v>
      </c>
      <c r="E213" s="3">
        <v>980</v>
      </c>
      <c r="I213" s="3">
        <v>2862</v>
      </c>
      <c r="K213" s="4">
        <f>5270-4419</f>
        <v>851</v>
      </c>
      <c r="L213" s="5">
        <f>E213+F213+H213+I213+J213+G213+K213</f>
        <v>4693</v>
      </c>
      <c r="U213" s="7">
        <f>N213+O213+P213+Q213+S213+R213+T213</f>
        <v>0</v>
      </c>
      <c r="AD213" s="9">
        <f>W213+X213+Y213+Z213+AA213+AB213+AC213</f>
        <v>0</v>
      </c>
      <c r="AF213" s="34"/>
      <c r="AG213" s="34"/>
      <c r="AH213" s="34"/>
      <c r="AN213" s="9">
        <f>AG213+AH213+AI213+AJ213+AK213+AL213+AM213</f>
        <v>0</v>
      </c>
      <c r="AT213" s="11">
        <f>100+477</f>
        <v>577</v>
      </c>
      <c r="AV213" s="64">
        <f>L213+U213+AD213</f>
        <v>4693</v>
      </c>
      <c r="AW213" s="73">
        <f>AT213+AV213+AU213</f>
        <v>5270</v>
      </c>
      <c r="AY213" s="74">
        <f>AZ213+BA213+BB213+BC213+BD213+BE213</f>
        <v>5270</v>
      </c>
      <c r="AZ213" s="14">
        <v>5270</v>
      </c>
      <c r="BL213" s="18">
        <v>3</v>
      </c>
      <c r="BM213" s="90" t="s">
        <v>224</v>
      </c>
    </row>
    <row r="214" customHeight="1" spans="1:51">
      <c r="A214" s="1" t="s">
        <v>219</v>
      </c>
      <c r="B214" s="33">
        <v>10059778</v>
      </c>
      <c r="C214" s="34" t="s">
        <v>159</v>
      </c>
      <c r="D214" s="3" t="s">
        <v>214</v>
      </c>
      <c r="L214" s="5">
        <f>E214+F214+H214+I214+J214+G214+K214</f>
        <v>0</v>
      </c>
      <c r="U214" s="7">
        <f>N214+O214+P214+Q214+S214+R214+T214</f>
        <v>0</v>
      </c>
      <c r="AD214" s="9">
        <f>W214+X214+Y214+Z214+AA214+AB214+AC214</f>
        <v>0</v>
      </c>
      <c r="AF214" s="3" t="s">
        <v>214</v>
      </c>
      <c r="AG214" s="34">
        <v>1880</v>
      </c>
      <c r="AH214" s="34"/>
      <c r="AK214" s="3">
        <v>2856</v>
      </c>
      <c r="AM214" s="3">
        <v>965</v>
      </c>
      <c r="AN214" s="9">
        <f>AG214+AH214+AI214+AJ214+AK214+AL214+AM214</f>
        <v>5701</v>
      </c>
      <c r="AO214" s="10">
        <v>863</v>
      </c>
      <c r="AV214" s="64">
        <f>L214+U214+AD214</f>
        <v>0</v>
      </c>
      <c r="AW214" s="73">
        <f>AT214+AV214+AU214</f>
        <v>0</v>
      </c>
      <c r="AX214" s="13" t="s">
        <v>225</v>
      </c>
      <c r="AY214" s="74">
        <f>AZ214+BA214+BB214+BC214+BD214+BE214</f>
        <v>0</v>
      </c>
    </row>
    <row r="215" customHeight="1" spans="1:65">
      <c r="A215" s="1" t="s">
        <v>219</v>
      </c>
      <c r="B215" s="33">
        <v>10059779</v>
      </c>
      <c r="C215" s="3">
        <v>316</v>
      </c>
      <c r="D215" s="34"/>
      <c r="L215" s="5">
        <f>E215+F215+H215+I215+J215+G215+K215</f>
        <v>0</v>
      </c>
      <c r="U215" s="7">
        <f>N215+O215+P215+Q215+S215+R215+T215</f>
        <v>0</v>
      </c>
      <c r="V215" s="91" t="s">
        <v>185</v>
      </c>
      <c r="AC215" s="8">
        <v>1004</v>
      </c>
      <c r="AD215" s="9">
        <f>W215+X215+Y215+Z215+AA215+AB215+AC215</f>
        <v>1004</v>
      </c>
      <c r="AF215" s="34"/>
      <c r="AG215" s="34"/>
      <c r="AH215" s="34"/>
      <c r="AN215" s="9">
        <f>AG215+AH215+AI215+AJ215+AK215+AL215+AM215</f>
        <v>0</v>
      </c>
      <c r="AT215" s="11">
        <f>100+477+30</f>
        <v>607</v>
      </c>
      <c r="AV215" s="64">
        <f>L215+U215+AD215</f>
        <v>1004</v>
      </c>
      <c r="AW215" s="73">
        <f>AT215+AV215+AU215</f>
        <v>1611</v>
      </c>
      <c r="AY215" s="74">
        <f>AZ215+BA215+BB215+BC215+BD215+BE215</f>
        <v>1611</v>
      </c>
      <c r="BB215" s="16">
        <v>1611</v>
      </c>
      <c r="BL215" s="18">
        <v>4</v>
      </c>
      <c r="BM215" s="90" t="s">
        <v>130</v>
      </c>
    </row>
    <row r="216" customHeight="1" spans="1:65">
      <c r="A216" s="1" t="s">
        <v>219</v>
      </c>
      <c r="B216" s="33">
        <v>10059780</v>
      </c>
      <c r="C216" s="3">
        <v>307</v>
      </c>
      <c r="D216" s="3" t="s">
        <v>129</v>
      </c>
      <c r="E216" s="3">
        <v>980</v>
      </c>
      <c r="I216" s="3">
        <v>2856</v>
      </c>
      <c r="K216" s="4">
        <f>5650-4572</f>
        <v>1078</v>
      </c>
      <c r="L216" s="5">
        <f>E216+F216+H216+I216+J216+G216+K216</f>
        <v>4914</v>
      </c>
      <c r="U216" s="7">
        <f>N216+O216+P216+Q216+S216+R216+T216</f>
        <v>0</v>
      </c>
      <c r="AD216" s="9">
        <f>W216+X216+Y216+Z216+AA216+AB216+AC216</f>
        <v>0</v>
      </c>
      <c r="AF216" s="34"/>
      <c r="AG216" s="34"/>
      <c r="AH216" s="34"/>
      <c r="AN216" s="9">
        <f>AG216+AH216+AI216+AJ216+AK216+AL216+AM216</f>
        <v>0</v>
      </c>
      <c r="AT216" s="11">
        <f>100+636</f>
        <v>736</v>
      </c>
      <c r="AV216" s="64">
        <f>L216+U216+AD216</f>
        <v>4914</v>
      </c>
      <c r="AW216" s="73">
        <f>AT216+AV216+AU216</f>
        <v>5650</v>
      </c>
      <c r="AY216" s="74">
        <f>AZ216+BA216+BB216+BC216+BD216+BE216</f>
        <v>4050</v>
      </c>
      <c r="BA216" s="15">
        <v>4050</v>
      </c>
      <c r="BG216" s="10">
        <v>1600</v>
      </c>
      <c r="BL216" s="18">
        <v>4</v>
      </c>
      <c r="BM216" s="90" t="s">
        <v>167</v>
      </c>
    </row>
    <row r="217" customHeight="1" spans="1:65">
      <c r="A217" s="1" t="s">
        <v>219</v>
      </c>
      <c r="B217" s="33">
        <v>10059781</v>
      </c>
      <c r="C217" s="3" t="s">
        <v>70</v>
      </c>
      <c r="D217" s="3" t="s">
        <v>156</v>
      </c>
      <c r="E217" s="3">
        <v>1880</v>
      </c>
      <c r="I217" s="3">
        <v>7632</v>
      </c>
      <c r="K217" s="4">
        <f>13000-11414</f>
        <v>1586</v>
      </c>
      <c r="L217" s="5">
        <f>E217+F217+H217+I217+J217+G217+K217</f>
        <v>11098</v>
      </c>
      <c r="U217" s="7">
        <f>N217+O217+P217+Q217+S217+R217+T217</f>
        <v>0</v>
      </c>
      <c r="AD217" s="9">
        <f>W217+X217+Y217+Z217+AA217+AB217+AC217</f>
        <v>0</v>
      </c>
      <c r="AF217" s="34"/>
      <c r="AG217" s="34"/>
      <c r="AH217" s="34"/>
      <c r="AN217" s="9">
        <f>AG217+AH217+AI217+AJ217+AK217+AL217+AM217</f>
        <v>0</v>
      </c>
      <c r="AT217" s="11">
        <f>100+130+200+1272+200</f>
        <v>1902</v>
      </c>
      <c r="AV217" s="64">
        <f>L217+U217+AD217</f>
        <v>11098</v>
      </c>
      <c r="AW217" s="73">
        <f>AT217+AV217+AU217</f>
        <v>13000</v>
      </c>
      <c r="AY217" s="74">
        <f>AZ217+BA217+BB217+BC217+BD217+BE217</f>
        <v>13200</v>
      </c>
      <c r="BA217" s="15">
        <v>13000</v>
      </c>
      <c r="BC217" s="17">
        <v>200</v>
      </c>
      <c r="BL217" s="18">
        <v>4</v>
      </c>
      <c r="BM217" s="90" t="s">
        <v>139</v>
      </c>
    </row>
    <row r="218" customHeight="1" spans="1:65">
      <c r="A218" s="1" t="s">
        <v>219</v>
      </c>
      <c r="B218" s="33">
        <v>10059782</v>
      </c>
      <c r="C218" s="3" t="s">
        <v>192</v>
      </c>
      <c r="L218" s="5">
        <f>E218+F218+H218+I218+J218+G218+K218</f>
        <v>0</v>
      </c>
      <c r="M218" s="3" t="s">
        <v>226</v>
      </c>
      <c r="N218" s="3">
        <v>1880</v>
      </c>
      <c r="R218" s="3">
        <v>3816</v>
      </c>
      <c r="S218" s="3">
        <v>853</v>
      </c>
      <c r="T218" s="6">
        <v>1394</v>
      </c>
      <c r="U218" s="7">
        <f>N218+O218+P218+Q218+S218+R218+T218</f>
        <v>7943</v>
      </c>
      <c r="AD218" s="9">
        <f>W218+X218+Y218+Z218+AA218+AB218+AC218</f>
        <v>0</v>
      </c>
      <c r="AF218" s="34"/>
      <c r="AG218" s="34"/>
      <c r="AH218" s="34"/>
      <c r="AN218" s="9">
        <f>AG218+AH218+AI218+AJ218+AK218+AL218+AM218</f>
        <v>0</v>
      </c>
      <c r="AT218" s="11">
        <f>100+80+477</f>
        <v>657</v>
      </c>
      <c r="AV218" s="64">
        <f>L218+U218+AD218</f>
        <v>7943</v>
      </c>
      <c r="AW218" s="73">
        <f>AT218+AV218+AU218</f>
        <v>8600</v>
      </c>
      <c r="AX218" s="75" t="s">
        <v>227</v>
      </c>
      <c r="AY218" s="74">
        <f>AZ218+BA218+BB218+BC218+BD218+BE218</f>
        <v>8600</v>
      </c>
      <c r="BB218" s="16">
        <v>8600</v>
      </c>
      <c r="BL218" s="18">
        <v>3</v>
      </c>
      <c r="BM218" s="90" t="s">
        <v>139</v>
      </c>
    </row>
    <row r="219" customHeight="1" spans="1:65">
      <c r="A219" s="1" t="s">
        <v>219</v>
      </c>
      <c r="B219" s="33">
        <v>10059783</v>
      </c>
      <c r="C219" s="3">
        <v>309</v>
      </c>
      <c r="L219" s="5">
        <f>E219+F219+H219+I219+J219+G219+K219</f>
        <v>0</v>
      </c>
      <c r="M219" s="3" t="s">
        <v>228</v>
      </c>
      <c r="N219" s="3">
        <v>980</v>
      </c>
      <c r="R219" s="3">
        <v>2856</v>
      </c>
      <c r="T219" s="6">
        <v>514</v>
      </c>
      <c r="U219" s="7">
        <f>N219+O219+P219+Q219+S219+R219+T219</f>
        <v>4350</v>
      </c>
      <c r="AD219" s="9">
        <f>W219+X219+Y219+Z219+AA219+AB219+AC219</f>
        <v>0</v>
      </c>
      <c r="AF219" s="34"/>
      <c r="AG219" s="34"/>
      <c r="AH219" s="34"/>
      <c r="AN219" s="9">
        <f>AG219+AH219+AI219+AJ219+AK219+AL219+AM219</f>
        <v>0</v>
      </c>
      <c r="AT219" s="11">
        <v>100</v>
      </c>
      <c r="AV219" s="64">
        <f>L219+U219+AD219</f>
        <v>4350</v>
      </c>
      <c r="AW219" s="73">
        <f>AT219+AV219+AU219</f>
        <v>4450</v>
      </c>
      <c r="AY219" s="74">
        <f>AZ219+BA219+BB219+BC219+BD219+BE219</f>
        <v>4450</v>
      </c>
      <c r="BA219" s="15">
        <v>4450</v>
      </c>
      <c r="BL219" s="18">
        <v>1</v>
      </c>
      <c r="BM219" s="90" t="s">
        <v>61</v>
      </c>
    </row>
    <row r="220" customHeight="1" spans="1:65">
      <c r="A220" s="1" t="s">
        <v>219</v>
      </c>
      <c r="B220" s="33">
        <v>10059784</v>
      </c>
      <c r="C220" s="34" t="s">
        <v>89</v>
      </c>
      <c r="D220" s="3" t="s">
        <v>170</v>
      </c>
      <c r="E220" s="3">
        <v>2180</v>
      </c>
      <c r="I220" s="3">
        <v>10017</v>
      </c>
      <c r="K220" s="4">
        <f>14900-12973</f>
        <v>1927</v>
      </c>
      <c r="L220" s="5">
        <f>E220+F220+H220+I220+J220+G220+K220</f>
        <v>14124</v>
      </c>
      <c r="U220" s="7">
        <f>N220+O220+P220+Q220+S220+R220+T220</f>
        <v>0</v>
      </c>
      <c r="AD220" s="9">
        <f>W220+X220+Y220+Z220+AA220+AB220+AC220</f>
        <v>0</v>
      </c>
      <c r="AF220" s="34"/>
      <c r="AG220" s="34"/>
      <c r="AH220" s="34"/>
      <c r="AN220" s="9">
        <f>AG220+AH220+AI220+AJ220+AK220+AL220+AM220</f>
        <v>0</v>
      </c>
      <c r="AT220" s="11">
        <f>100+676</f>
        <v>776</v>
      </c>
      <c r="AV220" s="64">
        <f>L220+U220+AD220</f>
        <v>14124</v>
      </c>
      <c r="AW220" s="73">
        <f>AT220+AV220+AU220</f>
        <v>14900</v>
      </c>
      <c r="AY220" s="74">
        <f>AZ220+BA220+BB220+BC220+BD220+BE220</f>
        <v>14900</v>
      </c>
      <c r="BA220" s="15">
        <v>14900</v>
      </c>
      <c r="BL220" s="18">
        <v>5</v>
      </c>
      <c r="BM220" s="90" t="s">
        <v>174</v>
      </c>
    </row>
    <row r="221" customHeight="1" spans="1:65">
      <c r="A221" s="1" t="s">
        <v>219</v>
      </c>
      <c r="B221" s="33">
        <v>10059785</v>
      </c>
      <c r="C221" s="3" t="s">
        <v>97</v>
      </c>
      <c r="D221" s="3" t="s">
        <v>170</v>
      </c>
      <c r="E221" s="3">
        <v>2180</v>
      </c>
      <c r="I221" s="3">
        <v>6902</v>
      </c>
      <c r="K221" s="4">
        <f>11900-10056</f>
        <v>1844</v>
      </c>
      <c r="L221" s="5">
        <f>E221+F221+H221+I221+J221+G221+K221</f>
        <v>10926</v>
      </c>
      <c r="U221" s="7">
        <f>N221+O221+P221+Q221+S221+R221+T221</f>
        <v>0</v>
      </c>
      <c r="AD221" s="9">
        <f>W221+X221+Y221+Z221+AA221+AB221+AC221</f>
        <v>0</v>
      </c>
      <c r="AF221" s="34"/>
      <c r="AG221" s="34"/>
      <c r="AH221" s="34"/>
      <c r="AN221" s="9">
        <f>AG221+AH221+AI221+AJ221+AK221+AL221+AM221</f>
        <v>0</v>
      </c>
      <c r="AT221" s="11">
        <f>100+845+29</f>
        <v>974</v>
      </c>
      <c r="AV221" s="64">
        <f>L221+U221+AD221</f>
        <v>10926</v>
      </c>
      <c r="AW221" s="73">
        <f>AT221+AV221+AU221</f>
        <v>11900</v>
      </c>
      <c r="AY221" s="74">
        <f>AZ221+BA221+BB221+BC221+BD221+BE221</f>
        <v>1900</v>
      </c>
      <c r="BA221" s="15">
        <v>1900</v>
      </c>
      <c r="BG221" s="10">
        <v>10000</v>
      </c>
      <c r="BL221" s="18">
        <v>5</v>
      </c>
      <c r="BM221" s="90" t="s">
        <v>167</v>
      </c>
    </row>
    <row r="222" customHeight="1" spans="1:65">
      <c r="A222" s="1" t="s">
        <v>219</v>
      </c>
      <c r="B222" s="33">
        <v>10059786</v>
      </c>
      <c r="C222" s="34" t="s">
        <v>67</v>
      </c>
      <c r="D222" s="3" t="s">
        <v>121</v>
      </c>
      <c r="E222" s="3">
        <v>2180</v>
      </c>
      <c r="I222" s="3">
        <v>9540</v>
      </c>
      <c r="K222" s="4">
        <f>15000-12834</f>
        <v>2166</v>
      </c>
      <c r="L222" s="5">
        <f>E222+F222+H222+I222+J222+G222+K222</f>
        <v>13886</v>
      </c>
      <c r="U222" s="7">
        <f>N222+O222+P222+Q222+S222+R222+T222</f>
        <v>0</v>
      </c>
      <c r="AD222" s="9">
        <f>W222+X222+Y222+Z222+AA222+AB222+AC222</f>
        <v>0</v>
      </c>
      <c r="AF222" s="34"/>
      <c r="AG222" s="34"/>
      <c r="AH222" s="34"/>
      <c r="AN222" s="9">
        <f>AG222+AH222+AI222+AJ222+AK222+AL222+AM222</f>
        <v>0</v>
      </c>
      <c r="AT222" s="11">
        <f>100+1014</f>
        <v>1114</v>
      </c>
      <c r="AV222" s="64">
        <f>L222+U222+AD222</f>
        <v>13886</v>
      </c>
      <c r="AW222" s="73">
        <f>AT222+AV222+AU222</f>
        <v>15000</v>
      </c>
      <c r="AY222" s="74">
        <f>AZ222+BA222+BB222+BC222+BD222+BE222</f>
        <v>15000</v>
      </c>
      <c r="BA222" s="15">
        <v>15000</v>
      </c>
      <c r="BL222" s="18">
        <v>5</v>
      </c>
      <c r="BM222" s="90" t="s">
        <v>167</v>
      </c>
    </row>
    <row r="223" customHeight="1" spans="1:65">
      <c r="A223" s="1" t="s">
        <v>219</v>
      </c>
      <c r="B223" s="33">
        <v>10059787</v>
      </c>
      <c r="C223" s="34" t="s">
        <v>78</v>
      </c>
      <c r="D223" s="3" t="s">
        <v>229</v>
      </c>
      <c r="E223" s="3">
        <v>2580</v>
      </c>
      <c r="G223" s="3">
        <v>8890</v>
      </c>
      <c r="I223" s="3">
        <v>2226</v>
      </c>
      <c r="K223" s="4">
        <f>19300-14472</f>
        <v>4828</v>
      </c>
      <c r="L223" s="5">
        <f>E223+F223+H223+I223+J223+G223+K223</f>
        <v>18524</v>
      </c>
      <c r="U223" s="7">
        <f>N223+O223+P223+Q223+S223+R223+T223</f>
        <v>0</v>
      </c>
      <c r="AD223" s="9">
        <f>W223+X223+Y223+Z223+AA223+AB223+AC223</f>
        <v>0</v>
      </c>
      <c r="AF223" s="34"/>
      <c r="AG223" s="34"/>
      <c r="AH223" s="34"/>
      <c r="AN223" s="9">
        <f>AG223+AH223+AI223+AJ223+AK223+AL223+AM223</f>
        <v>0</v>
      </c>
      <c r="AT223" s="11">
        <f>100+676</f>
        <v>776</v>
      </c>
      <c r="AV223" s="64">
        <f>L223+U223+AD223</f>
        <v>18524</v>
      </c>
      <c r="AW223" s="73">
        <f>AT223+AV223+AU223</f>
        <v>19300</v>
      </c>
      <c r="AY223" s="74">
        <f>AZ223+BA223+BB223+BC223+BD223+BE223</f>
        <v>19300</v>
      </c>
      <c r="BA223" s="15">
        <v>19300</v>
      </c>
      <c r="BL223" s="18">
        <v>5</v>
      </c>
      <c r="BM223" s="90" t="s">
        <v>140</v>
      </c>
    </row>
    <row r="224" customHeight="1" spans="1:65">
      <c r="A224" s="1" t="s">
        <v>219</v>
      </c>
      <c r="B224" s="33">
        <v>10059788</v>
      </c>
      <c r="C224" s="34" t="s">
        <v>94</v>
      </c>
      <c r="D224" s="3" t="s">
        <v>201</v>
      </c>
      <c r="E224" s="3">
        <v>1680</v>
      </c>
      <c r="I224" s="3">
        <v>7632</v>
      </c>
      <c r="J224" s="3">
        <f>129+168</f>
        <v>297</v>
      </c>
      <c r="K224" s="4">
        <f>12300-10323</f>
        <v>1977</v>
      </c>
      <c r="L224" s="5">
        <f>E224+F224+H224+I224+J224+G224+K224</f>
        <v>11586</v>
      </c>
      <c r="U224" s="7">
        <f>N224+O224+P224+Q224+S224+R224+T224</f>
        <v>0</v>
      </c>
      <c r="AD224" s="9">
        <f>W224+X224+Y224+Z224+AA224+AB224+AC224</f>
        <v>0</v>
      </c>
      <c r="AF224" s="34"/>
      <c r="AG224" s="34"/>
      <c r="AH224" s="34"/>
      <c r="AN224" s="9">
        <f>AG224+AH224+AI224+AJ224+AK224+AL224+AM224</f>
        <v>0</v>
      </c>
      <c r="AT224" s="11">
        <f>100+507+49+58</f>
        <v>714</v>
      </c>
      <c r="AV224" s="64">
        <f>L224+U224+AD224</f>
        <v>11586</v>
      </c>
      <c r="AW224" s="73">
        <f>AT224+AV224+AU224</f>
        <v>12300</v>
      </c>
      <c r="AY224" s="74">
        <f>AZ224+BA224+BB224+BC224+BD224+BE224</f>
        <v>12300</v>
      </c>
      <c r="AZ224" s="14">
        <v>12300</v>
      </c>
      <c r="BL224" s="18">
        <v>3</v>
      </c>
      <c r="BM224" s="90" t="s">
        <v>130</v>
      </c>
    </row>
    <row r="225" customHeight="1" spans="1:65">
      <c r="A225" s="1" t="s">
        <v>219</v>
      </c>
      <c r="B225" s="33">
        <v>10059789</v>
      </c>
      <c r="C225" s="34" t="s">
        <v>84</v>
      </c>
      <c r="D225" s="3" t="s">
        <v>230</v>
      </c>
      <c r="E225" s="3">
        <v>2580</v>
      </c>
      <c r="I225" s="3">
        <v>13566</v>
      </c>
      <c r="J225" s="3">
        <v>138</v>
      </c>
      <c r="K225" s="4">
        <f>21200-17954</f>
        <v>3246</v>
      </c>
      <c r="L225" s="5">
        <f>E225+F225+H225+I225+J225+G225+K225</f>
        <v>19530</v>
      </c>
      <c r="U225" s="7">
        <f>N225+O225+P225+Q225+S225+R225+T225</f>
        <v>0</v>
      </c>
      <c r="AD225" s="9">
        <f>W225+X225+Y225+Z225+AA225+AB225+AC225</f>
        <v>0</v>
      </c>
      <c r="AF225" s="34"/>
      <c r="AG225" s="34"/>
      <c r="AH225" s="34"/>
      <c r="AN225" s="9">
        <f>AG225+AH225+AI225+AJ225+AK225+AL225+AM225</f>
        <v>0</v>
      </c>
      <c r="AT225" s="11">
        <f>100+1521+49</f>
        <v>1670</v>
      </c>
      <c r="AV225" s="64">
        <f>L225+U225+AD225</f>
        <v>19530</v>
      </c>
      <c r="AW225" s="73">
        <f>AT225+AV225+AU225</f>
        <v>21200</v>
      </c>
      <c r="AY225" s="74">
        <f>AZ225+BA225+BB225+BC225+BD225+BE225</f>
        <v>21200</v>
      </c>
      <c r="BA225" s="15">
        <v>21200</v>
      </c>
      <c r="BL225" s="18">
        <v>7</v>
      </c>
      <c r="BM225" s="90" t="s">
        <v>196</v>
      </c>
    </row>
    <row r="226" customHeight="1" spans="1:65">
      <c r="A226" s="1" t="s">
        <v>219</v>
      </c>
      <c r="B226" s="33">
        <v>10059790</v>
      </c>
      <c r="C226" s="34" t="s">
        <v>54</v>
      </c>
      <c r="D226" s="3" t="s">
        <v>119</v>
      </c>
      <c r="E226" s="3">
        <v>2180</v>
      </c>
      <c r="G226" s="3">
        <v>4690</v>
      </c>
      <c r="I226" s="3">
        <v>5565</v>
      </c>
      <c r="J226" s="3">
        <v>129</v>
      </c>
      <c r="K226" s="4">
        <f>14800-13171</f>
        <v>1629</v>
      </c>
      <c r="L226" s="5">
        <f>E226+F226+H226+I226+J226+G226+K226</f>
        <v>14193</v>
      </c>
      <c r="U226" s="7">
        <f>N226+O226+P226+Q226+S226+R226+T226</f>
        <v>0</v>
      </c>
      <c r="AD226" s="9">
        <f>W226+X226+Y226+Z226+AA226+AB226+AC226</f>
        <v>0</v>
      </c>
      <c r="AF226" s="34"/>
      <c r="AG226" s="34"/>
      <c r="AH226" s="34"/>
      <c r="AN226" s="9">
        <f>AG226+AH226+AI226+AJ226+AK226+AL226+AM226</f>
        <v>0</v>
      </c>
      <c r="AT226" s="11">
        <f>100+507</f>
        <v>607</v>
      </c>
      <c r="AV226" s="64">
        <f>L226+U226+AD226</f>
        <v>14193</v>
      </c>
      <c r="AW226" s="73">
        <f>AT226+AV226+AU226</f>
        <v>14800</v>
      </c>
      <c r="AY226" s="74">
        <f>AZ226+BA226+BB226+BC226+BD226+BE226</f>
        <v>15300</v>
      </c>
      <c r="BA226" s="15">
        <v>14800</v>
      </c>
      <c r="BC226" s="17">
        <v>490</v>
      </c>
      <c r="BD226" s="17">
        <v>10</v>
      </c>
      <c r="BL226" s="18">
        <v>3</v>
      </c>
      <c r="BM226" s="90" t="s">
        <v>212</v>
      </c>
    </row>
    <row r="227" customHeight="1" spans="1:65">
      <c r="A227" s="1" t="s">
        <v>219</v>
      </c>
      <c r="B227" s="33">
        <v>10059791</v>
      </c>
      <c r="C227" s="34" t="s">
        <v>59</v>
      </c>
      <c r="D227" s="3" t="s">
        <v>231</v>
      </c>
      <c r="E227" s="3">
        <v>2180</v>
      </c>
      <c r="G227" s="3">
        <v>27570</v>
      </c>
      <c r="J227" s="3">
        <f>69+79+129</f>
        <v>277</v>
      </c>
      <c r="K227" s="4">
        <f>37000-31190</f>
        <v>5810</v>
      </c>
      <c r="L227" s="5">
        <f>E227+F227+H227+I227+J227+G227+K227</f>
        <v>35837</v>
      </c>
      <c r="U227" s="7">
        <f>N227+O227+P227+Q227+S227+R227+T227</f>
        <v>0</v>
      </c>
      <c r="AD227" s="9">
        <f>W227+X227+Y227+Z227+AA227+AB227+AC227</f>
        <v>0</v>
      </c>
      <c r="AF227" s="34"/>
      <c r="AG227" s="34"/>
      <c r="AH227" s="34"/>
      <c r="AN227" s="9">
        <f>AG227+AH227+AI227+AJ227+AK227+AL227+AM227</f>
        <v>0</v>
      </c>
      <c r="AT227" s="11">
        <f>100+1014+49</f>
        <v>1163</v>
      </c>
      <c r="AV227" s="64">
        <f>L227+U227+AD227</f>
        <v>35837</v>
      </c>
      <c r="AW227" s="73">
        <f>AT227+AV227+AU227</f>
        <v>37000</v>
      </c>
      <c r="AY227" s="74">
        <f>AZ227+BA227+BB227+BC227+BD227+BE227</f>
        <v>37000</v>
      </c>
      <c r="BA227" s="15">
        <v>37000</v>
      </c>
      <c r="BL227" s="18">
        <v>5</v>
      </c>
      <c r="BM227" s="90" t="s">
        <v>61</v>
      </c>
    </row>
    <row r="228" customHeight="1" spans="1:64">
      <c r="A228" s="1" t="s">
        <v>219</v>
      </c>
      <c r="B228" s="33">
        <v>10059792</v>
      </c>
      <c r="C228" s="34" t="s">
        <v>65</v>
      </c>
      <c r="D228" s="3" t="s">
        <v>232</v>
      </c>
      <c r="E228" s="3">
        <v>2180</v>
      </c>
      <c r="I228" s="3">
        <v>15741</v>
      </c>
      <c r="J228" s="3">
        <f>49+129+168+168</f>
        <v>514</v>
      </c>
      <c r="K228" s="4">
        <f>24400-21594</f>
        <v>2806</v>
      </c>
      <c r="L228" s="5">
        <f>E228+F228+H228+I228+J228+G228+K228</f>
        <v>21241</v>
      </c>
      <c r="U228" s="7">
        <f>N228+O228+P228+Q228+S228+R228+T228</f>
        <v>0</v>
      </c>
      <c r="AD228" s="9">
        <f>W228+X228+Y228+Z228+AA228+AB228+AC228</f>
        <v>0</v>
      </c>
      <c r="AF228" s="34"/>
      <c r="AG228" s="34"/>
      <c r="AH228" s="34"/>
      <c r="AN228" s="9">
        <f>AG228+AH228+AI228+AJ228+AK228+AL228+AM228</f>
        <v>0</v>
      </c>
      <c r="AT228" s="11">
        <f>100+1859+1200</f>
        <v>3159</v>
      </c>
      <c r="AV228" s="64">
        <f>L228+U228+AD228</f>
        <v>21241</v>
      </c>
      <c r="AW228" s="73">
        <f>AT228+AV228+AU228</f>
        <v>24400</v>
      </c>
      <c r="AY228" s="74">
        <f>AZ228+BA228+BB228+BC228+BD228+BE228</f>
        <v>24470</v>
      </c>
      <c r="BA228" s="15">
        <v>24400</v>
      </c>
      <c r="BE228" s="17">
        <v>70</v>
      </c>
      <c r="BL228" s="18">
        <v>7</v>
      </c>
    </row>
    <row r="229" customHeight="1" spans="1:64">
      <c r="A229" s="1" t="s">
        <v>233</v>
      </c>
      <c r="B229" s="33">
        <v>10059793</v>
      </c>
      <c r="C229" s="3">
        <v>311</v>
      </c>
      <c r="L229" s="5">
        <f>E229+F229+H229+I229+J229+G229+K229</f>
        <v>0</v>
      </c>
      <c r="M229" s="3" t="s">
        <v>234</v>
      </c>
      <c r="N229" s="3">
        <v>980</v>
      </c>
      <c r="P229" s="3">
        <v>4890</v>
      </c>
      <c r="R229" s="3">
        <v>3816</v>
      </c>
      <c r="T229" s="6">
        <v>1228</v>
      </c>
      <c r="U229" s="7">
        <f>N229+O229+P229+Q229+S229+R229+T229</f>
        <v>10914</v>
      </c>
      <c r="AD229" s="9">
        <f>W229+X229+Y229+Z229+AA229+AB229+AC229</f>
        <v>0</v>
      </c>
      <c r="AF229" s="34"/>
      <c r="AG229" s="34"/>
      <c r="AH229" s="34"/>
      <c r="AN229" s="9">
        <f>AG229+AH229+AI229+AJ229+AK229+AL229+AM229</f>
        <v>0</v>
      </c>
      <c r="AT229" s="11">
        <f>100+636</f>
        <v>736</v>
      </c>
      <c r="AV229" s="64">
        <f>L229+U229+AD229</f>
        <v>10914</v>
      </c>
      <c r="AW229" s="73">
        <f>AT229+AV229+AU229</f>
        <v>11650</v>
      </c>
      <c r="AY229" s="74">
        <f>AZ229+BA229+BB229+BC229+BD229+BE229</f>
        <v>11650</v>
      </c>
      <c r="BA229" s="15">
        <v>11650</v>
      </c>
      <c r="BL229" s="18">
        <v>3</v>
      </c>
    </row>
    <row r="230" customHeight="1" spans="1:65">
      <c r="A230" s="1" t="s">
        <v>233</v>
      </c>
      <c r="B230" s="33">
        <v>10059794</v>
      </c>
      <c r="C230" s="3" t="s">
        <v>120</v>
      </c>
      <c r="D230" s="3" t="s">
        <v>81</v>
      </c>
      <c r="E230" s="3">
        <v>1880</v>
      </c>
      <c r="I230" s="3">
        <f>2856+1428</f>
        <v>4284</v>
      </c>
      <c r="K230" s="4">
        <f>8300-6900</f>
        <v>1400</v>
      </c>
      <c r="L230" s="5">
        <f>E230+F230+H230+I230+J230+G230+K230</f>
        <v>7564</v>
      </c>
      <c r="U230" s="7">
        <f>N230+O230+P230+Q230+S230+R230+T230</f>
        <v>0</v>
      </c>
      <c r="AD230" s="9">
        <f>W230+X230+Y230+Z230+AA230+AB230+AC230</f>
        <v>0</v>
      </c>
      <c r="AF230" s="34"/>
      <c r="AG230" s="34"/>
      <c r="AH230" s="34"/>
      <c r="AN230" s="9">
        <f>AG230+AH230+AI230+AJ230+AK230+AL230+AM230</f>
        <v>0</v>
      </c>
      <c r="AT230" s="11">
        <f>100+636</f>
        <v>736</v>
      </c>
      <c r="AV230" s="64">
        <f>L230+U230+AD230</f>
        <v>7564</v>
      </c>
      <c r="AW230" s="73">
        <f>AT230+AV230+AU230</f>
        <v>8300</v>
      </c>
      <c r="AY230" s="74">
        <f>AZ230+BA230+BB230+BC230+BD230+BE230</f>
        <v>8300</v>
      </c>
      <c r="BA230" s="15">
        <v>8300</v>
      </c>
      <c r="BL230" s="18">
        <v>5</v>
      </c>
      <c r="BM230" s="90" t="s">
        <v>140</v>
      </c>
    </row>
    <row r="231" customHeight="1" spans="1:65">
      <c r="A231" s="1" t="s">
        <v>233</v>
      </c>
      <c r="B231" s="33">
        <v>10059795</v>
      </c>
      <c r="C231" s="34" t="s">
        <v>159</v>
      </c>
      <c r="D231" s="3" t="s">
        <v>202</v>
      </c>
      <c r="E231" s="3">
        <v>1880</v>
      </c>
      <c r="I231" s="3">
        <v>9540</v>
      </c>
      <c r="K231" s="4">
        <f>14900-12205</f>
        <v>2695</v>
      </c>
      <c r="L231" s="5">
        <f>E231+F231+H231+I231+J231+G231+K231</f>
        <v>14115</v>
      </c>
      <c r="U231" s="7">
        <f>N231+O231+P231+Q231+S231+R231+T231</f>
        <v>0</v>
      </c>
      <c r="AD231" s="9">
        <f>W231+X231+Y231+Z231+AA231+AB231+AC231</f>
        <v>0</v>
      </c>
      <c r="AF231" s="34"/>
      <c r="AG231" s="34"/>
      <c r="AH231" s="34"/>
      <c r="AN231" s="9">
        <f>AG231+AH231+AI231+AJ231+AK231+AL231+AM231</f>
        <v>0</v>
      </c>
      <c r="AT231" s="11">
        <f>100+636+49</f>
        <v>785</v>
      </c>
      <c r="AV231" s="64">
        <f>L231+U231+AD231</f>
        <v>14115</v>
      </c>
      <c r="AW231" s="73">
        <f>AT231+AV231+AU231</f>
        <v>14900</v>
      </c>
      <c r="AY231" s="74">
        <f>AZ231+BA231+BB231+BC231+BD231+BE231</f>
        <v>14900</v>
      </c>
      <c r="AZ231" s="14">
        <v>14900</v>
      </c>
      <c r="BL231" s="18">
        <v>4</v>
      </c>
      <c r="BM231" s="90" t="s">
        <v>72</v>
      </c>
    </row>
    <row r="232" customHeight="1" spans="1:64">
      <c r="A232" s="1" t="s">
        <v>233</v>
      </c>
      <c r="B232" s="33">
        <v>10059796</v>
      </c>
      <c r="C232" s="3">
        <v>309</v>
      </c>
      <c r="D232" s="3" t="s">
        <v>232</v>
      </c>
      <c r="E232" s="3">
        <v>980</v>
      </c>
      <c r="I232" s="3">
        <v>3816</v>
      </c>
      <c r="K232" s="4">
        <f>6600-5661</f>
        <v>939</v>
      </c>
      <c r="L232" s="5">
        <f>E232+F232+H232+I232+J232+G232+K232</f>
        <v>5735</v>
      </c>
      <c r="U232" s="7">
        <f>N232+O232+P232+Q232+S232+R232+T232</f>
        <v>0</v>
      </c>
      <c r="AD232" s="9">
        <f>W232+X232+Y232+Z232+AA232+AB232+AC232</f>
        <v>0</v>
      </c>
      <c r="AF232" s="34"/>
      <c r="AG232" s="34"/>
      <c r="AH232" s="34"/>
      <c r="AN232" s="9">
        <f>AG232+AH232+AI232+AJ232+AK232+AL232+AM232</f>
        <v>0</v>
      </c>
      <c r="AT232" s="11">
        <f>100+636+49+80</f>
        <v>865</v>
      </c>
      <c r="AV232" s="64">
        <f>L232+U232+AD232</f>
        <v>5735</v>
      </c>
      <c r="AW232" s="73">
        <f>AT232+AV232+AU232</f>
        <v>6600</v>
      </c>
      <c r="AY232" s="74">
        <f>AZ232+BA232+BB232+BC232+BD232+BE232</f>
        <v>6600</v>
      </c>
      <c r="BA232" s="15">
        <v>6600</v>
      </c>
      <c r="BL232" s="18">
        <v>2</v>
      </c>
    </row>
    <row r="233" customHeight="1" spans="1:65">
      <c r="A233" s="1" t="s">
        <v>233</v>
      </c>
      <c r="B233" s="33">
        <v>10059797</v>
      </c>
      <c r="C233" s="34" t="s">
        <v>107</v>
      </c>
      <c r="D233" s="3" t="s">
        <v>75</v>
      </c>
      <c r="E233" s="3">
        <v>1299</v>
      </c>
      <c r="G233" s="3">
        <v>8890</v>
      </c>
      <c r="J233" s="3">
        <f>168+129</f>
        <v>297</v>
      </c>
      <c r="K233" s="4">
        <f>13200-11320</f>
        <v>1880</v>
      </c>
      <c r="L233" s="5">
        <f>E233+F233+H233+I233+J233+G233+K233</f>
        <v>12366</v>
      </c>
      <c r="U233" s="7">
        <f>N233+O233+P233+Q233+S233+R233+T233</f>
        <v>0</v>
      </c>
      <c r="AD233" s="9">
        <f>W233+X233+Y233+Z233+AA233+AB233+AC233</f>
        <v>0</v>
      </c>
      <c r="AF233" s="34"/>
      <c r="AG233" s="34"/>
      <c r="AH233" s="34"/>
      <c r="AN233" s="9">
        <f>AG233+AH233+AI233+AJ233+AK233+AL233+AM233</f>
        <v>0</v>
      </c>
      <c r="AT233" s="11">
        <f>100+636+98</f>
        <v>834</v>
      </c>
      <c r="AV233" s="64">
        <f>L233+U233+AD233</f>
        <v>12366</v>
      </c>
      <c r="AW233" s="73">
        <f>AT233+AV233+AU233</f>
        <v>13200</v>
      </c>
      <c r="AY233" s="74">
        <f>AZ233+BA233+BB233+BC233+BD233+BE233</f>
        <v>13200</v>
      </c>
      <c r="BA233" s="15">
        <v>13200</v>
      </c>
      <c r="BL233" s="18">
        <v>4</v>
      </c>
      <c r="BM233" s="90" t="s">
        <v>72</v>
      </c>
    </row>
    <row r="234" customHeight="1" spans="1:64">
      <c r="A234" s="1" t="s">
        <v>233</v>
      </c>
      <c r="B234" s="33">
        <v>10059798</v>
      </c>
      <c r="C234" s="3">
        <v>307</v>
      </c>
      <c r="D234" s="3" t="s">
        <v>141</v>
      </c>
      <c r="E234" s="3">
        <v>980</v>
      </c>
      <c r="I234" s="3">
        <v>2856</v>
      </c>
      <c r="K234" s="4">
        <f>4950-4144</f>
        <v>806</v>
      </c>
      <c r="L234" s="5">
        <f>E234+F234+H234+I234+J234+G234+K234</f>
        <v>4642</v>
      </c>
      <c r="U234" s="7">
        <f>N234+O234+P234+Q234+S234+R234+T234</f>
        <v>0</v>
      </c>
      <c r="AD234" s="9">
        <f>W234+X234+Y234+Z234+AA234+AB234+AC234</f>
        <v>0</v>
      </c>
      <c r="AF234" s="34"/>
      <c r="AG234" s="34"/>
      <c r="AH234" s="34"/>
      <c r="AN234" s="9">
        <f>AG234+AH234+AI234+AJ234+AK234+AL234+AM234</f>
        <v>0</v>
      </c>
      <c r="AT234" s="11">
        <f>100+49+159</f>
        <v>308</v>
      </c>
      <c r="AV234" s="64">
        <f>L234+U234+AD234</f>
        <v>4642</v>
      </c>
      <c r="AW234" s="73">
        <f>AT234+AV234+AU234</f>
        <v>4950</v>
      </c>
      <c r="AY234" s="74">
        <f>AZ234+BA234+BB234+BC234+BD234+BE234</f>
        <v>4950</v>
      </c>
      <c r="BA234" s="15">
        <v>4950</v>
      </c>
      <c r="BL234" s="18">
        <v>3</v>
      </c>
    </row>
    <row r="235" customHeight="1" spans="1:64">
      <c r="A235" s="1" t="s">
        <v>233</v>
      </c>
      <c r="B235" s="33">
        <v>10059799</v>
      </c>
      <c r="C235" s="3" t="s">
        <v>70</v>
      </c>
      <c r="D235" s="3" t="s">
        <v>119</v>
      </c>
      <c r="E235" s="3">
        <v>1880</v>
      </c>
      <c r="G235" s="3">
        <f>4690+12390</f>
        <v>17080</v>
      </c>
      <c r="J235" s="3">
        <f>138</f>
        <v>138</v>
      </c>
      <c r="K235" s="4">
        <f>22400-19594</f>
        <v>2806</v>
      </c>
      <c r="L235" s="5">
        <f>E235+F235+H235+I235+J235+G235+K235</f>
        <v>21904</v>
      </c>
      <c r="U235" s="7">
        <f>N235+O235+P235+Q235+S235+R235+T235</f>
        <v>0</v>
      </c>
      <c r="AD235" s="9">
        <f>W235+X235+Y235+Z235+AA235+AB235+AC235</f>
        <v>0</v>
      </c>
      <c r="AF235" s="34"/>
      <c r="AG235" s="34"/>
      <c r="AH235" s="34"/>
      <c r="AN235" s="9">
        <f>AG235+AH235+AI235+AJ235+AK235+AL235+AM235</f>
        <v>0</v>
      </c>
      <c r="AT235" s="11">
        <f>100+318+29+49</f>
        <v>496</v>
      </c>
      <c r="AV235" s="64">
        <f>L235+U235+AD235</f>
        <v>21904</v>
      </c>
      <c r="AW235" s="73">
        <f>AT235+AV235+AU235</f>
        <v>22400</v>
      </c>
      <c r="AY235" s="74">
        <f>AZ235+BA235+BB235+BC235+BD235+BE235</f>
        <v>22400</v>
      </c>
      <c r="BA235" s="15">
        <v>22400</v>
      </c>
      <c r="BL235" s="18">
        <v>4</v>
      </c>
    </row>
    <row r="236" customHeight="1" spans="1:65">
      <c r="A236" s="1" t="s">
        <v>233</v>
      </c>
      <c r="B236" s="33">
        <v>10059800</v>
      </c>
      <c r="C236" s="34" t="s">
        <v>94</v>
      </c>
      <c r="D236" s="3" t="s">
        <v>235</v>
      </c>
      <c r="E236" s="3">
        <v>1680</v>
      </c>
      <c r="G236" s="3">
        <v>7690</v>
      </c>
      <c r="K236" s="4">
        <f>11500-9857</f>
        <v>1643</v>
      </c>
      <c r="L236" s="5">
        <f>E236+F236+H236+I236+J236+G236+K236</f>
        <v>11013</v>
      </c>
      <c r="U236" s="7">
        <f>N236+O236+P236+Q236+S236+R236+T236</f>
        <v>0</v>
      </c>
      <c r="AD236" s="9">
        <f>W236+X236+Y236+Z236+AA236+AB236+AC236</f>
        <v>0</v>
      </c>
      <c r="AF236" s="34"/>
      <c r="AG236" s="34"/>
      <c r="AH236" s="34"/>
      <c r="AN236" s="9">
        <f>AG236+AH236+AI236+AJ236+AK236+AL236+AM236</f>
        <v>0</v>
      </c>
      <c r="AT236" s="11">
        <f>100+49+338</f>
        <v>487</v>
      </c>
      <c r="AV236" s="64">
        <f>L236+U236+AD236</f>
        <v>11013</v>
      </c>
      <c r="AW236" s="73">
        <f>AT236+AV236+AU236</f>
        <v>11500</v>
      </c>
      <c r="AY236" s="74">
        <f>AZ236+BA236+BB236+BC236+BD236+BE236</f>
        <v>11500</v>
      </c>
      <c r="BA236" s="15">
        <v>11500</v>
      </c>
      <c r="BL236" s="18">
        <v>2</v>
      </c>
      <c r="BM236" s="90" t="s">
        <v>72</v>
      </c>
    </row>
    <row r="237" customHeight="1" spans="1:64">
      <c r="A237" s="1" t="s">
        <v>233</v>
      </c>
      <c r="B237" s="33">
        <v>10059801</v>
      </c>
      <c r="C237" s="3">
        <v>308</v>
      </c>
      <c r="D237" s="34" t="s">
        <v>236</v>
      </c>
      <c r="E237" s="3">
        <v>980</v>
      </c>
      <c r="I237" s="3">
        <v>2385</v>
      </c>
      <c r="K237" s="4">
        <f>4450-3942</f>
        <v>508</v>
      </c>
      <c r="L237" s="5">
        <f>E237+F237+H237+I237+J237+G237+K237</f>
        <v>3873</v>
      </c>
      <c r="U237" s="7">
        <f>N237+O237+P237+Q237+S237+R237+T237</f>
        <v>0</v>
      </c>
      <c r="AD237" s="9">
        <f>W237+X237+Y237+Z237+AA237+AB237+AC237</f>
        <v>0</v>
      </c>
      <c r="AF237" s="34"/>
      <c r="AG237" s="34"/>
      <c r="AH237" s="34"/>
      <c r="AN237" s="9">
        <f>AG237+AH237+AI237+AJ237+AK237+AL237+AM237</f>
        <v>0</v>
      </c>
      <c r="AT237" s="11">
        <f>100+477</f>
        <v>577</v>
      </c>
      <c r="AV237" s="64">
        <f>L237+U237+AD237</f>
        <v>3873</v>
      </c>
      <c r="AW237" s="73">
        <f>AT237+AV237+AU237</f>
        <v>4450</v>
      </c>
      <c r="AY237" s="74">
        <f>AZ237+BA237+BB237+BC237+BD237+BE237</f>
        <v>4450</v>
      </c>
      <c r="BA237" s="15">
        <v>4450</v>
      </c>
      <c r="BL237" s="18">
        <v>2</v>
      </c>
    </row>
    <row r="238" customHeight="1" spans="1:65">
      <c r="A238" s="1" t="s">
        <v>233</v>
      </c>
      <c r="B238" s="33">
        <v>10059802</v>
      </c>
      <c r="C238" s="34" t="s">
        <v>56</v>
      </c>
      <c r="D238" s="3" t="s">
        <v>237</v>
      </c>
      <c r="E238" s="3">
        <v>3180</v>
      </c>
      <c r="G238" s="3">
        <v>9190</v>
      </c>
      <c r="I238" s="3">
        <v>9540</v>
      </c>
      <c r="K238" s="4">
        <f>27700-23811</f>
        <v>3889</v>
      </c>
      <c r="L238" s="5">
        <f>E238+F238+H238+I238+J238+G238+K238</f>
        <v>25799</v>
      </c>
      <c r="U238" s="7">
        <f>N238+O238+P238+Q238+S238+R238+T238</f>
        <v>0</v>
      </c>
      <c r="AD238" s="9">
        <f>W238+X238+Y238+Z238+AA238+AB238+AC238</f>
        <v>0</v>
      </c>
      <c r="AF238" s="34"/>
      <c r="AG238" s="34"/>
      <c r="AH238" s="34"/>
      <c r="AN238" s="9">
        <f>AG238+AH238+AI238+AJ238+AK238+AL238+AM238</f>
        <v>0</v>
      </c>
      <c r="AT238" s="11">
        <f>100+200+220+29+1352</f>
        <v>1901</v>
      </c>
      <c r="AV238" s="64">
        <f>L238+U238+AD238</f>
        <v>25799</v>
      </c>
      <c r="AW238" s="73">
        <f>AT238+AV238+AU238</f>
        <v>27700</v>
      </c>
      <c r="AY238" s="74">
        <f>AZ238+BA238+BB238+BC238+BD238+BE238</f>
        <v>29000</v>
      </c>
      <c r="BA238" s="15">
        <v>27700</v>
      </c>
      <c r="BC238" s="17">
        <v>1260</v>
      </c>
      <c r="BD238" s="17">
        <v>40</v>
      </c>
      <c r="BL238" s="18">
        <v>14</v>
      </c>
      <c r="BM238" s="90" t="s">
        <v>134</v>
      </c>
    </row>
    <row r="239" customHeight="1" spans="1:65">
      <c r="A239" s="1" t="s">
        <v>233</v>
      </c>
      <c r="B239" s="33">
        <v>10059803</v>
      </c>
      <c r="C239" s="34" t="s">
        <v>65</v>
      </c>
      <c r="D239" s="3" t="s">
        <v>229</v>
      </c>
      <c r="E239" s="3">
        <v>2180</v>
      </c>
      <c r="I239" s="3">
        <v>7632</v>
      </c>
      <c r="J239" s="3">
        <f>129+129</f>
        <v>258</v>
      </c>
      <c r="K239" s="4">
        <f>13560-11382</f>
        <v>2178</v>
      </c>
      <c r="L239" s="5">
        <f>E239+F239+H239+I239+J239+G239+K239</f>
        <v>12248</v>
      </c>
      <c r="U239" s="7">
        <f>N239+O239+P239+Q239+S239+R239+T239</f>
        <v>0</v>
      </c>
      <c r="AD239" s="9">
        <f>W239+X239+Y239+Z239+AA239+AB239+AC239</f>
        <v>0</v>
      </c>
      <c r="AF239" s="34"/>
      <c r="AG239" s="34"/>
      <c r="AH239" s="34"/>
      <c r="AN239" s="9">
        <f>AG239+AH239+AI239+AJ239+AK239+AL239+AM239</f>
        <v>0</v>
      </c>
      <c r="AT239" s="11">
        <f>100+169+1014+29</f>
        <v>1312</v>
      </c>
      <c r="AV239" s="64">
        <f>L239+U239+AD239</f>
        <v>12248</v>
      </c>
      <c r="AW239" s="73">
        <f>AT239+AV239+AU239</f>
        <v>13560</v>
      </c>
      <c r="AY239" s="74">
        <f>AZ239+BA239+BB239+BC239+BD239+BE239</f>
        <v>13660</v>
      </c>
      <c r="AZ239" s="14">
        <v>13560</v>
      </c>
      <c r="BC239" s="17">
        <v>100</v>
      </c>
      <c r="BL239" s="18">
        <v>6</v>
      </c>
      <c r="BM239" s="90" t="s">
        <v>167</v>
      </c>
    </row>
    <row r="240" customHeight="1" spans="1:59">
      <c r="A240" s="1" t="s">
        <v>233</v>
      </c>
      <c r="B240" s="33">
        <v>10059804</v>
      </c>
      <c r="C240" s="3" t="s">
        <v>238</v>
      </c>
      <c r="D240" s="3" t="s">
        <v>235</v>
      </c>
      <c r="I240" s="3">
        <v>950</v>
      </c>
      <c r="L240" s="5">
        <f>E240+F240+H240+I240+J240+G240+K240</f>
        <v>950</v>
      </c>
      <c r="U240" s="7">
        <f>N240+O240+P240+Q240+S240+R240+T240</f>
        <v>0</v>
      </c>
      <c r="AD240" s="9">
        <f>W240+X240+Y240+Z240+AA240+AB240+AC240</f>
        <v>0</v>
      </c>
      <c r="AF240" s="34"/>
      <c r="AG240" s="34"/>
      <c r="AH240" s="34"/>
      <c r="AN240" s="9">
        <f>AG240+AH240+AI240+AJ240+AK240+AL240+AM240</f>
        <v>0</v>
      </c>
      <c r="AV240" s="64">
        <f>L240+U240+AD240</f>
        <v>950</v>
      </c>
      <c r="AW240" s="73">
        <f>AT240+AV240+AU240</f>
        <v>950</v>
      </c>
      <c r="AX240" s="75" t="s">
        <v>100</v>
      </c>
      <c r="AY240" s="74">
        <f>AZ240+BA240+BB240+BC240+BD240+BE240</f>
        <v>0</v>
      </c>
      <c r="BG240" s="10">
        <v>950</v>
      </c>
    </row>
    <row r="241" customHeight="1" spans="1:65">
      <c r="A241" s="1" t="s">
        <v>233</v>
      </c>
      <c r="B241" s="33">
        <v>10059805</v>
      </c>
      <c r="C241" s="34" t="s">
        <v>62</v>
      </c>
      <c r="D241" s="3" t="s">
        <v>82</v>
      </c>
      <c r="E241" s="3">
        <v>2180</v>
      </c>
      <c r="G241" s="3">
        <v>8890</v>
      </c>
      <c r="K241" s="4">
        <f>13200-11736</f>
        <v>1464</v>
      </c>
      <c r="L241" s="5">
        <f>E241+F241+H241+I241+J241+G241+K241</f>
        <v>12534</v>
      </c>
      <c r="U241" s="7">
        <f>N241+O241+P241+Q241+S241+R241+T241</f>
        <v>0</v>
      </c>
      <c r="AD241" s="9">
        <f>W241+X241+Y241+Z241+AA241+AB241+AC241</f>
        <v>0</v>
      </c>
      <c r="AF241" s="34"/>
      <c r="AG241" s="34"/>
      <c r="AH241" s="34"/>
      <c r="AN241" s="9">
        <f>AG241+AH241+AI241+AJ241+AK241+AL241+AM241</f>
        <v>0</v>
      </c>
      <c r="AT241" s="11">
        <f>100+507+49+10</f>
        <v>666</v>
      </c>
      <c r="AV241" s="64">
        <f>L241+U241+AD241</f>
        <v>12534</v>
      </c>
      <c r="AW241" s="73">
        <f>AT241+AV241+AU241</f>
        <v>13200</v>
      </c>
      <c r="AY241" s="74">
        <f>AZ241+BA241+BB241+BC241+BD241+BE241</f>
        <v>13200</v>
      </c>
      <c r="BA241" s="15">
        <v>13200</v>
      </c>
      <c r="BL241" s="18">
        <v>3</v>
      </c>
      <c r="BM241" s="90" t="s">
        <v>134</v>
      </c>
    </row>
    <row r="242" customHeight="1" spans="1:65">
      <c r="A242" s="1" t="s">
        <v>233</v>
      </c>
      <c r="B242" s="33">
        <v>10059806</v>
      </c>
      <c r="C242" s="3">
        <v>316</v>
      </c>
      <c r="D242" s="3" t="s">
        <v>129</v>
      </c>
      <c r="E242" s="3">
        <v>980</v>
      </c>
      <c r="I242" s="3">
        <v>2856</v>
      </c>
      <c r="K242" s="4">
        <f>4580-3936</f>
        <v>644</v>
      </c>
      <c r="L242" s="5">
        <f>E242+F242+H242+I242+J242+G242+K242</f>
        <v>4480</v>
      </c>
      <c r="U242" s="7">
        <f>N242+O242+P242+Q242+S242+R242+T242</f>
        <v>0</v>
      </c>
      <c r="AD242" s="9">
        <f>W242+X242+Y242+Z242+AA242+AB242+AC242</f>
        <v>0</v>
      </c>
      <c r="AF242" s="34"/>
      <c r="AG242" s="34"/>
      <c r="AH242" s="34"/>
      <c r="AN242" s="9">
        <f>AG242+AH242+AI242+AJ242+AK242+AL242+AM242</f>
        <v>0</v>
      </c>
      <c r="AT242" s="11">
        <v>100</v>
      </c>
      <c r="AV242" s="64">
        <f>L242+U242+AD242</f>
        <v>4480</v>
      </c>
      <c r="AW242" s="73">
        <f>AT242+AV242+AU242</f>
        <v>4580</v>
      </c>
      <c r="AY242" s="74">
        <f>AZ242+BA242+BB242+BC242+BD242+BE242</f>
        <v>4580</v>
      </c>
      <c r="BA242" s="15">
        <v>4580</v>
      </c>
      <c r="BL242" s="18">
        <v>1</v>
      </c>
      <c r="BM242" s="90" t="s">
        <v>174</v>
      </c>
    </row>
    <row r="243" customHeight="1" spans="1:65">
      <c r="A243" s="1" t="s">
        <v>233</v>
      </c>
      <c r="B243" s="33">
        <v>10059807</v>
      </c>
      <c r="C243" s="3" t="s">
        <v>97</v>
      </c>
      <c r="D243" s="3" t="s">
        <v>204</v>
      </c>
      <c r="E243" s="3">
        <v>2180</v>
      </c>
      <c r="I243" s="3">
        <v>7155</v>
      </c>
      <c r="K243" s="4">
        <f>11800-10338</f>
        <v>1462</v>
      </c>
      <c r="L243" s="5">
        <f>E243+F243+H243+I243+J243+G243+K243</f>
        <v>10797</v>
      </c>
      <c r="U243" s="7">
        <f>N243+O243+P243+Q243+S243+R243+T243</f>
        <v>0</v>
      </c>
      <c r="AD243" s="9">
        <f>W243+X243+Y243+Z243+AA243+AB243+AC243</f>
        <v>0</v>
      </c>
      <c r="AF243" s="34"/>
      <c r="AG243" s="34"/>
      <c r="AH243" s="34"/>
      <c r="AN243" s="9">
        <f>AG243+AH243+AI243+AJ243+AK243+AL243+AM243</f>
        <v>0</v>
      </c>
      <c r="AT243" s="11">
        <f>100+845+58</f>
        <v>1003</v>
      </c>
      <c r="AV243" s="64">
        <f>L243+U243+AD243</f>
        <v>10797</v>
      </c>
      <c r="AW243" s="73">
        <f>AT243+AV243+AU243</f>
        <v>11800</v>
      </c>
      <c r="AY243" s="74">
        <f>AZ243+BA243+BB243+BC243+BD243+BE243</f>
        <v>11800</v>
      </c>
      <c r="BA243" s="15">
        <v>11800</v>
      </c>
      <c r="BL243" s="18">
        <v>4</v>
      </c>
      <c r="BM243" s="90" t="s">
        <v>239</v>
      </c>
    </row>
    <row r="244" customHeight="1" spans="1:65">
      <c r="A244" s="1" t="s">
        <v>233</v>
      </c>
      <c r="B244" s="33">
        <v>10059808</v>
      </c>
      <c r="C244" s="34" t="s">
        <v>89</v>
      </c>
      <c r="L244" s="5">
        <f>E244+F244+H244+I244+J244+G244+K244</f>
        <v>0</v>
      </c>
      <c r="M244" s="3" t="s">
        <v>240</v>
      </c>
      <c r="N244" s="3">
        <v>2180</v>
      </c>
      <c r="P244" s="3">
        <v>16360</v>
      </c>
      <c r="R244" s="3">
        <v>5724</v>
      </c>
      <c r="S244" s="3">
        <v>664</v>
      </c>
      <c r="T244" s="6">
        <v>5561</v>
      </c>
      <c r="U244" s="7">
        <f>N244+O244+P244+Q244+S244+R244+T244</f>
        <v>30489</v>
      </c>
      <c r="AD244" s="9">
        <f>W244+X244+Y244+Z244+AA244+AB244+AC244</f>
        <v>0</v>
      </c>
      <c r="AF244" s="34"/>
      <c r="AG244" s="34"/>
      <c r="AH244" s="34"/>
      <c r="AN244" s="9">
        <f>AG244+AH244+AI244+AJ244+AK244+AL244+AM244</f>
        <v>0</v>
      </c>
      <c r="AT244" s="11">
        <f>100+1014+49+110+58</f>
        <v>1331</v>
      </c>
      <c r="AV244" s="64">
        <f>L244+U244+AD244</f>
        <v>30489</v>
      </c>
      <c r="AW244" s="73">
        <f>AT244+AV244+AU244</f>
        <v>31820</v>
      </c>
      <c r="AY244" s="74">
        <f>AZ244+BA244+BB244+BC244+BD244+BE244</f>
        <v>32700</v>
      </c>
      <c r="BA244" s="15">
        <v>31820</v>
      </c>
      <c r="BC244" s="17">
        <v>850</v>
      </c>
      <c r="BD244" s="17">
        <v>30</v>
      </c>
      <c r="BL244" s="18">
        <v>6</v>
      </c>
      <c r="BM244" s="90" t="s">
        <v>167</v>
      </c>
    </row>
    <row r="245" customHeight="1" spans="1:64">
      <c r="A245" s="1" t="s">
        <v>233</v>
      </c>
      <c r="B245" s="33">
        <v>10059809</v>
      </c>
      <c r="C245" s="34" t="s">
        <v>67</v>
      </c>
      <c r="D245" s="3" t="s">
        <v>51</v>
      </c>
      <c r="E245" s="3">
        <v>2180</v>
      </c>
      <c r="I245" s="3">
        <v>7632</v>
      </c>
      <c r="J245" s="3">
        <f>69+258</f>
        <v>327</v>
      </c>
      <c r="K245" s="4">
        <f>12800-10993</f>
        <v>1807</v>
      </c>
      <c r="L245" s="5">
        <f>E245+F245+H245+I245+J245+G245+K245</f>
        <v>11946</v>
      </c>
      <c r="U245" s="7">
        <f>N245+O245+P245+Q245+S245+R245+T245</f>
        <v>0</v>
      </c>
      <c r="AD245" s="9">
        <f>W245+X245+Y245+Z245+AA245+AB245+AC245</f>
        <v>0</v>
      </c>
      <c r="AF245" s="34"/>
      <c r="AG245" s="34"/>
      <c r="AH245" s="34"/>
      <c r="AN245" s="9">
        <f>AG245+AH245+AI245+AJ245+AK245+AL245+AM245</f>
        <v>0</v>
      </c>
      <c r="AT245" s="11">
        <f>100+676+49+29</f>
        <v>854</v>
      </c>
      <c r="AV245" s="64">
        <f>L245+U245+AD245</f>
        <v>11946</v>
      </c>
      <c r="AW245" s="73">
        <f>AT245+AV245+AU245</f>
        <v>12800</v>
      </c>
      <c r="AY245" s="74">
        <f>AZ245+BA245+BB245+BC245+BD245+BE245</f>
        <v>14700</v>
      </c>
      <c r="BA245" s="15">
        <v>12800</v>
      </c>
      <c r="BC245" s="17">
        <v>1850</v>
      </c>
      <c r="BD245" s="17">
        <v>50</v>
      </c>
      <c r="BL245" s="18">
        <v>3</v>
      </c>
    </row>
    <row r="246" customHeight="1" spans="1:65">
      <c r="A246" s="1" t="s">
        <v>233</v>
      </c>
      <c r="B246" s="33">
        <v>10059810</v>
      </c>
      <c r="C246" s="34" t="s">
        <v>78</v>
      </c>
      <c r="D246" s="3" t="s">
        <v>237</v>
      </c>
      <c r="E246" s="3">
        <v>2580</v>
      </c>
      <c r="G246" s="3">
        <f>9190+4690</f>
        <v>13880</v>
      </c>
      <c r="I246" s="3">
        <v>4284</v>
      </c>
      <c r="K246" s="4">
        <f>26900-22754</f>
        <v>4146</v>
      </c>
      <c r="L246" s="5">
        <f>E246+F246+H246+I246+J246+G246+K246</f>
        <v>24890</v>
      </c>
      <c r="U246" s="7">
        <f>N246+O246+P246+Q246+S246+R246+T246</f>
        <v>0</v>
      </c>
      <c r="AD246" s="9">
        <f>W246+X246+Y246+Z246+AA246+AB246+AC246</f>
        <v>0</v>
      </c>
      <c r="AF246" s="34"/>
      <c r="AG246" s="34"/>
      <c r="AH246" s="34"/>
      <c r="AN246" s="9">
        <f>AG246+AH246+AI246+AJ246+AK246+AL246+AM246</f>
        <v>0</v>
      </c>
      <c r="AT246" s="11">
        <f>100+845+845+120+100</f>
        <v>2010</v>
      </c>
      <c r="AV246" s="64">
        <f>L246+U246+AD246</f>
        <v>24890</v>
      </c>
      <c r="AW246" s="73">
        <f>AT246+AV246+AU246</f>
        <v>26900</v>
      </c>
      <c r="AY246" s="74">
        <f>AZ246+BA246+BB246+BC246+BD246+BE246</f>
        <v>28300</v>
      </c>
      <c r="BA246" s="15">
        <v>26900</v>
      </c>
      <c r="BC246" s="17">
        <v>1360</v>
      </c>
      <c r="BD246" s="17">
        <v>40</v>
      </c>
      <c r="BL246" s="18">
        <v>3</v>
      </c>
      <c r="BM246" s="90" t="s">
        <v>72</v>
      </c>
    </row>
    <row r="247" customHeight="1" spans="1:65">
      <c r="A247" s="1" t="s">
        <v>233</v>
      </c>
      <c r="B247" s="33">
        <v>10059811</v>
      </c>
      <c r="C247" s="34" t="s">
        <v>54</v>
      </c>
      <c r="D247" s="3" t="s">
        <v>231</v>
      </c>
      <c r="E247" s="3">
        <v>2180</v>
      </c>
      <c r="G247" s="3">
        <f>4890+27570</f>
        <v>32460</v>
      </c>
      <c r="K247" s="4">
        <f>43700-36061</f>
        <v>7639</v>
      </c>
      <c r="L247" s="5">
        <f>E247+F247+H247+I247+J247+G247+K247</f>
        <v>42279</v>
      </c>
      <c r="U247" s="7">
        <f>N247+O247+P247+Q247+S247+R247+T247</f>
        <v>0</v>
      </c>
      <c r="AD247" s="9">
        <f>W247+X247+Y247+Z247+AA247+AB247+AC247</f>
        <v>0</v>
      </c>
      <c r="AF247" s="34"/>
      <c r="AG247" s="34"/>
      <c r="AH247" s="34"/>
      <c r="AN247" s="9">
        <f>AG247+AH247+AI247+AJ247+AK247+AL247+AM247</f>
        <v>0</v>
      </c>
      <c r="AT247" s="11">
        <f>100+845+98+10+200+110+58</f>
        <v>1421</v>
      </c>
      <c r="AV247" s="64">
        <f>L247+U247+AD247</f>
        <v>42279</v>
      </c>
      <c r="AW247" s="73">
        <f>AT247+AV247+AU247</f>
        <v>43700</v>
      </c>
      <c r="AY247" s="74">
        <f>AZ247+BA247+BB247+BC247+BD247+BE247</f>
        <v>43700</v>
      </c>
      <c r="BA247" s="15">
        <v>43700</v>
      </c>
      <c r="BL247" s="18">
        <v>4</v>
      </c>
      <c r="BM247" s="90" t="s">
        <v>134</v>
      </c>
    </row>
    <row r="248" customHeight="1" spans="1:64">
      <c r="A248" s="1" t="s">
        <v>233</v>
      </c>
      <c r="B248" s="33">
        <v>10059812</v>
      </c>
      <c r="C248" s="34" t="s">
        <v>62</v>
      </c>
      <c r="D248" s="3" t="s">
        <v>232</v>
      </c>
      <c r="E248" s="3">
        <v>2180</v>
      </c>
      <c r="G248" s="3">
        <v>9190</v>
      </c>
      <c r="J248" s="3">
        <f>49+129+49+69+129</f>
        <v>425</v>
      </c>
      <c r="K248" s="4">
        <f>14000-12074</f>
        <v>1926</v>
      </c>
      <c r="L248" s="5">
        <f>E248+F248+H248+I248+J248+G248+K248</f>
        <v>13721</v>
      </c>
      <c r="U248" s="7">
        <f>N248+O248+P248+Q248+S248+R248+T248</f>
        <v>0</v>
      </c>
      <c r="AD248" s="9">
        <f>W248+X248+Y248+Z248+AA248+AB248+AC248</f>
        <v>0</v>
      </c>
      <c r="AF248" s="34"/>
      <c r="AG248" s="34"/>
      <c r="AH248" s="34"/>
      <c r="AN248" s="9">
        <f>AG248+AH248+AI248+AJ248+AK248+AL248+AM248</f>
        <v>0</v>
      </c>
      <c r="AT248" s="11">
        <f>100+130+49</f>
        <v>279</v>
      </c>
      <c r="AV248" s="64">
        <f>L248+U248+AD248</f>
        <v>13721</v>
      </c>
      <c r="AW248" s="73">
        <f>AT248+AV248+AU248</f>
        <v>14000</v>
      </c>
      <c r="AY248" s="74">
        <f>AZ248+BA248+BB248+BC248+BD248+BE248</f>
        <v>14200</v>
      </c>
      <c r="BA248" s="15">
        <v>14000</v>
      </c>
      <c r="BE248" s="17">
        <v>200</v>
      </c>
      <c r="BL248" s="18">
        <v>4</v>
      </c>
    </row>
    <row r="249" customHeight="1" spans="1:65">
      <c r="A249" s="1" t="s">
        <v>241</v>
      </c>
      <c r="B249" s="33">
        <v>10059813</v>
      </c>
      <c r="C249" s="3">
        <v>320</v>
      </c>
      <c r="D249" s="3" t="s">
        <v>170</v>
      </c>
      <c r="E249" s="3">
        <v>1299</v>
      </c>
      <c r="I249" s="3">
        <v>5712</v>
      </c>
      <c r="K249" s="4">
        <f>9700-8244</f>
        <v>1456</v>
      </c>
      <c r="L249" s="5">
        <f>E249+F249+H249+I249+J249+G249+K249</f>
        <v>8467</v>
      </c>
      <c r="U249" s="7">
        <f>N249+O249+P249+Q249+S249+R249+T249</f>
        <v>0</v>
      </c>
      <c r="AD249" s="9">
        <f>W249+X249+Y249+Z249+AA249+AB249+AC249</f>
        <v>0</v>
      </c>
      <c r="AF249" s="34"/>
      <c r="AG249" s="34"/>
      <c r="AH249" s="34"/>
      <c r="AN249" s="9">
        <f>AG249+AH249+AI249+AJ249+AK249+AL249+AM249</f>
        <v>0</v>
      </c>
      <c r="AT249" s="11">
        <f>100+795+338</f>
        <v>1233</v>
      </c>
      <c r="AV249" s="64">
        <f>L249+U249+AD249</f>
        <v>8467</v>
      </c>
      <c r="AW249" s="73">
        <f>AT249+AV249+AU249</f>
        <v>9700</v>
      </c>
      <c r="AY249" s="74">
        <f>AZ249+BA249+BB249+BC249+BD249+BE249</f>
        <v>9700</v>
      </c>
      <c r="BA249" s="15">
        <v>9700</v>
      </c>
      <c r="BL249" s="18">
        <v>8</v>
      </c>
      <c r="BM249" s="90" t="s">
        <v>130</v>
      </c>
    </row>
    <row r="250" customHeight="1" spans="1:65">
      <c r="A250" s="1" t="s">
        <v>241</v>
      </c>
      <c r="B250" s="33">
        <v>10059814</v>
      </c>
      <c r="C250" s="3">
        <v>308</v>
      </c>
      <c r="D250" s="3" t="s">
        <v>176</v>
      </c>
      <c r="E250" s="3">
        <v>980</v>
      </c>
      <c r="I250" s="3">
        <v>3816</v>
      </c>
      <c r="K250" s="4">
        <f>5800-5214</f>
        <v>586</v>
      </c>
      <c r="L250" s="5">
        <f>E250+F250+H250+I250+J250+G250+K250</f>
        <v>5382</v>
      </c>
      <c r="U250" s="7">
        <f>N250+O250+P250+Q250+S250+R250+T250</f>
        <v>0</v>
      </c>
      <c r="AD250" s="9">
        <f>W250+X250+Y250+Z250+AA250+AB250+AC250</f>
        <v>0</v>
      </c>
      <c r="AF250" s="34"/>
      <c r="AG250" s="34"/>
      <c r="AH250" s="34"/>
      <c r="AN250" s="9">
        <f>AG250+AH250+AI250+AJ250+AK250+AL250+AM250</f>
        <v>0</v>
      </c>
      <c r="AT250" s="11">
        <f>100+318</f>
        <v>418</v>
      </c>
      <c r="AV250" s="64">
        <f>L250+U250+AD250</f>
        <v>5382</v>
      </c>
      <c r="AW250" s="73">
        <f>AT250+AV250+AU250</f>
        <v>5800</v>
      </c>
      <c r="AY250" s="74">
        <f>AZ250+BA250+BB250+BC250+BD250+BE250</f>
        <v>5800</v>
      </c>
      <c r="BA250" s="15">
        <v>5800</v>
      </c>
      <c r="BL250" s="18">
        <v>2</v>
      </c>
      <c r="BM250" s="90" t="s">
        <v>153</v>
      </c>
    </row>
    <row r="251" customHeight="1" spans="1:64">
      <c r="A251" s="1" t="s">
        <v>241</v>
      </c>
      <c r="B251" s="33">
        <v>10059815</v>
      </c>
      <c r="C251" s="34" t="s">
        <v>107</v>
      </c>
      <c r="D251" s="3" t="s">
        <v>141</v>
      </c>
      <c r="E251" s="3">
        <v>1299</v>
      </c>
      <c r="I251" s="3">
        <v>5712</v>
      </c>
      <c r="K251" s="4">
        <f>11080-9279</f>
        <v>1801</v>
      </c>
      <c r="L251" s="5">
        <f>E251+F251+H251+I251+J251+G251+K251</f>
        <v>8812</v>
      </c>
      <c r="U251" s="7">
        <f>N251+O251+P251+Q251+S251+R251+T251</f>
        <v>0</v>
      </c>
      <c r="AD251" s="9">
        <f>W251+X251+Y251+Z251+AA251+AB251+AC251</f>
        <v>0</v>
      </c>
      <c r="AF251" s="34"/>
      <c r="AG251" s="34"/>
      <c r="AH251" s="34"/>
      <c r="AN251" s="9">
        <f>AG251+AH251+AI251+AJ251+AK251+AL251+AM251</f>
        <v>0</v>
      </c>
      <c r="AT251" s="11">
        <f>100+1014+954+200</f>
        <v>2268</v>
      </c>
      <c r="AV251" s="64">
        <f>L251+U251+AD251</f>
        <v>8812</v>
      </c>
      <c r="AW251" s="73">
        <f>AT251+AV251+AU251</f>
        <v>11080</v>
      </c>
      <c r="AX251" s="13" t="s">
        <v>142</v>
      </c>
      <c r="AY251" s="74">
        <f>AZ251+BA251+BB251+BC251+BD251+BE251</f>
        <v>11080</v>
      </c>
      <c r="AZ251" s="14">
        <v>11080</v>
      </c>
      <c r="BL251" s="18">
        <v>8</v>
      </c>
    </row>
    <row r="252" customHeight="1" spans="1:65">
      <c r="A252" s="1" t="s">
        <v>241</v>
      </c>
      <c r="B252" s="33">
        <v>10059816</v>
      </c>
      <c r="C252" s="3">
        <v>318</v>
      </c>
      <c r="D252" s="3" t="s">
        <v>85</v>
      </c>
      <c r="E252" s="3">
        <v>980</v>
      </c>
      <c r="I252" s="3">
        <v>2380</v>
      </c>
      <c r="K252" s="4">
        <f>4000-3460</f>
        <v>540</v>
      </c>
      <c r="L252" s="5">
        <f>E252+F252+H252+I252+J252+G252+K252</f>
        <v>3900</v>
      </c>
      <c r="U252" s="7">
        <f>N252+O252+P252+Q252+S252+R252+T252</f>
        <v>0</v>
      </c>
      <c r="AD252" s="9">
        <f>W252+X252+Y252+Z252+AA252+AB252+AC252</f>
        <v>0</v>
      </c>
      <c r="AF252" s="34"/>
      <c r="AG252" s="34"/>
      <c r="AH252" s="34"/>
      <c r="AN252" s="9">
        <f>AG252+AH252+AI252+AJ252+AK252+AL252+AM252</f>
        <v>0</v>
      </c>
      <c r="AT252" s="11">
        <v>100</v>
      </c>
      <c r="AV252" s="64">
        <f>L252+U252+AD252</f>
        <v>3900</v>
      </c>
      <c r="AW252" s="73">
        <f>AT252+AV252+AU252</f>
        <v>4000</v>
      </c>
      <c r="AY252" s="74">
        <f>AZ252+BA252+BB252+BC252+BD252+BE252</f>
        <v>4000</v>
      </c>
      <c r="BA252" s="15">
        <v>4000</v>
      </c>
      <c r="BL252" s="18">
        <v>2</v>
      </c>
      <c r="BM252" s="90" t="s">
        <v>72</v>
      </c>
    </row>
    <row r="253" customHeight="1" spans="1:65">
      <c r="A253" s="1" t="s">
        <v>241</v>
      </c>
      <c r="B253" s="33">
        <v>10059817</v>
      </c>
      <c r="C253" s="3">
        <v>307</v>
      </c>
      <c r="D253" s="3" t="s">
        <v>165</v>
      </c>
      <c r="E253" s="3">
        <v>980</v>
      </c>
      <c r="I253" s="3">
        <v>7632</v>
      </c>
      <c r="J253" s="3">
        <v>336</v>
      </c>
      <c r="K253" s="4">
        <f>11000-9574</f>
        <v>1426</v>
      </c>
      <c r="L253" s="5">
        <f>E253+F253+H253+I253+J253+G253+K253</f>
        <v>10374</v>
      </c>
      <c r="U253" s="7">
        <f>N253+O253+P253+Q253+S253+R253+T253</f>
        <v>0</v>
      </c>
      <c r="AD253" s="9">
        <f>W253+X253+Y253+Z253+AA253+AB253+AC253</f>
        <v>0</v>
      </c>
      <c r="AF253" s="34"/>
      <c r="AG253" s="34"/>
      <c r="AH253" s="34"/>
      <c r="AN253" s="9">
        <f>AG253+AH253+AI253+AJ253+AK253+AL253+AM253</f>
        <v>0</v>
      </c>
      <c r="AT253" s="11">
        <f>100+477+49</f>
        <v>626</v>
      </c>
      <c r="AV253" s="64">
        <f>L253+U253+AD253</f>
        <v>10374</v>
      </c>
      <c r="AW253" s="73">
        <f>AT253+AV253+AU253</f>
        <v>11000</v>
      </c>
      <c r="AY253" s="74">
        <f>AZ253+BA253+BB253+BC253+BD253+BE253</f>
        <v>11000</v>
      </c>
      <c r="BA253" s="15">
        <v>11000</v>
      </c>
      <c r="BL253" s="18">
        <v>5</v>
      </c>
      <c r="BM253" s="90" t="s">
        <v>72</v>
      </c>
    </row>
    <row r="254" customHeight="1" spans="1:65">
      <c r="A254" s="1" t="s">
        <v>241</v>
      </c>
      <c r="B254" s="33">
        <v>10059818</v>
      </c>
      <c r="C254" s="34" t="s">
        <v>223</v>
      </c>
      <c r="D254" s="3" t="s">
        <v>108</v>
      </c>
      <c r="E254" s="3">
        <v>1880</v>
      </c>
      <c r="I254" s="3">
        <f>3816+636</f>
        <v>4452</v>
      </c>
      <c r="K254" s="4">
        <f>9700-7585</f>
        <v>2115</v>
      </c>
      <c r="L254" s="5">
        <f>E254+F254+H254+I254+J254+G254+K254</f>
        <v>8447</v>
      </c>
      <c r="U254" s="7">
        <f>N254+O254+P254+Q254+S254+R254+T254</f>
        <v>0</v>
      </c>
      <c r="AD254" s="9">
        <f>W254+X254+Y254+Z254+AA254+AB254+AC254</f>
        <v>0</v>
      </c>
      <c r="AF254" s="34"/>
      <c r="AG254" s="34"/>
      <c r="AH254" s="34"/>
      <c r="AN254" s="9">
        <f>AG254+AH254+AI254+AJ254+AK254+AL254+AM254</f>
        <v>0</v>
      </c>
      <c r="AT254" s="11">
        <f>100+1113+40</f>
        <v>1253</v>
      </c>
      <c r="AV254" s="64">
        <f>L254+U254+AD254</f>
        <v>8447</v>
      </c>
      <c r="AW254" s="73">
        <f>AT254+AV254+AU254</f>
        <v>9700</v>
      </c>
      <c r="AY254" s="74">
        <f>AZ254+BA254+BB254+BC254+BD254+BE254</f>
        <v>12200</v>
      </c>
      <c r="AZ254" s="14">
        <v>9700</v>
      </c>
      <c r="BC254" s="17">
        <v>2430</v>
      </c>
      <c r="BD254" s="17">
        <v>70</v>
      </c>
      <c r="BL254" s="18">
        <v>8</v>
      </c>
      <c r="BM254" s="90" t="s">
        <v>72</v>
      </c>
    </row>
    <row r="255" customHeight="1" spans="1:65">
      <c r="A255" s="1" t="s">
        <v>241</v>
      </c>
      <c r="B255" s="33">
        <v>10059819</v>
      </c>
      <c r="C255" s="3">
        <v>311</v>
      </c>
      <c r="D255" s="34" t="s">
        <v>121</v>
      </c>
      <c r="E255" s="3">
        <v>980</v>
      </c>
      <c r="I255" s="3">
        <v>2380</v>
      </c>
      <c r="J255" s="3">
        <f>169+99</f>
        <v>268</v>
      </c>
      <c r="K255" s="4">
        <f>4900-4404</f>
        <v>496</v>
      </c>
      <c r="L255" s="5">
        <f>E255+F255+H255+I255+J255+G255+K255</f>
        <v>4124</v>
      </c>
      <c r="U255" s="7">
        <f>N255+O255+P255+Q255+S255+R255+T255</f>
        <v>0</v>
      </c>
      <c r="AD255" s="9">
        <f>W255+X255+Y255+Z255+AA255+AB255+AC255</f>
        <v>0</v>
      </c>
      <c r="AF255" s="34"/>
      <c r="AG255" s="34"/>
      <c r="AH255" s="34"/>
      <c r="AN255" s="9">
        <f>AG255+AH255+AI255+AJ255+AK255+AL255+AM255</f>
        <v>0</v>
      </c>
      <c r="AT255" s="11">
        <f>100+636+40</f>
        <v>776</v>
      </c>
      <c r="AV255" s="64">
        <f>L255+U255+AD255</f>
        <v>4124</v>
      </c>
      <c r="AW255" s="73">
        <f>AT255+AV255+AU255</f>
        <v>4900</v>
      </c>
      <c r="AY255" s="74">
        <f>AZ255+BA255+BB255+BC255+BD255+BE255</f>
        <v>4900</v>
      </c>
      <c r="BA255" s="15">
        <v>4900</v>
      </c>
      <c r="BL255" s="18">
        <v>3</v>
      </c>
      <c r="BM255" s="90" t="s">
        <v>134</v>
      </c>
    </row>
    <row r="256" customHeight="1" spans="1:64">
      <c r="A256" s="1" t="s">
        <v>241</v>
      </c>
      <c r="B256" s="33">
        <v>10059820</v>
      </c>
      <c r="C256" s="34" t="s">
        <v>65</v>
      </c>
      <c r="D256" s="3" t="s">
        <v>229</v>
      </c>
      <c r="E256" s="3">
        <v>2180</v>
      </c>
      <c r="I256" s="3">
        <v>6678</v>
      </c>
      <c r="J256" s="3">
        <f>129+168</f>
        <v>297</v>
      </c>
      <c r="K256" s="4">
        <f>12000-10269</f>
        <v>1731</v>
      </c>
      <c r="L256" s="5">
        <f>E256+F256+H256+I256+J256+G256+K256</f>
        <v>10886</v>
      </c>
      <c r="U256" s="7">
        <f>N256+O256+P256+Q256+S256+R256+T256</f>
        <v>0</v>
      </c>
      <c r="AD256" s="9">
        <f>W256+X256+Y256+Z256+AA256+AB256+AC256</f>
        <v>0</v>
      </c>
      <c r="AF256" s="34"/>
      <c r="AG256" s="34"/>
      <c r="AH256" s="34"/>
      <c r="AN256" s="9">
        <f>AG256+AH256+AI256+AJ256+AK256+AL256+AM256</f>
        <v>0</v>
      </c>
      <c r="AT256" s="11">
        <f>100+1014</f>
        <v>1114</v>
      </c>
      <c r="AV256" s="64">
        <f>L256+U256+AD256</f>
        <v>10886</v>
      </c>
      <c r="AW256" s="73">
        <f>AT256+AV256+AU256</f>
        <v>12000</v>
      </c>
      <c r="AY256" s="74">
        <f>AZ256+BA256+BB256+BC256+BD256+BE256</f>
        <v>12000</v>
      </c>
      <c r="BA256" s="15">
        <v>12000</v>
      </c>
      <c r="BL256" s="18">
        <v>6</v>
      </c>
    </row>
    <row r="257" customHeight="1" spans="1:65">
      <c r="A257" s="1" t="s">
        <v>241</v>
      </c>
      <c r="B257" s="33">
        <v>10059821</v>
      </c>
      <c r="C257" s="3">
        <v>302</v>
      </c>
      <c r="L257" s="5">
        <f>E257+F257+H257+I257+J257+G257+K257</f>
        <v>0</v>
      </c>
      <c r="M257" s="3" t="s">
        <v>118</v>
      </c>
      <c r="T257" s="6">
        <v>990</v>
      </c>
      <c r="U257" s="7">
        <f>N257+O257+P257+Q257+S257+R257+T257</f>
        <v>990</v>
      </c>
      <c r="AD257" s="9">
        <f>W257+X257+Y257+Z257+AA257+AB257+AC257</f>
        <v>0</v>
      </c>
      <c r="AF257" s="34"/>
      <c r="AG257" s="34"/>
      <c r="AH257" s="34"/>
      <c r="AN257" s="9">
        <f>AG257+AH257+AI257+AJ257+AK257+AL257+AM257</f>
        <v>0</v>
      </c>
      <c r="AT257" s="11">
        <v>100</v>
      </c>
      <c r="AV257" s="64">
        <f>L257+U257+AD257</f>
        <v>990</v>
      </c>
      <c r="AW257" s="73">
        <f>AT257+AV257+AU257</f>
        <v>1090</v>
      </c>
      <c r="AX257" s="75" t="s">
        <v>242</v>
      </c>
      <c r="AY257" s="74">
        <f>AZ257+BA257+BB257+BC257+BD257+BE257</f>
        <v>1090</v>
      </c>
      <c r="BB257" s="16">
        <v>1090</v>
      </c>
      <c r="BL257" s="18">
        <v>1</v>
      </c>
      <c r="BM257" s="90" t="s">
        <v>72</v>
      </c>
    </row>
    <row r="258" customHeight="1" spans="1:64">
      <c r="A258" s="1" t="s">
        <v>241</v>
      </c>
      <c r="B258" s="33">
        <v>10059822</v>
      </c>
      <c r="C258" s="34" t="s">
        <v>62</v>
      </c>
      <c r="D258" s="3" t="s">
        <v>232</v>
      </c>
      <c r="E258" s="3">
        <v>2180</v>
      </c>
      <c r="G258" s="3">
        <v>4890</v>
      </c>
      <c r="J258" s="3">
        <v>1548</v>
      </c>
      <c r="K258" s="4">
        <f>10320-9027</f>
        <v>1293</v>
      </c>
      <c r="L258" s="5">
        <f>E258+F258+H258+I258+J258+G258+K258</f>
        <v>9911</v>
      </c>
      <c r="U258" s="7">
        <f>N258+O258+P258+Q258+S258+R258+T258</f>
        <v>0</v>
      </c>
      <c r="AD258" s="9">
        <f>W258+X258+Y258+Z258+AA258+AB258+AC258</f>
        <v>0</v>
      </c>
      <c r="AF258" s="34"/>
      <c r="AG258" s="34"/>
      <c r="AH258" s="34"/>
      <c r="AN258" s="9">
        <f>AG258+AH258+AI258+AJ258+AK258+AL258+AM258</f>
        <v>0</v>
      </c>
      <c r="AT258" s="11">
        <f>100+260+49</f>
        <v>409</v>
      </c>
      <c r="AV258" s="64">
        <f>L258+U258+AD258</f>
        <v>9911</v>
      </c>
      <c r="AW258" s="73">
        <f>AT258+AV258+AU258</f>
        <v>10320</v>
      </c>
      <c r="AY258" s="74">
        <f>AZ258+BA258+BB258+BC258+BD258+BE258</f>
        <v>11200</v>
      </c>
      <c r="BA258" s="15">
        <v>10320</v>
      </c>
      <c r="BC258" s="17">
        <v>860</v>
      </c>
      <c r="BD258" s="17">
        <v>20</v>
      </c>
      <c r="BL258" s="18">
        <v>4</v>
      </c>
    </row>
    <row r="259" customHeight="1" spans="1:65">
      <c r="A259" s="1" t="s">
        <v>241</v>
      </c>
      <c r="B259" s="33">
        <v>10059823</v>
      </c>
      <c r="C259" s="34" t="s">
        <v>94</v>
      </c>
      <c r="D259" s="34" t="s">
        <v>243</v>
      </c>
      <c r="E259" s="3">
        <v>1680</v>
      </c>
      <c r="I259" s="3">
        <v>5088</v>
      </c>
      <c r="K259" s="4">
        <f>8600-7713</f>
        <v>887</v>
      </c>
      <c r="L259" s="5">
        <f>E259+F259+H259+I259+J259+G259+K259</f>
        <v>7655</v>
      </c>
      <c r="U259" s="7">
        <f>N259+O259+P259+Q259+S259+R259+T259</f>
        <v>0</v>
      </c>
      <c r="AD259" s="9">
        <f>W259+X259+Y259+Z259+AA259+AB259+AC259</f>
        <v>0</v>
      </c>
      <c r="AF259" s="34"/>
      <c r="AG259" s="34"/>
      <c r="AH259" s="34"/>
      <c r="AN259" s="9">
        <f>AG259+AH259+AI259+AJ259+AK259+AL259+AM259</f>
        <v>0</v>
      </c>
      <c r="AT259" s="11">
        <f>100+845</f>
        <v>945</v>
      </c>
      <c r="AV259" s="64">
        <f>L259+U259+AD259</f>
        <v>7655</v>
      </c>
      <c r="AW259" s="73">
        <f>AT259+AV259+AU259</f>
        <v>8600</v>
      </c>
      <c r="AY259" s="74">
        <f>AZ259+BA259+BB259+BC259+BD259+BE259</f>
        <v>8600</v>
      </c>
      <c r="BA259" s="15">
        <v>8600</v>
      </c>
      <c r="BL259" s="18">
        <v>2</v>
      </c>
      <c r="BM259" s="90" t="s">
        <v>72</v>
      </c>
    </row>
    <row r="260" customHeight="1" spans="1:65">
      <c r="A260" s="1" t="s">
        <v>241</v>
      </c>
      <c r="B260" s="33">
        <v>10059824</v>
      </c>
      <c r="C260" s="34" t="s">
        <v>59</v>
      </c>
      <c r="D260" s="3" t="s">
        <v>133</v>
      </c>
      <c r="E260" s="3">
        <v>2180</v>
      </c>
      <c r="I260" s="3">
        <v>7632</v>
      </c>
      <c r="J260" s="3">
        <f>2064+169</f>
        <v>2233</v>
      </c>
      <c r="K260" s="4">
        <f>15200-13019</f>
        <v>2181</v>
      </c>
      <c r="L260" s="5">
        <f>E260+F260+H260+I260+J260+G260+K260</f>
        <v>14226</v>
      </c>
      <c r="U260" s="7">
        <f>N260+O260+P260+Q260+S260+R260+T260</f>
        <v>0</v>
      </c>
      <c r="AD260" s="9">
        <f>W260+X260+Y260+Z260+AA260+AB260+AC260</f>
        <v>0</v>
      </c>
      <c r="AF260" s="34"/>
      <c r="AG260" s="34"/>
      <c r="AH260" s="34"/>
      <c r="AN260" s="9">
        <f>AG260+AH260+AI260+AJ260+AK260+AL260+AM260</f>
        <v>0</v>
      </c>
      <c r="AT260" s="11">
        <f>100+845+29</f>
        <v>974</v>
      </c>
      <c r="AV260" s="64">
        <f>L260+U260+AD260</f>
        <v>14226</v>
      </c>
      <c r="AW260" s="73">
        <f>AT260+AV260+AU260</f>
        <v>15200</v>
      </c>
      <c r="AY260" s="74">
        <f>AZ260+BA260+BB260+BC260+BD260+BE260</f>
        <v>15700</v>
      </c>
      <c r="BA260" s="15">
        <v>15200</v>
      </c>
      <c r="BC260" s="17">
        <v>490</v>
      </c>
      <c r="BD260" s="17">
        <v>10</v>
      </c>
      <c r="BL260" s="18">
        <v>5</v>
      </c>
      <c r="BM260" s="90" t="s">
        <v>244</v>
      </c>
    </row>
    <row r="261" customHeight="1" spans="1:65">
      <c r="A261" s="1" t="s">
        <v>241</v>
      </c>
      <c r="B261" s="33">
        <v>10059825</v>
      </c>
      <c r="C261" s="34" t="s">
        <v>84</v>
      </c>
      <c r="L261" s="5">
        <f>E261+F261+H261+I261+J261+G261+K261</f>
        <v>0</v>
      </c>
      <c r="M261" s="3" t="s">
        <v>245</v>
      </c>
      <c r="N261" s="3">
        <v>2580</v>
      </c>
      <c r="P261" s="3">
        <v>4890</v>
      </c>
      <c r="R261" s="3">
        <v>8719</v>
      </c>
      <c r="S261" s="3">
        <v>387</v>
      </c>
      <c r="T261" s="6">
        <v>2710</v>
      </c>
      <c r="U261" s="7">
        <f>N261+O261+P261+Q261+S261+R261+T261</f>
        <v>19286</v>
      </c>
      <c r="AD261" s="9">
        <f>W261+X261+Y261+Z261+AA261+AB261+AC261</f>
        <v>0</v>
      </c>
      <c r="AF261" s="34"/>
      <c r="AG261" s="34"/>
      <c r="AH261" s="34"/>
      <c r="AN261" s="9">
        <f>AG261+AH261+AI261+AJ261+AK261+AL261+AM261</f>
        <v>0</v>
      </c>
      <c r="AT261" s="11">
        <f>100+1014+100</f>
        <v>1214</v>
      </c>
      <c r="AV261" s="64">
        <f>L261+U261+AD261</f>
        <v>19286</v>
      </c>
      <c r="AW261" s="73">
        <f>AT261+AV261+AU261</f>
        <v>20500</v>
      </c>
      <c r="AY261" s="74">
        <f>AZ261+BA261+BB261+BC261+BD261+BE261</f>
        <v>20500</v>
      </c>
      <c r="BA261" s="15">
        <v>20500</v>
      </c>
      <c r="BL261" s="18">
        <v>9</v>
      </c>
      <c r="BM261" s="90" t="s">
        <v>143</v>
      </c>
    </row>
    <row r="262" customHeight="1" spans="1:65">
      <c r="A262" s="1" t="s">
        <v>241</v>
      </c>
      <c r="B262" s="33">
        <v>10059826</v>
      </c>
      <c r="C262" s="34" t="s">
        <v>67</v>
      </c>
      <c r="L262" s="5">
        <f>E262+F262+H262+I262+J262+G262+K262</f>
        <v>0</v>
      </c>
      <c r="M262" s="3" t="s">
        <v>118</v>
      </c>
      <c r="N262" s="3">
        <v>2180</v>
      </c>
      <c r="Q262" s="3">
        <v>8320</v>
      </c>
      <c r="S262" s="3">
        <v>258</v>
      </c>
      <c r="T262" s="6">
        <v>2644</v>
      </c>
      <c r="U262" s="7">
        <f>N262+O262+P262+Q262+S262+R262+T262</f>
        <v>13402</v>
      </c>
      <c r="AD262" s="9">
        <f>W262+X262+Y262+Z262+AA262+AB262+AC262</f>
        <v>0</v>
      </c>
      <c r="AF262" s="34"/>
      <c r="AG262" s="34"/>
      <c r="AH262" s="34"/>
      <c r="AN262" s="9">
        <f>AG262+AH262+AI262+AJ262+AK262+AL262+AM262</f>
        <v>0</v>
      </c>
      <c r="AT262" s="11">
        <f>100+338</f>
        <v>438</v>
      </c>
      <c r="AV262" s="64">
        <f>L262+U262+AD262</f>
        <v>13402</v>
      </c>
      <c r="AW262" s="73">
        <f>AT262+AV262+AU262</f>
        <v>13840</v>
      </c>
      <c r="AY262" s="74">
        <f>AZ262+BA262+BB262+BC262+BD262+BE262</f>
        <v>13840</v>
      </c>
      <c r="AZ262" s="14">
        <v>13840</v>
      </c>
      <c r="BL262" s="18">
        <v>3</v>
      </c>
      <c r="BM262" s="90" t="s">
        <v>140</v>
      </c>
    </row>
    <row r="263" customHeight="1" spans="1:65">
      <c r="A263" s="1" t="s">
        <v>241</v>
      </c>
      <c r="B263" s="33">
        <v>10059827</v>
      </c>
      <c r="C263" s="3">
        <v>312</v>
      </c>
      <c r="D263" s="3" t="s">
        <v>165</v>
      </c>
      <c r="E263" s="3">
        <v>980</v>
      </c>
      <c r="I263" s="3">
        <v>2380</v>
      </c>
      <c r="K263" s="4">
        <f>4100-3619</f>
        <v>481</v>
      </c>
      <c r="L263" s="5">
        <f>E263+F263+H263+I263+J263+G263+K263</f>
        <v>3841</v>
      </c>
      <c r="U263" s="7">
        <f>N263+O263+P263+Q263+S263+R263+T263</f>
        <v>0</v>
      </c>
      <c r="AD263" s="9">
        <f>W263+X263+Y263+Z263+AA263+AB263+AC263</f>
        <v>0</v>
      </c>
      <c r="AF263" s="34"/>
      <c r="AG263" s="34"/>
      <c r="AH263" s="34"/>
      <c r="AN263" s="9">
        <f>AG263+AH263+AI263+AJ263+AK263+AL263+AM263</f>
        <v>0</v>
      </c>
      <c r="AT263" s="11">
        <f>100+159</f>
        <v>259</v>
      </c>
      <c r="AV263" s="64">
        <f>L263+U263+AD263</f>
        <v>3841</v>
      </c>
      <c r="AW263" s="73">
        <f>AT263+AV263+AU263</f>
        <v>4100</v>
      </c>
      <c r="AY263" s="74">
        <f>AZ263+BA263+BB263+BC263+BD263+BE263</f>
        <v>4100</v>
      </c>
      <c r="BA263" s="15">
        <v>4100</v>
      </c>
      <c r="BL263" s="18">
        <v>1</v>
      </c>
      <c r="BM263" s="90" t="s">
        <v>72</v>
      </c>
    </row>
    <row r="264" customHeight="1" spans="1:64">
      <c r="A264" s="1" t="s">
        <v>241</v>
      </c>
      <c r="B264" s="33">
        <v>10059828</v>
      </c>
      <c r="C264" s="3">
        <v>309</v>
      </c>
      <c r="D264" s="3" t="s">
        <v>51</v>
      </c>
      <c r="E264" s="3">
        <v>980</v>
      </c>
      <c r="I264" s="3">
        <v>2856</v>
      </c>
      <c r="K264" s="4">
        <f>5000-4413</f>
        <v>587</v>
      </c>
      <c r="L264" s="5">
        <f>E264+F264+H264+I264+J264+G264+K264</f>
        <v>4423</v>
      </c>
      <c r="U264" s="7">
        <f>N264+O264+P264+Q264+S264+R264+T264</f>
        <v>0</v>
      </c>
      <c r="AD264" s="9">
        <f>W264+X264+Y264+Z264+AA264+AB264+AC264</f>
        <v>0</v>
      </c>
      <c r="AF264" s="34"/>
      <c r="AG264" s="34"/>
      <c r="AH264" s="34"/>
      <c r="AN264" s="9">
        <f>AG264+AH264+AI264+AJ264+AK264+AL264+AM264</f>
        <v>0</v>
      </c>
      <c r="AT264" s="11">
        <f>100+477</f>
        <v>577</v>
      </c>
      <c r="AV264" s="64">
        <f>L264+U264+AD264</f>
        <v>4423</v>
      </c>
      <c r="AW264" s="73">
        <f>AT264+AV264+AU264</f>
        <v>5000</v>
      </c>
      <c r="AY264" s="74">
        <f>AZ264+BA264+BB264+BC264+BD264+BE264</f>
        <v>5000</v>
      </c>
      <c r="BA264" s="15">
        <v>5000</v>
      </c>
      <c r="BL264" s="18">
        <v>3</v>
      </c>
    </row>
    <row r="265" customHeight="1" spans="1:64">
      <c r="A265" s="1" t="s">
        <v>241</v>
      </c>
      <c r="B265" s="33">
        <v>10059829</v>
      </c>
      <c r="C265" s="3">
        <v>310</v>
      </c>
      <c r="L265" s="5">
        <f>E265+F265+H265+I265+J265+G265+K265</f>
        <v>0</v>
      </c>
      <c r="M265" s="3" t="s">
        <v>161</v>
      </c>
      <c r="N265" s="3">
        <v>980</v>
      </c>
      <c r="P265" s="3">
        <v>4890</v>
      </c>
      <c r="T265" s="6">
        <v>1412</v>
      </c>
      <c r="U265" s="7">
        <f>N265+O265+P265+Q265+S265+R265+T265</f>
        <v>7282</v>
      </c>
      <c r="AD265" s="9">
        <f>W265+X265+Y265+Z265+AA265+AB265+AC265</f>
        <v>0</v>
      </c>
      <c r="AF265" s="34"/>
      <c r="AG265" s="34"/>
      <c r="AH265" s="34"/>
      <c r="AN265" s="9">
        <f>AG265+AH265+AI265+AJ265+AK265+AL265+AM265</f>
        <v>0</v>
      </c>
      <c r="AT265" s="11">
        <f>100+318</f>
        <v>418</v>
      </c>
      <c r="AV265" s="64">
        <f>L265+U265+AD265</f>
        <v>7282</v>
      </c>
      <c r="AW265" s="73">
        <f>AT265+AV265+AU265</f>
        <v>7700</v>
      </c>
      <c r="AY265" s="74">
        <f>AZ265+BA265+BB265+BC265+BD265+BE265</f>
        <v>16900</v>
      </c>
      <c r="AZ265" s="14">
        <v>7700</v>
      </c>
      <c r="BE265" s="17">
        <v>9200</v>
      </c>
      <c r="BL265" s="18">
        <v>1</v>
      </c>
    </row>
    <row r="266" customHeight="1" spans="1:65">
      <c r="A266" s="1" t="s">
        <v>241</v>
      </c>
      <c r="B266" s="33">
        <v>10059830</v>
      </c>
      <c r="C266" s="34" t="s">
        <v>54</v>
      </c>
      <c r="D266" s="3" t="s">
        <v>198</v>
      </c>
      <c r="E266" s="3">
        <v>2180</v>
      </c>
      <c r="I266" s="3">
        <v>3816</v>
      </c>
      <c r="J266" s="3">
        <f>2709+139</f>
        <v>2848</v>
      </c>
      <c r="K266" s="4">
        <f>12940-10296</f>
        <v>2644</v>
      </c>
      <c r="L266" s="5">
        <f>E266+F266+H266+I266+J266+G266+K266</f>
        <v>11488</v>
      </c>
      <c r="U266" s="7">
        <f>N266+O266+P266+Q266+S266+R266+T266</f>
        <v>0</v>
      </c>
      <c r="AD266" s="9">
        <f>W266+X266+Y266+Z266+AA266+AB266+AC266</f>
        <v>0</v>
      </c>
      <c r="AF266" s="34"/>
      <c r="AG266" s="34"/>
      <c r="AH266" s="34"/>
      <c r="AN266" s="9">
        <f>AG266+AH266+AI266+AJ266+AK266+AL266+AM266</f>
        <v>0</v>
      </c>
      <c r="AT266" s="11">
        <f>100+1352</f>
        <v>1452</v>
      </c>
      <c r="AV266" s="64">
        <f>L266+U266+AD266</f>
        <v>11488</v>
      </c>
      <c r="AW266" s="73">
        <f>AT266+AV266+AU266</f>
        <v>12940</v>
      </c>
      <c r="AY266" s="74">
        <f>AZ266+BA266+BB266+BC266+BD266+BE266</f>
        <v>12940</v>
      </c>
      <c r="AZ266" s="14">
        <v>12940</v>
      </c>
      <c r="BL266" s="18">
        <v>8</v>
      </c>
      <c r="BM266" s="90" t="s">
        <v>153</v>
      </c>
    </row>
    <row r="267" customHeight="1" spans="1:65">
      <c r="A267" s="1" t="s">
        <v>241</v>
      </c>
      <c r="B267" s="33">
        <v>10059831</v>
      </c>
      <c r="C267" s="34" t="s">
        <v>89</v>
      </c>
      <c r="D267" s="34"/>
      <c r="L267" s="5">
        <f>E267+F267+H267+I267+J267+G267+K267</f>
        <v>0</v>
      </c>
      <c r="M267" s="91" t="s">
        <v>245</v>
      </c>
      <c r="N267" s="3">
        <v>2180</v>
      </c>
      <c r="P267" s="3">
        <v>17780</v>
      </c>
      <c r="S267" s="3">
        <v>496</v>
      </c>
      <c r="T267" s="6">
        <v>3807</v>
      </c>
      <c r="U267" s="7">
        <f>N267+O267+P267+Q267+S267+R267+T267</f>
        <v>24263</v>
      </c>
      <c r="AD267" s="9">
        <f>W267+X267+Y267+Z267+AA267+AB267+AC267</f>
        <v>0</v>
      </c>
      <c r="AF267" s="34"/>
      <c r="AG267" s="34"/>
      <c r="AH267" s="34"/>
      <c r="AN267" s="9">
        <f>AG267+AH267+AI267+AJ267+AK267+AL267+AM267</f>
        <v>0</v>
      </c>
      <c r="AT267" s="11">
        <f>100+130+507</f>
        <v>737</v>
      </c>
      <c r="AV267" s="64">
        <f>L267+U267+AD267</f>
        <v>24263</v>
      </c>
      <c r="AW267" s="73">
        <f>AT267+AV267+AU267</f>
        <v>25000</v>
      </c>
      <c r="AY267" s="74">
        <f>AZ267+BA267+BB267+BC267+BD267+BE267</f>
        <v>25000</v>
      </c>
      <c r="BA267" s="15">
        <v>25000</v>
      </c>
      <c r="BL267" s="18">
        <v>7</v>
      </c>
      <c r="BM267" s="90" t="s">
        <v>143</v>
      </c>
    </row>
    <row r="268" customHeight="1" spans="1:65">
      <c r="A268" s="1" t="s">
        <v>241</v>
      </c>
      <c r="B268" s="33">
        <v>10059832</v>
      </c>
      <c r="C268" s="34" t="s">
        <v>56</v>
      </c>
      <c r="D268" s="3" t="s">
        <v>213</v>
      </c>
      <c r="E268" s="3">
        <v>3180</v>
      </c>
      <c r="G268" s="3">
        <v>26670</v>
      </c>
      <c r="K268" s="4">
        <f>35900-30733</f>
        <v>5167</v>
      </c>
      <c r="L268" s="5">
        <f>E268+F268+H268+I268+J268+G268+K268</f>
        <v>35017</v>
      </c>
      <c r="U268" s="7">
        <f>N268+O268+P268+Q268+S268+R268+T268</f>
        <v>0</v>
      </c>
      <c r="AD268" s="9">
        <f>W268+X268+Y268+Z268+AA268+AB268+AC268</f>
        <v>0</v>
      </c>
      <c r="AF268" s="34"/>
      <c r="AG268" s="34"/>
      <c r="AH268" s="34"/>
      <c r="AN268" s="9">
        <f>AG268+AH268+AI268+AJ268+AK268+AL268+AM268</f>
        <v>0</v>
      </c>
      <c r="AT268" s="11">
        <f>100+49+676+58</f>
        <v>883</v>
      </c>
      <c r="AV268" s="64">
        <f>L268+U268+AD268</f>
        <v>35017</v>
      </c>
      <c r="AW268" s="73">
        <f>AT268+AV268+AU268</f>
        <v>35900</v>
      </c>
      <c r="AY268" s="74">
        <f>AZ268+BA268+BB268+BC268+BD268+BE268</f>
        <v>35900</v>
      </c>
      <c r="BA268" s="15">
        <v>35900</v>
      </c>
      <c r="BL268" s="18">
        <v>11</v>
      </c>
      <c r="BM268" s="90" t="s">
        <v>72</v>
      </c>
    </row>
    <row r="269" customHeight="1" spans="1:64">
      <c r="A269" s="1" t="s">
        <v>246</v>
      </c>
      <c r="B269" s="33">
        <v>10059833</v>
      </c>
      <c r="C269" s="3">
        <v>301</v>
      </c>
      <c r="D269" s="34" t="s">
        <v>247</v>
      </c>
      <c r="E269" s="3">
        <v>1299</v>
      </c>
      <c r="I269" s="3">
        <v>7632</v>
      </c>
      <c r="J269" s="3">
        <f>98+198</f>
        <v>296</v>
      </c>
      <c r="K269" s="4">
        <f>12200-10012</f>
        <v>2188</v>
      </c>
      <c r="L269" s="5">
        <f>E269+F269+H269+I269+J269+G269+K269</f>
        <v>11415</v>
      </c>
      <c r="U269" s="7">
        <f>N269+O269+P269+Q269+S269+R269+T269</f>
        <v>0</v>
      </c>
      <c r="AD269" s="9">
        <f>W269+X269+Y269+Z269+AA269+AB269+AC269</f>
        <v>0</v>
      </c>
      <c r="AF269" s="34"/>
      <c r="AG269" s="34"/>
      <c r="AH269" s="34"/>
      <c r="AN269" s="9">
        <f>AG269+AH269+AI269+AJ269+AK269+AL269+AM269</f>
        <v>0</v>
      </c>
      <c r="AT269" s="11">
        <f>100+636+49</f>
        <v>785</v>
      </c>
      <c r="AV269" s="64">
        <f>L269+U269+AD269</f>
        <v>11415</v>
      </c>
      <c r="AW269" s="73">
        <f>AT269+AV269+AU269</f>
        <v>12200</v>
      </c>
      <c r="AY269" s="74">
        <f>AZ269+BA269+BB269+BC269+BD269+BE269</f>
        <v>12200</v>
      </c>
      <c r="AZ269" s="14">
        <v>12200</v>
      </c>
      <c r="BL269" s="18">
        <v>6</v>
      </c>
    </row>
    <row r="270" customHeight="1" spans="1:64">
      <c r="A270" s="1" t="s">
        <v>246</v>
      </c>
      <c r="B270" s="33">
        <v>10059834</v>
      </c>
      <c r="C270" s="3">
        <v>309</v>
      </c>
      <c r="L270" s="5">
        <f>E270+F270+H270+I270+J270+G270+K270</f>
        <v>0</v>
      </c>
      <c r="M270" s="3" t="s">
        <v>234</v>
      </c>
      <c r="N270" s="3">
        <v>980</v>
      </c>
      <c r="R270" s="3">
        <v>3816</v>
      </c>
      <c r="T270" s="6">
        <v>959</v>
      </c>
      <c r="U270" s="7">
        <f>N270+O270+P270+Q270+S270+R270+T270</f>
        <v>5755</v>
      </c>
      <c r="AD270" s="9">
        <f>W270+X270+Y270+Z270+AA270+AB270+AC270</f>
        <v>0</v>
      </c>
      <c r="AF270" s="34"/>
      <c r="AG270" s="34"/>
      <c r="AH270" s="34"/>
      <c r="AN270" s="9">
        <f>AG270+AH270+AI270+AJ270+AK270+AL270+AM270</f>
        <v>0</v>
      </c>
      <c r="AT270" s="11">
        <f>100+795</f>
        <v>895</v>
      </c>
      <c r="AV270" s="64">
        <f>L270+U270+AD270</f>
        <v>5755</v>
      </c>
      <c r="AW270" s="73">
        <f>AT270+AV270+AU270</f>
        <v>6650</v>
      </c>
      <c r="AY270" s="74">
        <f>AZ270+BA270+BB270+BC270+BD270+BE270</f>
        <v>6650</v>
      </c>
      <c r="BA270" s="15">
        <v>6650</v>
      </c>
      <c r="BL270" s="18">
        <v>4</v>
      </c>
    </row>
    <row r="271" customHeight="1" spans="1:64">
      <c r="A271" s="1" t="s">
        <v>246</v>
      </c>
      <c r="B271" s="33">
        <v>10059835</v>
      </c>
      <c r="C271" s="3">
        <v>320</v>
      </c>
      <c r="D271" s="3" t="s">
        <v>248</v>
      </c>
      <c r="E271" s="3">
        <v>1299</v>
      </c>
      <c r="H271" s="3">
        <v>4160</v>
      </c>
      <c r="I271" s="3">
        <v>1428</v>
      </c>
      <c r="K271" s="4">
        <f>8969-7554</f>
        <v>1415</v>
      </c>
      <c r="L271" s="5">
        <f>E271+F271+H271+I271+J271+G271+K271</f>
        <v>8302</v>
      </c>
      <c r="U271" s="7">
        <f>N271+O271+P271+Q271+S271+R271+T271</f>
        <v>0</v>
      </c>
      <c r="AD271" s="9">
        <f>W271+X271+Y271+Z271+AA271+AB271+AC271</f>
        <v>0</v>
      </c>
      <c r="AF271" s="34"/>
      <c r="AG271" s="34"/>
      <c r="AH271" s="34"/>
      <c r="AN271" s="9">
        <f>AG271+AH271+AI271+AJ271+AK271+AL271+AM271</f>
        <v>0</v>
      </c>
      <c r="AT271" s="11">
        <f>100+477+90</f>
        <v>667</v>
      </c>
      <c r="AV271" s="64">
        <f>L271+U271+AD271</f>
        <v>8302</v>
      </c>
      <c r="AW271" s="73">
        <f>AT271+AV271+AU271</f>
        <v>8969</v>
      </c>
      <c r="AY271" s="74">
        <f>AZ271+BA271+BB271+BC271+BD271+BE271</f>
        <v>8969</v>
      </c>
      <c r="AZ271" s="14">
        <v>8969</v>
      </c>
      <c r="BL271" s="18">
        <v>3</v>
      </c>
    </row>
    <row r="272" customHeight="1" spans="1:65">
      <c r="A272" s="1" t="s">
        <v>246</v>
      </c>
      <c r="B272" s="33">
        <v>10059836</v>
      </c>
      <c r="C272" s="3">
        <v>302</v>
      </c>
      <c r="L272" s="5">
        <f>E272+F272+H272+I272+J272+G272+K272</f>
        <v>0</v>
      </c>
      <c r="M272" s="3" t="s">
        <v>245</v>
      </c>
      <c r="N272" s="3">
        <v>980</v>
      </c>
      <c r="R272" s="3">
        <v>4998</v>
      </c>
      <c r="S272" s="3">
        <v>138</v>
      </c>
      <c r="T272" s="6">
        <v>825</v>
      </c>
      <c r="U272" s="7">
        <f>N272+O272+P272+Q272+S272+R272+T272</f>
        <v>6941</v>
      </c>
      <c r="AD272" s="9">
        <f>W272+X272+Y272+Z272+AA272+AB272+AC272</f>
        <v>0</v>
      </c>
      <c r="AF272" s="34"/>
      <c r="AG272" s="34"/>
      <c r="AH272" s="34"/>
      <c r="AN272" s="9">
        <f>AG272+AH272+AI272+AJ272+AK272+AL272+AM272</f>
        <v>0</v>
      </c>
      <c r="AT272" s="11">
        <f>100+159</f>
        <v>259</v>
      </c>
      <c r="AV272" s="64">
        <f>L272+U272+AD272</f>
        <v>6941</v>
      </c>
      <c r="AW272" s="73">
        <f>AT272+AV272+AU272</f>
        <v>7200</v>
      </c>
      <c r="AY272" s="74">
        <f>AZ272+BA272+BB272+BC272+BD272+BE272</f>
        <v>7200</v>
      </c>
      <c r="BA272" s="15">
        <v>7200</v>
      </c>
      <c r="BL272" s="18">
        <v>3</v>
      </c>
      <c r="BM272" s="90" t="s">
        <v>61</v>
      </c>
    </row>
    <row r="273" customHeight="1" spans="1:64">
      <c r="A273" s="1" t="s">
        <v>246</v>
      </c>
      <c r="B273" s="33">
        <v>10059837</v>
      </c>
      <c r="C273" s="3">
        <v>310</v>
      </c>
      <c r="D273" s="3" t="s">
        <v>249</v>
      </c>
      <c r="E273" s="3">
        <v>980</v>
      </c>
      <c r="I273" s="3">
        <v>2856</v>
      </c>
      <c r="J273" s="3">
        <f>98</f>
        <v>98</v>
      </c>
      <c r="K273" s="4">
        <f>5100-4401</f>
        <v>699</v>
      </c>
      <c r="L273" s="5">
        <f>E273+F273+H273+I273+J273+G273+K273</f>
        <v>4633</v>
      </c>
      <c r="U273" s="7">
        <f>N273+O273+P273+Q273+S273+R273+T273</f>
        <v>0</v>
      </c>
      <c r="AD273" s="9">
        <f>W273+X273+Y273+Z273+AA273+AB273+AC273</f>
        <v>0</v>
      </c>
      <c r="AF273" s="34"/>
      <c r="AG273" s="34"/>
      <c r="AH273" s="34"/>
      <c r="AN273" s="9">
        <f>AG273+AH273+AI273+AJ273+AK273+AL273+AM273</f>
        <v>0</v>
      </c>
      <c r="AT273" s="11">
        <f>100+49+318</f>
        <v>467</v>
      </c>
      <c r="AV273" s="64">
        <f>L273+U273+AD273</f>
        <v>4633</v>
      </c>
      <c r="AW273" s="73">
        <f>AT273+AV273+AU273</f>
        <v>5100</v>
      </c>
      <c r="AY273" s="74">
        <f>AZ273+BA273+BB273+BC273+BD273+BE273</f>
        <v>5100</v>
      </c>
      <c r="BA273" s="15">
        <v>5100</v>
      </c>
      <c r="BL273" s="18">
        <v>2</v>
      </c>
    </row>
    <row r="274" customHeight="1" spans="1:65">
      <c r="A274" s="1" t="s">
        <v>246</v>
      </c>
      <c r="B274" s="33">
        <v>10059838</v>
      </c>
      <c r="C274" s="34" t="s">
        <v>48</v>
      </c>
      <c r="D274" s="3" t="s">
        <v>249</v>
      </c>
      <c r="E274" s="3">
        <v>1880</v>
      </c>
      <c r="G274" s="3">
        <v>7990</v>
      </c>
      <c r="K274" s="4">
        <f>12970-10288</f>
        <v>2682</v>
      </c>
      <c r="L274" s="5">
        <f>E274+F274+H274+I274+J274+G274+K274</f>
        <v>12552</v>
      </c>
      <c r="U274" s="7">
        <f>N274+O274+P274+Q274+S274+R274+T274</f>
        <v>0</v>
      </c>
      <c r="AD274" s="9">
        <f>W274+X274+Y274+Z274+AA274+AB274+AC274</f>
        <v>0</v>
      </c>
      <c r="AF274" s="34"/>
      <c r="AG274" s="34"/>
      <c r="AH274" s="34"/>
      <c r="AN274" s="9">
        <f>AG274+AH274+AI274+AJ274+AK274+AL274+AM274</f>
        <v>0</v>
      </c>
      <c r="AT274" s="11">
        <f>100+318</f>
        <v>418</v>
      </c>
      <c r="AV274" s="64">
        <f>L274+U274+AD274</f>
        <v>12552</v>
      </c>
      <c r="AW274" s="73">
        <f>AT274+AV274+AU274</f>
        <v>12970</v>
      </c>
      <c r="AY274" s="74">
        <f>AZ274+BA274+BB274+BC274+BD274+BE274</f>
        <v>12970</v>
      </c>
      <c r="AZ274" s="14">
        <v>12970</v>
      </c>
      <c r="BL274" s="18">
        <v>7</v>
      </c>
      <c r="BM274" s="90" t="s">
        <v>140</v>
      </c>
    </row>
    <row r="275" customHeight="1" spans="1:65">
      <c r="A275" s="1" t="s">
        <v>246</v>
      </c>
      <c r="B275" s="33">
        <v>10059839</v>
      </c>
      <c r="C275" s="3" t="s">
        <v>120</v>
      </c>
      <c r="D275" s="3" t="s">
        <v>229</v>
      </c>
      <c r="E275" s="3">
        <v>1880</v>
      </c>
      <c r="G275" s="3">
        <f>3290+4890</f>
        <v>8180</v>
      </c>
      <c r="K275" s="4">
        <f>12500-11163</f>
        <v>1337</v>
      </c>
      <c r="L275" s="5">
        <f>E275+F275+H275+I275+J275+G275+K275</f>
        <v>11397</v>
      </c>
      <c r="U275" s="7">
        <f>N275+O275+P275+Q275+S275+R275+T275</f>
        <v>0</v>
      </c>
      <c r="AD275" s="9">
        <f>W275+X275+Y275+Z275+AA275+AB275+AC275</f>
        <v>0</v>
      </c>
      <c r="AF275" s="34"/>
      <c r="AG275" s="34"/>
      <c r="AH275" s="34"/>
      <c r="AN275" s="9">
        <f>AG275+AH275+AI275+AJ275+AK275+AL275+AM275</f>
        <v>0</v>
      </c>
      <c r="AT275" s="11">
        <f>100+49+954</f>
        <v>1103</v>
      </c>
      <c r="AV275" s="64">
        <f>L275+U275+AD275</f>
        <v>11397</v>
      </c>
      <c r="AW275" s="73">
        <f>AT275+AV275+AU275</f>
        <v>12500</v>
      </c>
      <c r="AY275" s="74">
        <f>AZ275+BA275+BB275+BC275+BD275+BE275</f>
        <v>12500</v>
      </c>
      <c r="BA275" s="15">
        <v>12500</v>
      </c>
      <c r="BL275" s="18">
        <v>5</v>
      </c>
      <c r="BM275" s="90" t="s">
        <v>134</v>
      </c>
    </row>
    <row r="276" customHeight="1" spans="1:65">
      <c r="A276" s="1" t="s">
        <v>246</v>
      </c>
      <c r="B276" s="33">
        <v>10059840</v>
      </c>
      <c r="C276" s="3" t="s">
        <v>44</v>
      </c>
      <c r="D276" s="3" t="s">
        <v>213</v>
      </c>
      <c r="E276" s="3">
        <v>1880</v>
      </c>
      <c r="I276" s="3">
        <f>5712+714</f>
        <v>6426</v>
      </c>
      <c r="K276" s="4">
        <f>11000-9201</f>
        <v>1799</v>
      </c>
      <c r="L276" s="5">
        <f>E276+F276+H276+I276+J276+G276+K276</f>
        <v>10105</v>
      </c>
      <c r="U276" s="7">
        <f>N276+O276+P276+Q276+S276+R276+T276</f>
        <v>0</v>
      </c>
      <c r="AD276" s="9">
        <f>W276+X276+Y276+Z276+AA276+AB276+AC276</f>
        <v>0</v>
      </c>
      <c r="AF276" s="34"/>
      <c r="AG276" s="34"/>
      <c r="AH276" s="34"/>
      <c r="AN276" s="9">
        <f>AG276+AH276+AI276+AJ276+AK276+AL276+AM276</f>
        <v>0</v>
      </c>
      <c r="AT276" s="11">
        <f>100+795</f>
        <v>895</v>
      </c>
      <c r="AV276" s="64">
        <f>L276+U276+AD276</f>
        <v>10105</v>
      </c>
      <c r="AW276" s="73">
        <f>AT276+AV276+AU276</f>
        <v>11000</v>
      </c>
      <c r="AY276" s="74">
        <f>AZ276+BA276+BB276+BC276+BD276+BE276</f>
        <v>11000</v>
      </c>
      <c r="BA276" s="15">
        <v>11000</v>
      </c>
      <c r="BL276" s="18">
        <v>5</v>
      </c>
      <c r="BM276" s="90" t="s">
        <v>134</v>
      </c>
    </row>
    <row r="277" customHeight="1" spans="1:65">
      <c r="A277" s="1" t="s">
        <v>246</v>
      </c>
      <c r="B277" s="33">
        <v>10059841</v>
      </c>
      <c r="C277" s="3">
        <v>303</v>
      </c>
      <c r="L277" s="5">
        <f>E277+F277+H277+I277+J277+G277+K277</f>
        <v>0</v>
      </c>
      <c r="U277" s="7">
        <f>N277+O277+P277+Q277+S277+R277+T277</f>
        <v>0</v>
      </c>
      <c r="V277" s="3" t="s">
        <v>185</v>
      </c>
      <c r="AD277" s="9">
        <f>W277+X277+Y277+Z277+AA277+AB277+AC277</f>
        <v>0</v>
      </c>
      <c r="AF277" s="34"/>
      <c r="AG277" s="34"/>
      <c r="AH277" s="34"/>
      <c r="AN277" s="9">
        <f>AG277+AH277+AI277+AJ277+AK277+AL277+AM277</f>
        <v>0</v>
      </c>
      <c r="AR277" s="2" t="s">
        <v>250</v>
      </c>
      <c r="AS277" s="10">
        <v>5515</v>
      </c>
      <c r="AV277" s="64">
        <f>L277+U277+AD277</f>
        <v>0</v>
      </c>
      <c r="AW277" s="73">
        <f>AT277+AV277+AU277</f>
        <v>0</v>
      </c>
      <c r="AY277" s="74">
        <f>AZ277+BA277+BB277+BC277+BD277+BE277</f>
        <v>130</v>
      </c>
      <c r="BE277" s="17">
        <f>100+30</f>
        <v>130</v>
      </c>
      <c r="BM277" s="90" t="s">
        <v>251</v>
      </c>
    </row>
    <row r="278" customHeight="1" spans="1:65">
      <c r="A278" s="1" t="s">
        <v>246</v>
      </c>
      <c r="B278" s="33">
        <v>10059842</v>
      </c>
      <c r="C278" s="34" t="s">
        <v>65</v>
      </c>
      <c r="D278" s="3" t="s">
        <v>156</v>
      </c>
      <c r="E278" s="3">
        <v>2180</v>
      </c>
      <c r="G278" s="3">
        <v>27570</v>
      </c>
      <c r="K278" s="4">
        <f>35200-30684</f>
        <v>4516</v>
      </c>
      <c r="L278" s="5">
        <f>E278+F278+H278+I278+J278+G278+K278</f>
        <v>34266</v>
      </c>
      <c r="U278" s="7">
        <f>N278+O278+P278+Q278+S278+R278+T278</f>
        <v>0</v>
      </c>
      <c r="AD278" s="9">
        <f>W278+X278+Y278+Z278+AA278+AB278+AC278</f>
        <v>0</v>
      </c>
      <c r="AF278" s="34"/>
      <c r="AG278" s="34"/>
      <c r="AH278" s="34"/>
      <c r="AN278" s="9">
        <f>AG278+AH278+AI278+AJ278+AK278+AL278+AM278</f>
        <v>0</v>
      </c>
      <c r="AT278" s="11">
        <f>100+676+58+100</f>
        <v>934</v>
      </c>
      <c r="AV278" s="64">
        <f>L278+U278+AD278</f>
        <v>34266</v>
      </c>
      <c r="AW278" s="73">
        <f>AT278+AV278+AU278</f>
        <v>35200</v>
      </c>
      <c r="AY278" s="74">
        <f>AZ278+BA278+BB278+BC278+BD278+BE278</f>
        <v>35600</v>
      </c>
      <c r="BA278" s="15">
        <v>35200</v>
      </c>
      <c r="BC278" s="17">
        <v>390</v>
      </c>
      <c r="BD278" s="17">
        <v>10</v>
      </c>
      <c r="BL278" s="18">
        <v>4</v>
      </c>
      <c r="BM278" s="90" t="s">
        <v>134</v>
      </c>
    </row>
    <row r="279" customHeight="1" spans="1:65">
      <c r="A279" s="1" t="s">
        <v>246</v>
      </c>
      <c r="B279" s="33">
        <v>10059843</v>
      </c>
      <c r="C279" s="34" t="s">
        <v>54</v>
      </c>
      <c r="D279" s="3" t="s">
        <v>121</v>
      </c>
      <c r="E279" s="3">
        <v>2180</v>
      </c>
      <c r="I279" s="3">
        <v>10017</v>
      </c>
      <c r="K279" s="4">
        <f>15300-13369</f>
        <v>1931</v>
      </c>
      <c r="L279" s="5">
        <f>E279+F279+H279+I279+J279+G279+K279</f>
        <v>14128</v>
      </c>
      <c r="U279" s="7">
        <f>N279+O279+P279+Q279+S279+R279+T279</f>
        <v>0</v>
      </c>
      <c r="AD279" s="9">
        <f>W279+X279+Y279+Z279+AA279+AB279+AC279</f>
        <v>0</v>
      </c>
      <c r="AF279" s="34"/>
      <c r="AG279" s="34"/>
      <c r="AH279" s="34"/>
      <c r="AN279" s="9">
        <f>AG279+AH279+AI279+AJ279+AK279+AL279+AM279</f>
        <v>0</v>
      </c>
      <c r="AT279" s="11">
        <f>100+1014+58</f>
        <v>1172</v>
      </c>
      <c r="AV279" s="64">
        <f>L279+U279+AD279</f>
        <v>14128</v>
      </c>
      <c r="AW279" s="73">
        <f>AT279+AV279+AU279</f>
        <v>15300</v>
      </c>
      <c r="AY279" s="74">
        <f>AZ279+BA279+BB279+BC279+BD279+BE279</f>
        <v>15300</v>
      </c>
      <c r="BA279" s="15">
        <v>15300</v>
      </c>
      <c r="BL279" s="18">
        <v>8</v>
      </c>
      <c r="BM279" s="90" t="s">
        <v>134</v>
      </c>
    </row>
    <row r="280" customHeight="1" spans="1:65">
      <c r="A280" s="1" t="s">
        <v>246</v>
      </c>
      <c r="B280" s="33">
        <v>10059844</v>
      </c>
      <c r="C280" s="34" t="s">
        <v>89</v>
      </c>
      <c r="D280" s="3" t="s">
        <v>201</v>
      </c>
      <c r="E280" s="3">
        <v>2180</v>
      </c>
      <c r="G280" s="3">
        <v>17780</v>
      </c>
      <c r="K280" s="4">
        <f>25500-21181</f>
        <v>4319</v>
      </c>
      <c r="L280" s="5">
        <f>E280+F280+H280+I280+J280+G280+K280</f>
        <v>24279</v>
      </c>
      <c r="U280" s="7">
        <f>N280+O280+P280+Q280+S280+R280+T280</f>
        <v>0</v>
      </c>
      <c r="AD280" s="9">
        <f>W280+X280+Y280+Z280+AA280+AB280+AC280</f>
        <v>0</v>
      </c>
      <c r="AF280" s="34"/>
      <c r="AG280" s="34"/>
      <c r="AH280" s="34"/>
      <c r="AN280" s="9">
        <f>AG280+AH280+AI280+AJ280+AK280+AL280+AM280</f>
        <v>0</v>
      </c>
      <c r="AT280" s="11">
        <f>100+1014+49+58</f>
        <v>1221</v>
      </c>
      <c r="AV280" s="64">
        <f>L280+U280+AD280</f>
        <v>24279</v>
      </c>
      <c r="AW280" s="73">
        <f>AT280+AV280+AU280</f>
        <v>25500</v>
      </c>
      <c r="AY280" s="74">
        <f>AZ280+BA280+BB280+BC280+BD280+BE280</f>
        <v>25500</v>
      </c>
      <c r="BA280" s="15">
        <v>25500</v>
      </c>
      <c r="BL280" s="18">
        <v>5</v>
      </c>
      <c r="BM280" s="90" t="s">
        <v>130</v>
      </c>
    </row>
    <row r="281" customHeight="1" spans="1:65">
      <c r="A281" s="1" t="s">
        <v>246</v>
      </c>
      <c r="B281" s="33">
        <v>10059845</v>
      </c>
      <c r="C281" s="3">
        <v>303</v>
      </c>
      <c r="L281" s="5">
        <f>E281+F281+H281+I281+J281+G281+K281</f>
        <v>0</v>
      </c>
      <c r="M281" s="3" t="s">
        <v>252</v>
      </c>
      <c r="N281" s="3">
        <v>980</v>
      </c>
      <c r="S281" s="3">
        <v>1598</v>
      </c>
      <c r="T281" s="6">
        <v>122</v>
      </c>
      <c r="U281" s="7">
        <f>N281+O281+P281+Q281+S281+R281+T281</f>
        <v>2700</v>
      </c>
      <c r="AD281" s="9">
        <f>W281+X281+Y281+Z281+AA281+AB281+AC281</f>
        <v>0</v>
      </c>
      <c r="AF281" s="34"/>
      <c r="AG281" s="34"/>
      <c r="AH281" s="34"/>
      <c r="AN281" s="9">
        <f>AG281+AH281+AI281+AJ281+AK281+AL281+AM281</f>
        <v>0</v>
      </c>
      <c r="AT281" s="11">
        <v>100</v>
      </c>
      <c r="AV281" s="64">
        <f>L281+U281+AD281</f>
        <v>2700</v>
      </c>
      <c r="AW281" s="73">
        <f>AT281+AV281+AU281</f>
        <v>2800</v>
      </c>
      <c r="AY281" s="74">
        <f>AZ281+BA281+BB281+BC281+BD281+BE281</f>
        <v>2800</v>
      </c>
      <c r="BA281" s="15">
        <v>2800</v>
      </c>
      <c r="BL281" s="18">
        <v>1</v>
      </c>
      <c r="BM281" s="90" t="s">
        <v>196</v>
      </c>
    </row>
    <row r="282" customHeight="1" spans="1:65">
      <c r="A282" s="1" t="s">
        <v>246</v>
      </c>
      <c r="B282" s="33">
        <v>10059846</v>
      </c>
      <c r="C282" s="3">
        <v>318</v>
      </c>
      <c r="L282" s="5">
        <f>E282+F282+H282+I282+J282+G282+K282</f>
        <v>0</v>
      </c>
      <c r="M282" s="3" t="s">
        <v>126</v>
      </c>
      <c r="N282" s="3">
        <v>980</v>
      </c>
      <c r="P282" s="3">
        <v>11800</v>
      </c>
      <c r="T282" s="6">
        <v>1261</v>
      </c>
      <c r="U282" s="7">
        <f>N282+O282+P282+Q282+S282+R282+T282</f>
        <v>14041</v>
      </c>
      <c r="AD282" s="9">
        <f>W282+X282+Y282+Z282+AA282+AB282+AC282</f>
        <v>0</v>
      </c>
      <c r="AF282" s="34"/>
      <c r="AG282" s="34"/>
      <c r="AH282" s="34"/>
      <c r="AN282" s="9">
        <f>AG282+AH282+AI282+AJ282+AK282+AL282+AM282</f>
        <v>0</v>
      </c>
      <c r="AT282" s="11">
        <f>100+159</f>
        <v>259</v>
      </c>
      <c r="AV282" s="64">
        <f>L282+U282+AD282</f>
        <v>14041</v>
      </c>
      <c r="AW282" s="73">
        <f>AT282+AV282+AU282</f>
        <v>14300</v>
      </c>
      <c r="AY282" s="74">
        <f>AZ282+BA282+BB282+BC282+BD282+BE282</f>
        <v>14300</v>
      </c>
      <c r="BA282" s="15">
        <v>14300</v>
      </c>
      <c r="BL282" s="18">
        <v>6</v>
      </c>
      <c r="BM282" s="90" t="s">
        <v>134</v>
      </c>
    </row>
    <row r="283" customHeight="1" spans="1:65">
      <c r="A283" s="1" t="s">
        <v>246</v>
      </c>
      <c r="B283" s="33">
        <v>10059847</v>
      </c>
      <c r="C283" s="34" t="s">
        <v>67</v>
      </c>
      <c r="D283" s="3" t="s">
        <v>129</v>
      </c>
      <c r="E283" s="3">
        <v>2180</v>
      </c>
      <c r="I283" s="3">
        <v>7854</v>
      </c>
      <c r="K283" s="4">
        <f>13900-11475</f>
        <v>2425</v>
      </c>
      <c r="L283" s="5">
        <f>E283+F283+H283+I283+J283+G283+K283</f>
        <v>12459</v>
      </c>
      <c r="U283" s="7">
        <f>N283+O283+P283+Q283+S283+R283+T283</f>
        <v>0</v>
      </c>
      <c r="AD283" s="9">
        <f>W283+X283+Y283+Z283+AA283+AB283+AC283</f>
        <v>0</v>
      </c>
      <c r="AF283" s="34"/>
      <c r="AG283" s="34"/>
      <c r="AH283" s="34"/>
      <c r="AN283" s="9">
        <f>AG283+AH283+AI283+AJ283+AK283+AL283+AM283</f>
        <v>0</v>
      </c>
      <c r="AT283" s="11">
        <f>100+1183+58+100</f>
        <v>1441</v>
      </c>
      <c r="AV283" s="64">
        <f>L283+U283+AD283</f>
        <v>12459</v>
      </c>
      <c r="AW283" s="73">
        <f>AT283+AV283+AU283</f>
        <v>13900</v>
      </c>
      <c r="AY283" s="74">
        <f>AZ283+BA283+BB283+BC283+BD283+BE283</f>
        <v>13900</v>
      </c>
      <c r="BA283" s="15">
        <v>13900</v>
      </c>
      <c r="BL283" s="18">
        <v>3</v>
      </c>
      <c r="BM283" s="90" t="s">
        <v>61</v>
      </c>
    </row>
    <row r="284" customHeight="1" spans="1:64">
      <c r="A284" s="1" t="s">
        <v>246</v>
      </c>
      <c r="B284" s="33">
        <v>10059848</v>
      </c>
      <c r="C284" s="3" t="s">
        <v>97</v>
      </c>
      <c r="D284" s="3" t="s">
        <v>253</v>
      </c>
      <c r="E284" s="3">
        <v>2180</v>
      </c>
      <c r="G284" s="3">
        <v>8890</v>
      </c>
      <c r="I284" s="3">
        <v>1908</v>
      </c>
      <c r="K284" s="4">
        <f>15500-13516</f>
        <v>1984</v>
      </c>
      <c r="L284" s="5">
        <f>E284+F284+H284+I284+J284+G284+K284</f>
        <v>14962</v>
      </c>
      <c r="U284" s="7">
        <f>N284+O284+P284+Q284+S284+R284+T284</f>
        <v>0</v>
      </c>
      <c r="AD284" s="9">
        <f>W284+X284+Y284+Z284+AA284+AB284+AC284</f>
        <v>0</v>
      </c>
      <c r="AF284" s="34"/>
      <c r="AG284" s="34"/>
      <c r="AH284" s="34"/>
      <c r="AN284" s="9">
        <f>AG284+AH284+AI284+AJ284+AK284+AL284+AM284</f>
        <v>0</v>
      </c>
      <c r="AT284" s="11">
        <f>100+338+100</f>
        <v>538</v>
      </c>
      <c r="AV284" s="64">
        <f>L284+U284+AD284</f>
        <v>14962</v>
      </c>
      <c r="AW284" s="73">
        <f>AT284+AV284+AU284</f>
        <v>15500</v>
      </c>
      <c r="AY284" s="74">
        <f>AZ284+BA284+BB284+BC284+BD284+BE284</f>
        <v>15500</v>
      </c>
      <c r="BA284" s="15">
        <v>15500</v>
      </c>
      <c r="BL284" s="18">
        <v>3</v>
      </c>
    </row>
    <row r="285" customHeight="1" spans="1:65">
      <c r="A285" s="1" t="s">
        <v>246</v>
      </c>
      <c r="B285" s="33">
        <v>10059849</v>
      </c>
      <c r="C285" s="34" t="s">
        <v>59</v>
      </c>
      <c r="D285" s="3" t="s">
        <v>85</v>
      </c>
      <c r="E285" s="3">
        <v>2180</v>
      </c>
      <c r="G285" s="3">
        <v>18380</v>
      </c>
      <c r="J285" s="3">
        <f>129+168+129</f>
        <v>426</v>
      </c>
      <c r="K285" s="4">
        <f>27250-22111</f>
        <v>5139</v>
      </c>
      <c r="L285" s="5">
        <f>E285+F285+H285+I285+J285+G285+K285</f>
        <v>26125</v>
      </c>
      <c r="U285" s="7">
        <f>N285+O285+P285+Q285+S285+R285+T285</f>
        <v>0</v>
      </c>
      <c r="AD285" s="9">
        <f>W285+X285+Y285+Z285+AA285+AB285+AC285</f>
        <v>0</v>
      </c>
      <c r="AF285" s="34"/>
      <c r="AG285" s="34"/>
      <c r="AH285" s="34"/>
      <c r="AN285" s="9">
        <f>AG285+AH285+AI285+AJ285+AK285+AL285+AM285</f>
        <v>0</v>
      </c>
      <c r="AT285" s="11">
        <f>100+100+676+49+200</f>
        <v>1125</v>
      </c>
      <c r="AV285" s="64">
        <f>L285+U285+AD285</f>
        <v>26125</v>
      </c>
      <c r="AW285" s="73">
        <f>AT285+AV285+AU285</f>
        <v>27250</v>
      </c>
      <c r="AX285" s="13" t="s">
        <v>142</v>
      </c>
      <c r="AY285" s="74">
        <f>AZ285+BA285+BB285+BC285+BD285+BE285</f>
        <v>27250</v>
      </c>
      <c r="AZ285" s="14">
        <v>27250</v>
      </c>
      <c r="BL285" s="18">
        <v>6</v>
      </c>
      <c r="BM285" s="90" t="s">
        <v>153</v>
      </c>
    </row>
    <row r="286" customHeight="1" spans="1:65">
      <c r="A286" s="1" t="s">
        <v>246</v>
      </c>
      <c r="B286" s="33">
        <v>10059850</v>
      </c>
      <c r="C286" s="34" t="s">
        <v>84</v>
      </c>
      <c r="D286" s="3" t="s">
        <v>202</v>
      </c>
      <c r="E286" s="3">
        <v>2580</v>
      </c>
      <c r="G286" s="3">
        <v>11780</v>
      </c>
      <c r="I286" s="3">
        <v>7632</v>
      </c>
      <c r="J286" s="3">
        <f>276</f>
        <v>276</v>
      </c>
      <c r="K286" s="4">
        <f>29400-24018</f>
        <v>5382</v>
      </c>
      <c r="L286" s="5">
        <f>E286+F286+H286+I286+J286+G286+K286</f>
        <v>27650</v>
      </c>
      <c r="U286" s="7">
        <f>N286+O286+P286+Q286+S286+R286+T286</f>
        <v>0</v>
      </c>
      <c r="AD286" s="9">
        <f>W286+X286+Y286+Z286+AA286+AB286+AC286</f>
        <v>0</v>
      </c>
      <c r="AF286" s="34"/>
      <c r="AG286" s="34"/>
      <c r="AH286" s="34"/>
      <c r="AN286" s="9">
        <f>AG286+AH286+AI286+AJ286+AK286+AL286+AM286</f>
        <v>0</v>
      </c>
      <c r="AT286" s="11">
        <f>100+338+1183+29+100</f>
        <v>1750</v>
      </c>
      <c r="AV286" s="64">
        <f>L286+U286+AD286</f>
        <v>27650</v>
      </c>
      <c r="AW286" s="73">
        <f>AT286+AV286+AU286</f>
        <v>29400</v>
      </c>
      <c r="AY286" s="74">
        <f>AZ286+BA286+BB286+BC286+BD286+BE286</f>
        <v>29400</v>
      </c>
      <c r="BA286" s="15">
        <v>29400</v>
      </c>
      <c r="BL286" s="18">
        <v>7</v>
      </c>
      <c r="BM286" s="90" t="s">
        <v>254</v>
      </c>
    </row>
    <row r="287" customHeight="1" spans="1:64">
      <c r="A287" s="1" t="s">
        <v>255</v>
      </c>
      <c r="B287" s="33">
        <v>10059851</v>
      </c>
      <c r="C287" s="3">
        <v>309</v>
      </c>
      <c r="D287" s="3" t="s">
        <v>232</v>
      </c>
      <c r="E287" s="3">
        <v>980</v>
      </c>
      <c r="I287" s="3">
        <v>5712</v>
      </c>
      <c r="K287" s="4">
        <f>10200-8223</f>
        <v>1977</v>
      </c>
      <c r="L287" s="5">
        <f>E287+F287+H287+I287+J287+G287+K287</f>
        <v>8669</v>
      </c>
      <c r="U287" s="7">
        <f>N287+O287+P287+Q287+S287+R287+T287</f>
        <v>0</v>
      </c>
      <c r="AD287" s="9">
        <f>W287+X287+Y287+Z287+AA287+AB287+AC287</f>
        <v>0</v>
      </c>
      <c r="AF287" s="34"/>
      <c r="AG287" s="34"/>
      <c r="AH287" s="34"/>
      <c r="AN287" s="9">
        <f>AG287+AH287+AI287+AJ287+AK287+AL287+AM287</f>
        <v>0</v>
      </c>
      <c r="AT287" s="11">
        <f>100+1431</f>
        <v>1531</v>
      </c>
      <c r="AV287" s="64">
        <f>L287+U287+AD287</f>
        <v>8669</v>
      </c>
      <c r="AW287" s="73">
        <f>AT287+AV287+AU287</f>
        <v>10200</v>
      </c>
      <c r="AY287" s="74">
        <f>AZ287+BA287+BB287+BC287+BD287+BE287</f>
        <v>10200</v>
      </c>
      <c r="AZ287" s="14">
        <v>10200</v>
      </c>
      <c r="BL287" s="18">
        <v>7</v>
      </c>
    </row>
    <row r="288" customHeight="1" spans="1:65">
      <c r="A288" s="1" t="s">
        <v>255</v>
      </c>
      <c r="B288" s="33">
        <v>10059852</v>
      </c>
      <c r="C288" s="3">
        <v>311</v>
      </c>
      <c r="L288" s="5">
        <f>E288+F288+H288+I288+J288+G288+K288</f>
        <v>0</v>
      </c>
      <c r="M288" s="3" t="s">
        <v>53</v>
      </c>
      <c r="N288" s="3">
        <v>980</v>
      </c>
      <c r="R288" s="3">
        <v>5712</v>
      </c>
      <c r="T288" s="6">
        <v>872</v>
      </c>
      <c r="U288" s="7">
        <f>N288+O288+P288+Q288+S288+R288+T288</f>
        <v>7564</v>
      </c>
      <c r="AD288" s="9">
        <f>W288+X288+Y288+Z288+AA288+AB288+AC288</f>
        <v>0</v>
      </c>
      <c r="AF288" s="34"/>
      <c r="AG288" s="34"/>
      <c r="AH288" s="34"/>
      <c r="AN288" s="9">
        <f>AG288+AH288+AI288+AJ288+AK288+AL288+AM288</f>
        <v>0</v>
      </c>
      <c r="AT288" s="11">
        <f>100+636</f>
        <v>736</v>
      </c>
      <c r="AV288" s="64">
        <f>L288+U288+AD288</f>
        <v>7564</v>
      </c>
      <c r="AW288" s="73">
        <f>AT288+AV288+AU288</f>
        <v>8300</v>
      </c>
      <c r="AY288" s="74">
        <f>AZ288+BA288+BB288+BC288+BD288+BE288</f>
        <v>8300</v>
      </c>
      <c r="BA288" s="15">
        <v>8300</v>
      </c>
      <c r="BL288" s="18">
        <v>4</v>
      </c>
      <c r="BM288" s="90" t="s">
        <v>61</v>
      </c>
    </row>
    <row r="289" customHeight="1" spans="1:64">
      <c r="A289" s="1" t="s">
        <v>255</v>
      </c>
      <c r="B289" s="33">
        <v>10059853</v>
      </c>
      <c r="C289" s="3">
        <v>316</v>
      </c>
      <c r="D289" s="3" t="s">
        <v>237</v>
      </c>
      <c r="E289" s="3">
        <v>980</v>
      </c>
      <c r="I289" s="3">
        <v>1428</v>
      </c>
      <c r="K289" s="4">
        <f>3200-2826</f>
        <v>374</v>
      </c>
      <c r="L289" s="5">
        <f>E289+F289+H289+I289+J289+G289+K289</f>
        <v>2782</v>
      </c>
      <c r="U289" s="7">
        <f>N289+O289+P289+Q289+S289+R289+T289</f>
        <v>0</v>
      </c>
      <c r="AD289" s="9">
        <f>W289+X289+Y289+Z289+AA289+AB289+AC289</f>
        <v>0</v>
      </c>
      <c r="AF289" s="34"/>
      <c r="AG289" s="34"/>
      <c r="AH289" s="34"/>
      <c r="AN289" s="9">
        <f>AG289+AH289+AI289+AJ289+AK289+AL289+AM289</f>
        <v>0</v>
      </c>
      <c r="AT289" s="11">
        <f>100+318</f>
        <v>418</v>
      </c>
      <c r="AV289" s="64">
        <f>L289+U289+AD289</f>
        <v>2782</v>
      </c>
      <c r="AW289" s="73">
        <f>AT289+AV289+AU289</f>
        <v>3200</v>
      </c>
      <c r="AY289" s="74">
        <f>AZ289+BA289+BB289+BC289+BD289+BE289</f>
        <v>3230</v>
      </c>
      <c r="BA289" s="15">
        <v>3200</v>
      </c>
      <c r="BE289" s="17">
        <v>30</v>
      </c>
      <c r="BL289" s="18">
        <v>1</v>
      </c>
    </row>
    <row r="290" customHeight="1" spans="1:64">
      <c r="A290" s="1" t="s">
        <v>255</v>
      </c>
      <c r="B290" s="33">
        <v>10059854</v>
      </c>
      <c r="C290" s="34" t="s">
        <v>107</v>
      </c>
      <c r="D290" s="3" t="s">
        <v>75</v>
      </c>
      <c r="E290" s="3">
        <v>1299</v>
      </c>
      <c r="I290" s="3">
        <f>2856+595+595</f>
        <v>4046</v>
      </c>
      <c r="J290" s="3">
        <v>99</v>
      </c>
      <c r="K290" s="4">
        <f>7050-6021</f>
        <v>1029</v>
      </c>
      <c r="L290" s="5">
        <f>E290+F290+H290+I290+J290+G290+K290</f>
        <v>6473</v>
      </c>
      <c r="U290" s="7">
        <f>N290+O290+P290+Q290+S290+R290+T290</f>
        <v>0</v>
      </c>
      <c r="AD290" s="9">
        <f>W290+X290+Y290+Z290+AA290+AB290+AC290</f>
        <v>0</v>
      </c>
      <c r="AF290" s="34"/>
      <c r="AG290" s="34"/>
      <c r="AH290" s="34"/>
      <c r="AN290" s="9">
        <f>AG290+AH290+AI290+AJ290+AK290+AL290+AM290</f>
        <v>0</v>
      </c>
      <c r="AT290" s="11">
        <f>100+477</f>
        <v>577</v>
      </c>
      <c r="AV290" s="64">
        <f>L290+U290+AD290</f>
        <v>6473</v>
      </c>
      <c r="AW290" s="73">
        <f>AT290+AV290+AU290</f>
        <v>7050</v>
      </c>
      <c r="AY290" s="74">
        <f>AZ290+BA290+BB290+BC290+BD290+BE290</f>
        <v>7050</v>
      </c>
      <c r="BA290" s="15">
        <v>7050</v>
      </c>
      <c r="BL290" s="18">
        <v>5</v>
      </c>
    </row>
    <row r="291" customHeight="1" spans="1:65">
      <c r="A291" s="1" t="s">
        <v>255</v>
      </c>
      <c r="B291" s="33">
        <v>10059855</v>
      </c>
      <c r="C291" s="3">
        <v>312</v>
      </c>
      <c r="D291" s="3" t="s">
        <v>165</v>
      </c>
      <c r="E291" s="3">
        <v>980</v>
      </c>
      <c r="I291" s="3">
        <v>2856</v>
      </c>
      <c r="K291" s="4">
        <f>4800-4254</f>
        <v>546</v>
      </c>
      <c r="L291" s="5">
        <f>E291+F291+H291+I291+J291+G291+K291</f>
        <v>4382</v>
      </c>
      <c r="U291" s="7">
        <f>N291+O291+P291+Q291+S291+R291+T291</f>
        <v>0</v>
      </c>
      <c r="AD291" s="9">
        <f>W291+X291+Y291+Z291+AA291+AB291+AC291</f>
        <v>0</v>
      </c>
      <c r="AF291" s="34"/>
      <c r="AG291" s="34"/>
      <c r="AH291" s="34"/>
      <c r="AN291" s="9">
        <f>AG291+AH291+AI291+AJ291+AK291+AL291+AM291</f>
        <v>0</v>
      </c>
      <c r="AT291" s="11">
        <f>100+318</f>
        <v>418</v>
      </c>
      <c r="AV291" s="64">
        <f>L291+U291+AD291</f>
        <v>4382</v>
      </c>
      <c r="AW291" s="73">
        <f>AT291+AV291+AU291</f>
        <v>4800</v>
      </c>
      <c r="AY291" s="74">
        <f>AZ291+BA291+BB291+BC291+BD291+BE291</f>
        <v>4800</v>
      </c>
      <c r="BA291" s="15">
        <v>4800</v>
      </c>
      <c r="BL291" s="18">
        <v>2</v>
      </c>
      <c r="BM291" s="90" t="s">
        <v>61</v>
      </c>
    </row>
    <row r="292" customHeight="1" spans="1:65">
      <c r="A292" s="1" t="s">
        <v>255</v>
      </c>
      <c r="B292" s="33">
        <v>10059856</v>
      </c>
      <c r="C292" s="3">
        <v>302</v>
      </c>
      <c r="D292" s="3" t="s">
        <v>121</v>
      </c>
      <c r="E292" s="3">
        <v>980</v>
      </c>
      <c r="I292" s="3">
        <v>2856</v>
      </c>
      <c r="K292" s="4">
        <f>5300-4543</f>
        <v>757</v>
      </c>
      <c r="L292" s="5">
        <f>E292+F292+H292+I292+J292+G292+K292</f>
        <v>4593</v>
      </c>
      <c r="U292" s="7">
        <f>N292+O292+P292+Q292+S292+R292+T292</f>
        <v>0</v>
      </c>
      <c r="AD292" s="9">
        <f>W292+X292+Y292+Z292+AA292+AB292+AC292</f>
        <v>0</v>
      </c>
      <c r="AF292" s="34"/>
      <c r="AG292" s="34"/>
      <c r="AH292" s="34"/>
      <c r="AN292" s="9">
        <f>AG292+AH292+AI292+AJ292+AK292+AL292+AM292</f>
        <v>0</v>
      </c>
      <c r="AT292" s="11">
        <f>100+130+477</f>
        <v>707</v>
      </c>
      <c r="AV292" s="64">
        <f>L292+U292+AD292</f>
        <v>4593</v>
      </c>
      <c r="AW292" s="73">
        <f>AT292+AV292+AU292</f>
        <v>5300</v>
      </c>
      <c r="AY292" s="74">
        <f>AZ292+BA292+BB292+BC292+BD292+BE292</f>
        <v>6900</v>
      </c>
      <c r="BA292" s="15">
        <v>5300</v>
      </c>
      <c r="BC292" s="17">
        <v>1550</v>
      </c>
      <c r="BD292" s="17">
        <v>50</v>
      </c>
      <c r="BL292" s="18">
        <v>3</v>
      </c>
      <c r="BM292" s="90" t="s">
        <v>143</v>
      </c>
    </row>
    <row r="293" customHeight="1" spans="1:65">
      <c r="A293" s="1" t="s">
        <v>255</v>
      </c>
      <c r="B293" s="33">
        <v>10059857</v>
      </c>
      <c r="C293" s="3">
        <v>320</v>
      </c>
      <c r="D293" s="3" t="s">
        <v>181</v>
      </c>
      <c r="E293" s="3">
        <v>1299</v>
      </c>
      <c r="I293" s="3">
        <v>7632</v>
      </c>
      <c r="K293" s="4">
        <f>11650-10144</f>
        <v>1506</v>
      </c>
      <c r="L293" s="5">
        <f>E293+F293+H293+I293+J293+G293+K293</f>
        <v>10437</v>
      </c>
      <c r="U293" s="7">
        <f>N293+O293+P293+Q293+S293+R293+T293</f>
        <v>0</v>
      </c>
      <c r="AD293" s="9">
        <f>W293+X293+Y293+Z293+AA293+AB293+AC293</f>
        <v>0</v>
      </c>
      <c r="AF293" s="34"/>
      <c r="AG293" s="34"/>
      <c r="AH293" s="34"/>
      <c r="AN293" s="9">
        <f>AG293+AH293+AI293+AJ293+AK293+AL293+AM293</f>
        <v>0</v>
      </c>
      <c r="AT293" s="11">
        <f>100+1113</f>
        <v>1213</v>
      </c>
      <c r="AV293" s="64">
        <f>L293+U293+AD293</f>
        <v>10437</v>
      </c>
      <c r="AW293" s="73">
        <f>AT293+AV293+AU293</f>
        <v>11650</v>
      </c>
      <c r="AY293" s="74">
        <f>AZ293+BA293+BB293+BC293+BD293+BE293</f>
        <v>11650</v>
      </c>
      <c r="BA293" s="15">
        <v>11650</v>
      </c>
      <c r="BL293" s="18">
        <v>7</v>
      </c>
      <c r="BM293" s="90" t="s">
        <v>153</v>
      </c>
    </row>
    <row r="294" customHeight="1" spans="1:65">
      <c r="A294" s="1" t="s">
        <v>255</v>
      </c>
      <c r="B294" s="33">
        <v>10059858</v>
      </c>
      <c r="C294" s="34" t="s">
        <v>54</v>
      </c>
      <c r="L294" s="5">
        <f>E294+F294+H294+I294+J294+G294+K294</f>
        <v>0</v>
      </c>
      <c r="M294" s="3" t="s">
        <v>256</v>
      </c>
      <c r="N294" s="3">
        <v>2180</v>
      </c>
      <c r="R294" s="3">
        <v>9540</v>
      </c>
      <c r="T294" s="6">
        <v>1986</v>
      </c>
      <c r="U294" s="7">
        <f>N294+O294+P294+Q294+S294+R294+T294</f>
        <v>13706</v>
      </c>
      <c r="AD294" s="9">
        <f>W294+X294+Y294+Z294+AA294+AB294+AC294</f>
        <v>0</v>
      </c>
      <c r="AF294" s="34"/>
      <c r="AG294" s="34"/>
      <c r="AH294" s="34"/>
      <c r="AN294" s="9">
        <f>AG294+AH294+AI294+AJ294+AK294+AL294+AM294</f>
        <v>0</v>
      </c>
      <c r="AT294" s="11">
        <f>100+49+845</f>
        <v>994</v>
      </c>
      <c r="AV294" s="64">
        <f>L294+U294+AD294</f>
        <v>13706</v>
      </c>
      <c r="AW294" s="73">
        <f>AT294+AV294+AU294</f>
        <v>14700</v>
      </c>
      <c r="AY294" s="74">
        <f>AZ294+BA294+BB294+BC294+BD294+BE294</f>
        <v>14700</v>
      </c>
      <c r="BA294" s="15">
        <v>14700</v>
      </c>
      <c r="BL294" s="18">
        <v>4</v>
      </c>
      <c r="BM294" s="90" t="s">
        <v>153</v>
      </c>
    </row>
    <row r="295" customHeight="1" spans="1:65">
      <c r="A295" s="1" t="s">
        <v>255</v>
      </c>
      <c r="B295" s="33">
        <v>10059859</v>
      </c>
      <c r="C295" s="34" t="s">
        <v>65</v>
      </c>
      <c r="D295" s="3" t="s">
        <v>82</v>
      </c>
      <c r="E295" s="3">
        <v>2180</v>
      </c>
      <c r="G295" s="3">
        <v>8890</v>
      </c>
      <c r="K295" s="4">
        <f>13800-11875</f>
        <v>1925</v>
      </c>
      <c r="L295" s="5">
        <f>E295+F295+H295+I295+J295+G295+K295</f>
        <v>12995</v>
      </c>
      <c r="U295" s="7">
        <f>N295+O295+P295+Q295+S295+R295+T295</f>
        <v>0</v>
      </c>
      <c r="AD295" s="9">
        <f>W295+X295+Y295+Z295+AA295+AB295+AC295</f>
        <v>0</v>
      </c>
      <c r="AF295" s="34"/>
      <c r="AG295" s="34"/>
      <c r="AH295" s="34"/>
      <c r="AN295" s="9">
        <f>AG295+AH295+AI295+AJ295+AK295+AL295+AM295</f>
        <v>0</v>
      </c>
      <c r="AT295" s="11">
        <f>100+676+29</f>
        <v>805</v>
      </c>
      <c r="AV295" s="64">
        <f>L295+U295+AD295</f>
        <v>12995</v>
      </c>
      <c r="AW295" s="73">
        <f>AT295+AV295+AU295</f>
        <v>13800</v>
      </c>
      <c r="AY295" s="74">
        <f>AZ295+BA295+BB295+BC295+BD295+BE295</f>
        <v>13800</v>
      </c>
      <c r="BA295" s="15">
        <v>13800</v>
      </c>
      <c r="BL295" s="18">
        <v>3</v>
      </c>
      <c r="BM295" s="90" t="s">
        <v>153</v>
      </c>
    </row>
    <row r="296" customHeight="1" spans="1:65">
      <c r="A296" s="1" t="s">
        <v>255</v>
      </c>
      <c r="B296" s="33">
        <v>10059860</v>
      </c>
      <c r="C296" s="34" t="s">
        <v>89</v>
      </c>
      <c r="D296" s="3" t="s">
        <v>85</v>
      </c>
      <c r="E296" s="3">
        <v>2180</v>
      </c>
      <c r="I296" s="3">
        <v>7632</v>
      </c>
      <c r="J296" s="3">
        <f>2193+336</f>
        <v>2529</v>
      </c>
      <c r="K296" s="4">
        <f>14900-13166</f>
        <v>1734</v>
      </c>
      <c r="L296" s="5">
        <f>E296+F296+H296+I296+J296+G296+K296</f>
        <v>14075</v>
      </c>
      <c r="U296" s="7">
        <f>N296+O296+P296+Q296+S296+R296+T296</f>
        <v>0</v>
      </c>
      <c r="AD296" s="9">
        <f>W296+X296+Y296+Z296+AA296+AB296+AC296</f>
        <v>0</v>
      </c>
      <c r="AF296" s="34"/>
      <c r="AG296" s="34"/>
      <c r="AH296" s="34"/>
      <c r="AN296" s="9">
        <f>AG296+AH296+AI296+AJ296+AK296+AL296+AM296</f>
        <v>0</v>
      </c>
      <c r="AT296" s="11">
        <f>100+676+49</f>
        <v>825</v>
      </c>
      <c r="AV296" s="64">
        <f>L296+U296+AD296</f>
        <v>14075</v>
      </c>
      <c r="AW296" s="73">
        <f>AT296+AV296+AU296</f>
        <v>14900</v>
      </c>
      <c r="AY296" s="74">
        <f>AZ296+BA296+BB296+BC296+BD296+BE296</f>
        <v>14900</v>
      </c>
      <c r="BA296" s="15">
        <v>14900</v>
      </c>
      <c r="BL296" s="18">
        <v>4</v>
      </c>
      <c r="BM296" s="90" t="s">
        <v>196</v>
      </c>
    </row>
    <row r="297" customHeight="1" spans="1:65">
      <c r="A297" s="1" t="s">
        <v>255</v>
      </c>
      <c r="B297" s="33">
        <v>10059861</v>
      </c>
      <c r="C297" s="34" t="s">
        <v>59</v>
      </c>
      <c r="D297" s="3" t="s">
        <v>137</v>
      </c>
      <c r="E297" s="3">
        <v>2180</v>
      </c>
      <c r="G297" s="3">
        <v>11970</v>
      </c>
      <c r="I297" s="3">
        <v>477</v>
      </c>
      <c r="K297" s="4">
        <f>17800-15403</f>
        <v>2397</v>
      </c>
      <c r="L297" s="5">
        <f>E297+F297+H297+I297+J297+G297+K297</f>
        <v>17024</v>
      </c>
      <c r="U297" s="7">
        <f>N297+O297+P297+Q297+S297+R297+T297</f>
        <v>0</v>
      </c>
      <c r="AD297" s="9">
        <f>W297+X297+Y297+Z297+AA297+AB297+AC297</f>
        <v>0</v>
      </c>
      <c r="AF297" s="34"/>
      <c r="AG297" s="34"/>
      <c r="AH297" s="34"/>
      <c r="AN297" s="9">
        <f>AG297+AH297+AI297+AJ297+AK297+AL297+AM297</f>
        <v>0</v>
      </c>
      <c r="AT297" s="11">
        <f>100+676</f>
        <v>776</v>
      </c>
      <c r="AV297" s="64">
        <f>L297+U297+AD297</f>
        <v>17024</v>
      </c>
      <c r="AW297" s="73">
        <f>AT297+AV297+AU297</f>
        <v>17800</v>
      </c>
      <c r="AY297" s="74">
        <f>AZ297+BA297+BB297+BC297+BD297+BE297</f>
        <v>17800</v>
      </c>
      <c r="BA297" s="15">
        <v>17800</v>
      </c>
      <c r="BL297" s="18">
        <v>5</v>
      </c>
      <c r="BM297" s="90" t="s">
        <v>153</v>
      </c>
    </row>
    <row r="298" customHeight="1" spans="1:65">
      <c r="A298" s="1" t="s">
        <v>255</v>
      </c>
      <c r="B298" s="33">
        <v>10059862</v>
      </c>
      <c r="C298" s="34" t="s">
        <v>56</v>
      </c>
      <c r="D298" s="3" t="s">
        <v>85</v>
      </c>
      <c r="E298" s="3">
        <v>3180</v>
      </c>
      <c r="G298" s="3">
        <v>9190</v>
      </c>
      <c r="J298" s="3">
        <f>2451+336</f>
        <v>2787</v>
      </c>
      <c r="K298" s="4">
        <f>19800-15595</f>
        <v>4205</v>
      </c>
      <c r="L298" s="5">
        <f>E298+F298+H298+I298+J298+G298+K298</f>
        <v>19362</v>
      </c>
      <c r="U298" s="7">
        <f>N298+O298+P298+Q298+S298+R298+T298</f>
        <v>0</v>
      </c>
      <c r="AD298" s="9">
        <f>W298+X298+Y298+Z298+AA298+AB298+AC298</f>
        <v>0</v>
      </c>
      <c r="AF298" s="34"/>
      <c r="AG298" s="34"/>
      <c r="AH298" s="34"/>
      <c r="AN298" s="9">
        <f>AG298+AH298+AI298+AJ298+AK298+AL298+AM298</f>
        <v>0</v>
      </c>
      <c r="AT298" s="11">
        <f>100+338</f>
        <v>438</v>
      </c>
      <c r="AV298" s="64">
        <f>L298+U298+AD298</f>
        <v>19362</v>
      </c>
      <c r="AW298" s="73">
        <f>AT298+AV298+AU298</f>
        <v>19800</v>
      </c>
      <c r="AX298" s="13" t="s">
        <v>142</v>
      </c>
      <c r="AY298" s="74">
        <f>AZ298+BA298+BB298+BC298+BD298+BE298</f>
        <v>19800</v>
      </c>
      <c r="BB298" s="16">
        <v>19800</v>
      </c>
      <c r="BL298" s="18">
        <v>9</v>
      </c>
      <c r="BM298" s="90" t="s">
        <v>153</v>
      </c>
    </row>
    <row r="299" customHeight="1" spans="1:65">
      <c r="A299" s="1" t="s">
        <v>255</v>
      </c>
      <c r="B299" s="33">
        <v>10059863</v>
      </c>
      <c r="C299" s="34" t="s">
        <v>78</v>
      </c>
      <c r="D299" s="3" t="s">
        <v>115</v>
      </c>
      <c r="E299" s="3">
        <v>2580</v>
      </c>
      <c r="G299" s="3">
        <v>18380</v>
      </c>
      <c r="K299" s="4">
        <f>24400-21765</f>
        <v>2635</v>
      </c>
      <c r="L299" s="5">
        <f>E299+F299+H299+I299+J299+G299+K299</f>
        <v>23595</v>
      </c>
      <c r="U299" s="7">
        <f>N299+O299+P299+Q299+S299+R299+T299</f>
        <v>0</v>
      </c>
      <c r="AD299" s="9">
        <f>W299+X299+Y299+Z299+AA299+AB299+AC299</f>
        <v>0</v>
      </c>
      <c r="AF299" s="34"/>
      <c r="AG299" s="34"/>
      <c r="AH299" s="34"/>
      <c r="AN299" s="9">
        <f>AG299+AH299+AI299+AJ299+AK299+AL299+AM299</f>
        <v>0</v>
      </c>
      <c r="AT299" s="11">
        <f>100+676+29</f>
        <v>805</v>
      </c>
      <c r="AV299" s="64">
        <f>L299+U299+AD299</f>
        <v>23595</v>
      </c>
      <c r="AW299" s="73">
        <f>AT299+AV299+AU299</f>
        <v>24400</v>
      </c>
      <c r="AY299" s="74">
        <f>AZ299+BA299+BB299+BC299+BD299+BE299</f>
        <v>24400</v>
      </c>
      <c r="BA299" s="15">
        <v>24400</v>
      </c>
      <c r="BL299" s="18">
        <v>6</v>
      </c>
      <c r="BM299" s="90" t="s">
        <v>61</v>
      </c>
    </row>
    <row r="300" customHeight="1" spans="1:65">
      <c r="A300" s="1" t="s">
        <v>257</v>
      </c>
      <c r="B300" s="33">
        <v>10059864</v>
      </c>
      <c r="C300" s="3" t="s">
        <v>70</v>
      </c>
      <c r="D300" s="34" t="s">
        <v>258</v>
      </c>
      <c r="E300" s="3">
        <v>1880</v>
      </c>
      <c r="I300" s="3">
        <v>7632</v>
      </c>
      <c r="K300" s="4">
        <f>11800-10456</f>
        <v>1344</v>
      </c>
      <c r="L300" s="5">
        <f>E300+F300+H300+I300+J300+G300+K300</f>
        <v>10856</v>
      </c>
      <c r="U300" s="7">
        <f>N300+O300+P300+Q300+S300+R300+T300</f>
        <v>0</v>
      </c>
      <c r="AD300" s="9">
        <f>W300+X300+Y300+Z300+AA300+AB300+AC300</f>
        <v>0</v>
      </c>
      <c r="AF300" s="34"/>
      <c r="AG300" s="34"/>
      <c r="AH300" s="34"/>
      <c r="AN300" s="9">
        <f>AG300+AH300+AI300+AJ300+AK300+AL300+AM300</f>
        <v>0</v>
      </c>
      <c r="AT300" s="11">
        <f>100+795+49</f>
        <v>944</v>
      </c>
      <c r="AV300" s="64">
        <f>L300+U300+AD300</f>
        <v>10856</v>
      </c>
      <c r="AW300" s="73">
        <f>AT300+AV300+AU300</f>
        <v>11800</v>
      </c>
      <c r="AY300" s="74">
        <f>AZ300+BA300+BB300+BC300+BD300+BE300</f>
        <v>11800</v>
      </c>
      <c r="BA300" s="15">
        <v>11800</v>
      </c>
      <c r="BL300" s="18">
        <v>5</v>
      </c>
      <c r="BM300" s="90" t="s">
        <v>254</v>
      </c>
    </row>
    <row r="301" customHeight="1" spans="1:64">
      <c r="A301" s="1" t="s">
        <v>257</v>
      </c>
      <c r="B301" s="33">
        <v>10059865</v>
      </c>
      <c r="C301" s="34" t="s">
        <v>107</v>
      </c>
      <c r="D301" s="3" t="s">
        <v>235</v>
      </c>
      <c r="E301" s="3">
        <v>1299</v>
      </c>
      <c r="G301" s="3">
        <f>1980+2990</f>
        <v>4970</v>
      </c>
      <c r="K301" s="4">
        <f>9500-7174</f>
        <v>2326</v>
      </c>
      <c r="L301" s="5">
        <f>E301+F301+H301+I301+J301+G301+K301</f>
        <v>8595</v>
      </c>
      <c r="U301" s="7">
        <f>N301+O301+P301+Q301+S301+R301+T301</f>
        <v>0</v>
      </c>
      <c r="AD301" s="9">
        <f>W301+X301+Y301+Z301+AA301+AB301+AC301</f>
        <v>0</v>
      </c>
      <c r="AF301" s="34"/>
      <c r="AG301" s="34"/>
      <c r="AH301" s="34"/>
      <c r="AN301" s="9">
        <f>AG301+AH301+AI301+AJ301+AK301+AL301+AM301</f>
        <v>0</v>
      </c>
      <c r="AT301" s="11">
        <f>100+169+636</f>
        <v>905</v>
      </c>
      <c r="AV301" s="64">
        <f>L301+U301+AD301</f>
        <v>8595</v>
      </c>
      <c r="AW301" s="73">
        <f>AT301+AV301+AU301</f>
        <v>9500</v>
      </c>
      <c r="AY301" s="74">
        <f>AZ301+BA301+BB301+BC301+BD301+BE301</f>
        <v>9500</v>
      </c>
      <c r="BA301" s="15">
        <v>9500</v>
      </c>
      <c r="BL301" s="18">
        <v>3</v>
      </c>
    </row>
    <row r="302" customHeight="1" spans="1:65">
      <c r="A302" s="1" t="s">
        <v>257</v>
      </c>
      <c r="B302" s="33">
        <v>10059866</v>
      </c>
      <c r="C302" s="3">
        <v>316</v>
      </c>
      <c r="D302" s="3" t="s">
        <v>193</v>
      </c>
      <c r="E302" s="3">
        <v>980</v>
      </c>
      <c r="G302" s="3">
        <v>8890</v>
      </c>
      <c r="K302" s="4">
        <f>12160-10288</f>
        <v>1872</v>
      </c>
      <c r="L302" s="5">
        <f>E302+F302+H302+I302+J302+G302+K302</f>
        <v>11742</v>
      </c>
      <c r="U302" s="7">
        <f>N302+O302+P302+Q302+S302+R302+T302</f>
        <v>0</v>
      </c>
      <c r="AD302" s="9">
        <f>W302+X302+Y302+Z302+AA302+AB302+AC302</f>
        <v>0</v>
      </c>
      <c r="AF302" s="34"/>
      <c r="AG302" s="34"/>
      <c r="AH302" s="34"/>
      <c r="AN302" s="9">
        <f>AG302+AH302+AI302+AJ302+AK302+AL302+AM302</f>
        <v>0</v>
      </c>
      <c r="AT302" s="11">
        <f>100+318</f>
        <v>418</v>
      </c>
      <c r="AV302" s="64">
        <f>L302+U302+AD302</f>
        <v>11742</v>
      </c>
      <c r="AW302" s="73">
        <f>AT302+AV302+AU302</f>
        <v>12160</v>
      </c>
      <c r="AY302" s="74">
        <f>AZ302+BA302+BB302+BC302+BD302+BE302</f>
        <v>12160</v>
      </c>
      <c r="BA302" s="15">
        <v>12160</v>
      </c>
      <c r="BL302" s="18">
        <v>1</v>
      </c>
      <c r="BM302" s="90" t="s">
        <v>61</v>
      </c>
    </row>
    <row r="303" customHeight="1" spans="1:65">
      <c r="A303" s="1" t="s">
        <v>257</v>
      </c>
      <c r="B303" s="33">
        <v>10059867</v>
      </c>
      <c r="C303" s="34" t="s">
        <v>48</v>
      </c>
      <c r="D303" s="34" t="s">
        <v>259</v>
      </c>
      <c r="E303" s="3">
        <v>1880</v>
      </c>
      <c r="I303" s="3">
        <f>2385+3816</f>
        <v>6201</v>
      </c>
      <c r="J303" s="3">
        <f>69+129</f>
        <v>198</v>
      </c>
      <c r="K303" s="4">
        <f>11070-9066</f>
        <v>2004</v>
      </c>
      <c r="L303" s="5">
        <f>E303+F303+H303+I303+J303+G303+K303</f>
        <v>10283</v>
      </c>
      <c r="U303" s="7">
        <f>N303+O303+P303+Q303+S303+R303+T303</f>
        <v>0</v>
      </c>
      <c r="AD303" s="9">
        <f>W303+X303+Y303+Z303+AA303+AB303+AC303</f>
        <v>0</v>
      </c>
      <c r="AF303" s="34"/>
      <c r="AG303" s="34"/>
      <c r="AH303" s="34"/>
      <c r="AN303" s="9">
        <f>AG303+AH303+AI303+AJ303+AK303+AL303+AM303</f>
        <v>0</v>
      </c>
      <c r="AT303" s="11">
        <f>100+110+100+477</f>
        <v>787</v>
      </c>
      <c r="AV303" s="64">
        <f>L303+U303+AD303</f>
        <v>10283</v>
      </c>
      <c r="AW303" s="73">
        <f>AT303+AV303+AU303</f>
        <v>11070</v>
      </c>
      <c r="AY303" s="74">
        <f>AZ303+BA303+BB303+BC303+BD303+BE303</f>
        <v>11070</v>
      </c>
      <c r="AZ303" s="14">
        <v>11070</v>
      </c>
      <c r="BL303" s="18">
        <v>6</v>
      </c>
      <c r="BM303" s="90" t="s">
        <v>143</v>
      </c>
    </row>
    <row r="304" customHeight="1" spans="1:64">
      <c r="A304" s="1" t="s">
        <v>257</v>
      </c>
      <c r="B304" s="33">
        <v>10059868</v>
      </c>
      <c r="C304" s="3">
        <v>318</v>
      </c>
      <c r="L304" s="5">
        <f>E304+F304+H304+I304+J304+G304+K304</f>
        <v>0</v>
      </c>
      <c r="M304" s="3" t="s">
        <v>260</v>
      </c>
      <c r="N304" s="3">
        <v>980</v>
      </c>
      <c r="S304" s="3">
        <v>892</v>
      </c>
      <c r="T304" s="6">
        <v>869</v>
      </c>
      <c r="U304" s="7">
        <f>N304+O304+P304+Q304+S304+R304+T304</f>
        <v>2741</v>
      </c>
      <c r="AD304" s="9">
        <f>W304+X304+Y304+Z304+AA304+AB304+AC304</f>
        <v>0</v>
      </c>
      <c r="AF304" s="34"/>
      <c r="AG304" s="34"/>
      <c r="AH304" s="34"/>
      <c r="AN304" s="9">
        <f>AG304+AH304+AI304+AJ304+AK304+AL304+AM304</f>
        <v>0</v>
      </c>
      <c r="AT304" s="11">
        <f>100+159</f>
        <v>259</v>
      </c>
      <c r="AV304" s="64">
        <f>L304+U304+AD304</f>
        <v>2741</v>
      </c>
      <c r="AW304" s="73">
        <f>AT304+AV304+AU304</f>
        <v>3000</v>
      </c>
      <c r="AY304" s="74">
        <f>AZ304+BA304+BB304+BC304+BD304+BE304</f>
        <v>3000</v>
      </c>
      <c r="BA304" s="15">
        <v>3000</v>
      </c>
      <c r="BL304" s="18">
        <v>1</v>
      </c>
    </row>
    <row r="305" customHeight="1" spans="1:65">
      <c r="A305" s="1" t="s">
        <v>257</v>
      </c>
      <c r="B305" s="33">
        <v>10059869</v>
      </c>
      <c r="C305" s="3">
        <v>312</v>
      </c>
      <c r="D305" s="3" t="s">
        <v>261</v>
      </c>
      <c r="E305" s="3">
        <v>980</v>
      </c>
      <c r="G305" s="3">
        <v>2990</v>
      </c>
      <c r="K305" s="4">
        <f>5600-4547</f>
        <v>1053</v>
      </c>
      <c r="L305" s="5">
        <f>E305+F305+H305+I305+J305+G305+K305</f>
        <v>5023</v>
      </c>
      <c r="U305" s="7">
        <f>N305+O305+P305+Q305+S305+R305+T305</f>
        <v>0</v>
      </c>
      <c r="AD305" s="9">
        <f>W305+X305+Y305+Z305+AA305+AB305+AC305</f>
        <v>0</v>
      </c>
      <c r="AF305" s="34"/>
      <c r="AG305" s="34"/>
      <c r="AH305" s="34"/>
      <c r="AN305" s="9">
        <f>AG305+AH305+AI305+AJ305+AK305+AL305+AM305</f>
        <v>0</v>
      </c>
      <c r="AT305" s="11">
        <f>100+477</f>
        <v>577</v>
      </c>
      <c r="AV305" s="64">
        <f>L305+U305+AD305</f>
        <v>5023</v>
      </c>
      <c r="AW305" s="73">
        <f>AT305+AV305+AU305</f>
        <v>5600</v>
      </c>
      <c r="AY305" s="74">
        <f>AZ305+BA305+BB305+BC305+BD305+BE305</f>
        <v>5600</v>
      </c>
      <c r="BA305" s="15">
        <v>5600</v>
      </c>
      <c r="BL305" s="18">
        <v>3</v>
      </c>
      <c r="BM305" s="90" t="s">
        <v>254</v>
      </c>
    </row>
    <row r="306" customHeight="1" spans="1:64">
      <c r="A306" s="1" t="s">
        <v>257</v>
      </c>
      <c r="B306" s="33">
        <v>10059870</v>
      </c>
      <c r="C306" s="34" t="s">
        <v>159</v>
      </c>
      <c r="D306" s="3" t="s">
        <v>42</v>
      </c>
      <c r="E306" s="3">
        <v>1880</v>
      </c>
      <c r="I306" s="3">
        <f>1908+3816</f>
        <v>5724</v>
      </c>
      <c r="K306" s="4">
        <f>10000-8817</f>
        <v>1183</v>
      </c>
      <c r="L306" s="5">
        <f>E306+F306+H306+I306+J306+G306+K306</f>
        <v>8787</v>
      </c>
      <c r="U306" s="7">
        <f>N306+O306+P306+Q306+S306+R306+T306</f>
        <v>0</v>
      </c>
      <c r="AD306" s="9">
        <f>W306+X306+Y306+Z306+AA306+AB306+AC306</f>
        <v>0</v>
      </c>
      <c r="AF306" s="34"/>
      <c r="AG306" s="34"/>
      <c r="AH306" s="34"/>
      <c r="AN306" s="9">
        <f>AG306+AH306+AI306+AJ306+AK306+AL306+AM306</f>
        <v>0</v>
      </c>
      <c r="AT306" s="11">
        <f>100+1113</f>
        <v>1213</v>
      </c>
      <c r="AV306" s="64">
        <f>L306+U306+AD306</f>
        <v>8787</v>
      </c>
      <c r="AW306" s="73">
        <f>AT306+AV306+AU306</f>
        <v>10000</v>
      </c>
      <c r="AY306" s="74">
        <f>AZ306+BA306+BB306+BC306+BD306+BE306</f>
        <v>10000</v>
      </c>
      <c r="BA306" s="15">
        <v>10000</v>
      </c>
      <c r="BL306" s="18">
        <v>7</v>
      </c>
    </row>
    <row r="307" customHeight="1" spans="1:65">
      <c r="A307" s="1" t="s">
        <v>257</v>
      </c>
      <c r="B307" s="33">
        <v>10059871</v>
      </c>
      <c r="C307" s="3">
        <v>310</v>
      </c>
      <c r="D307" s="3" t="s">
        <v>165</v>
      </c>
      <c r="E307" s="3">
        <v>980</v>
      </c>
      <c r="G307" s="3">
        <v>6690</v>
      </c>
      <c r="H307" s="3">
        <v>2080</v>
      </c>
      <c r="K307" s="4">
        <f>11900-10168</f>
        <v>1732</v>
      </c>
      <c r="L307" s="5">
        <f>E307+F307+H307+I307+J307+G307+K307</f>
        <v>11482</v>
      </c>
      <c r="U307" s="7">
        <f>N307+O307+P307+Q307+S307+R307+T307</f>
        <v>0</v>
      </c>
      <c r="AD307" s="9">
        <f>W307+X307+Y307+Z307+AA307+AB307+AC307</f>
        <v>0</v>
      </c>
      <c r="AF307" s="34"/>
      <c r="AG307" s="34"/>
      <c r="AH307" s="34"/>
      <c r="AN307" s="9">
        <f>AG307+AH307+AI307+AJ307+AK307+AL307+AM307</f>
        <v>0</v>
      </c>
      <c r="AT307" s="11">
        <f>100+318</f>
        <v>418</v>
      </c>
      <c r="AV307" s="64">
        <f>L307+U307+AD307</f>
        <v>11482</v>
      </c>
      <c r="AW307" s="73">
        <f>AT307+AV307+AU307</f>
        <v>11900</v>
      </c>
      <c r="AY307" s="74">
        <f>AZ307+BA307+BB307+BC307+BD307+BE307</f>
        <v>11900</v>
      </c>
      <c r="BA307" s="15">
        <v>11900</v>
      </c>
      <c r="BL307" s="18">
        <v>2</v>
      </c>
      <c r="BM307" s="90" t="s">
        <v>61</v>
      </c>
    </row>
    <row r="308" customHeight="1" spans="1:65">
      <c r="A308" s="1" t="s">
        <v>257</v>
      </c>
      <c r="B308" s="33">
        <v>10059872</v>
      </c>
      <c r="C308" s="3" t="s">
        <v>44</v>
      </c>
      <c r="D308" s="3" t="s">
        <v>204</v>
      </c>
      <c r="E308" s="3">
        <v>1880</v>
      </c>
      <c r="I308" s="3">
        <v>5712</v>
      </c>
      <c r="J308" s="3">
        <f>129+129+129</f>
        <v>387</v>
      </c>
      <c r="K308" s="4">
        <f>10300-8715</f>
        <v>1585</v>
      </c>
      <c r="L308" s="5">
        <f>E308+F308+H308+I308+J308+G308+K308</f>
        <v>9564</v>
      </c>
      <c r="U308" s="7">
        <f>N308+O308+P308+Q308+S308+R308+T308</f>
        <v>0</v>
      </c>
      <c r="AD308" s="9">
        <f>W308+X308+Y308+Z308+AA308+AB308+AC308</f>
        <v>0</v>
      </c>
      <c r="AF308" s="34"/>
      <c r="AG308" s="34"/>
      <c r="AH308" s="34"/>
      <c r="AN308" s="9">
        <f>AG308+AH308+AI308+AJ308+AK308+AL308+AM308</f>
        <v>0</v>
      </c>
      <c r="AT308" s="11">
        <f>100+636</f>
        <v>736</v>
      </c>
      <c r="AV308" s="64">
        <f>L308+U308+AD308</f>
        <v>9564</v>
      </c>
      <c r="AW308" s="73">
        <f>AT308+AV308+AU308</f>
        <v>10300</v>
      </c>
      <c r="AY308" s="74">
        <f>AZ308+BA308+BB308+BC308+BD308+BE308</f>
        <v>10500</v>
      </c>
      <c r="AZ308" s="14">
        <v>10300</v>
      </c>
      <c r="BC308" s="17">
        <v>200</v>
      </c>
      <c r="BL308" s="18">
        <v>6</v>
      </c>
      <c r="BM308" s="90" t="s">
        <v>143</v>
      </c>
    </row>
    <row r="309" customHeight="1" spans="1:65">
      <c r="A309" s="1" t="s">
        <v>257</v>
      </c>
      <c r="B309" s="33">
        <v>10059873</v>
      </c>
      <c r="C309" s="3" t="s">
        <v>192</v>
      </c>
      <c r="D309" s="34"/>
      <c r="L309" s="5">
        <f>E309+F309+H309+I309+J309+G309+K309</f>
        <v>0</v>
      </c>
      <c r="U309" s="7">
        <f>N309+O309+P309+Q309+S309+R309+T309</f>
        <v>0</v>
      </c>
      <c r="V309" s="91" t="s">
        <v>185</v>
      </c>
      <c r="AD309" s="9">
        <f>W309+X309+Y309+Z309+AA309+AB309+AC309</f>
        <v>0</v>
      </c>
      <c r="AF309" s="34"/>
      <c r="AG309" s="34"/>
      <c r="AH309" s="34"/>
      <c r="AN309" s="9">
        <f>AG309+AH309+AI309+AJ309+AK309+AL309+AM309</f>
        <v>0</v>
      </c>
      <c r="AV309" s="64">
        <f>L309+U309+AD309</f>
        <v>0</v>
      </c>
      <c r="AW309" s="73">
        <f>AT309+AV309+AU309</f>
        <v>0</v>
      </c>
      <c r="AY309" s="74">
        <f>AZ309+BA309+BB309+BC309+BD309+BE309</f>
        <v>0</v>
      </c>
      <c r="BM309" s="90" t="s">
        <v>262</v>
      </c>
    </row>
    <row r="310" customHeight="1" spans="1:65">
      <c r="A310" s="1" t="s">
        <v>257</v>
      </c>
      <c r="B310" s="33">
        <v>10059874</v>
      </c>
      <c r="C310" s="3">
        <v>307</v>
      </c>
      <c r="L310" s="5">
        <f>E310+F310+H310+I310+J310+G310+K310</f>
        <v>0</v>
      </c>
      <c r="M310" s="3" t="s">
        <v>263</v>
      </c>
      <c r="N310" s="3">
        <v>980</v>
      </c>
      <c r="P310" s="3">
        <v>3290</v>
      </c>
      <c r="T310" s="6">
        <v>912</v>
      </c>
      <c r="U310" s="7">
        <f>N310+O310+P310+Q310+S310+R310+T310</f>
        <v>5182</v>
      </c>
      <c r="AD310" s="9">
        <f>W310+X310+Y310+Z310+AA310+AB310+AC310</f>
        <v>0</v>
      </c>
      <c r="AF310" s="34"/>
      <c r="AG310" s="34"/>
      <c r="AH310" s="34"/>
      <c r="AN310" s="9">
        <f>AG310+AH310+AI310+AJ310+AK310+AL310+AM310</f>
        <v>0</v>
      </c>
      <c r="AT310" s="11">
        <f>100+318</f>
        <v>418</v>
      </c>
      <c r="AV310" s="64">
        <f>L310+U310+AD310</f>
        <v>5182</v>
      </c>
      <c r="AW310" s="73">
        <f>AT310+AV310+AU310</f>
        <v>5600</v>
      </c>
      <c r="AY310" s="74">
        <f>AZ310+BA310+BB310+BC310+BD310+BE310</f>
        <v>5600</v>
      </c>
      <c r="BA310" s="15">
        <v>5600</v>
      </c>
      <c r="BL310" s="18">
        <v>4</v>
      </c>
      <c r="BM310" s="90" t="s">
        <v>61</v>
      </c>
    </row>
    <row r="311" customHeight="1" spans="1:64">
      <c r="A311" s="1" t="s">
        <v>257</v>
      </c>
      <c r="B311" s="33">
        <v>10059875</v>
      </c>
      <c r="C311" s="3">
        <v>308</v>
      </c>
      <c r="L311" s="5">
        <f>E311+F311+H311+I311+J311+G311+K311</f>
        <v>0</v>
      </c>
      <c r="M311" s="3" t="s">
        <v>264</v>
      </c>
      <c r="N311" s="3">
        <v>980</v>
      </c>
      <c r="R311" s="3">
        <v>2856</v>
      </c>
      <c r="T311" s="6">
        <v>496</v>
      </c>
      <c r="U311" s="7">
        <f>N311+O311+P311+Q311+S311+R311+T311</f>
        <v>4332</v>
      </c>
      <c r="AD311" s="9">
        <f>W311+X311+Y311+Z311+AA311+AB311+AC311</f>
        <v>0</v>
      </c>
      <c r="AF311" s="34"/>
      <c r="AG311" s="34"/>
      <c r="AH311" s="34"/>
      <c r="AN311" s="9">
        <f>AG311+AH311+AI311+AJ311+AK311+AL311+AM311</f>
        <v>0</v>
      </c>
      <c r="AT311" s="11">
        <f>100+318</f>
        <v>418</v>
      </c>
      <c r="AV311" s="64">
        <f>L311+U311+AD311</f>
        <v>4332</v>
      </c>
      <c r="AW311" s="73">
        <f>AT311+AV311+AU311</f>
        <v>4750</v>
      </c>
      <c r="AY311" s="74">
        <f>AZ311+BA311+BB311+BC311+BD311+BE311</f>
        <v>4750</v>
      </c>
      <c r="BA311" s="15">
        <v>4750</v>
      </c>
      <c r="BL311" s="18">
        <v>2</v>
      </c>
    </row>
    <row r="312" customHeight="1" spans="1:65">
      <c r="A312" s="1" t="s">
        <v>257</v>
      </c>
      <c r="B312" s="33">
        <v>10059876</v>
      </c>
      <c r="C312" s="3">
        <v>302</v>
      </c>
      <c r="D312" s="3" t="s">
        <v>110</v>
      </c>
      <c r="E312" s="3">
        <v>980</v>
      </c>
      <c r="I312" s="3">
        <v>954</v>
      </c>
      <c r="J312" s="3">
        <v>516</v>
      </c>
      <c r="K312" s="4">
        <f>3150-2709</f>
        <v>441</v>
      </c>
      <c r="L312" s="5">
        <f>E312+F312+H312+I312+J312+G312+K312</f>
        <v>2891</v>
      </c>
      <c r="U312" s="7">
        <f>N312+O312+P312+Q312+S312+R312+T312</f>
        <v>0</v>
      </c>
      <c r="AD312" s="9">
        <f>W312+X312+Y312+Z312+AA312+AB312+AC312</f>
        <v>0</v>
      </c>
      <c r="AF312" s="34"/>
      <c r="AG312" s="34"/>
      <c r="AH312" s="34"/>
      <c r="AN312" s="9">
        <f>AG312+AH312+AI312+AJ312+AK312+AL312+AM312</f>
        <v>0</v>
      </c>
      <c r="AT312" s="11">
        <f>100+159</f>
        <v>259</v>
      </c>
      <c r="AV312" s="64">
        <f>L312+U312+AD312</f>
        <v>2891</v>
      </c>
      <c r="AW312" s="73">
        <f>AT312+AV312+AU312</f>
        <v>3150</v>
      </c>
      <c r="AY312" s="74">
        <f>AZ312+BA312+BB312+BC312+BD312+BE312</f>
        <v>3150</v>
      </c>
      <c r="AZ312" s="14">
        <v>3150</v>
      </c>
      <c r="BL312" s="18">
        <v>1</v>
      </c>
      <c r="BM312" s="90" t="s">
        <v>61</v>
      </c>
    </row>
    <row r="313" customHeight="1" spans="1:65">
      <c r="A313" s="1" t="s">
        <v>257</v>
      </c>
      <c r="B313" s="33">
        <v>10059877</v>
      </c>
      <c r="C313" s="34" t="s">
        <v>59</v>
      </c>
      <c r="D313" s="3" t="s">
        <v>119</v>
      </c>
      <c r="E313" s="3">
        <v>2180</v>
      </c>
      <c r="G313" s="3">
        <f>4690+4360</f>
        <v>9050</v>
      </c>
      <c r="I313" s="3">
        <v>159</v>
      </c>
      <c r="K313" s="4">
        <f>15000-12165</f>
        <v>2835</v>
      </c>
      <c r="L313" s="5">
        <f>E313+F313+H313+I313+J313+G313+K313</f>
        <v>14224</v>
      </c>
      <c r="U313" s="7">
        <f>N313+O313+P313+Q313+S313+R313+T313</f>
        <v>0</v>
      </c>
      <c r="AD313" s="9">
        <f>W313+X313+Y313+Z313+AA313+AB313+AC313</f>
        <v>0</v>
      </c>
      <c r="AF313" s="34"/>
      <c r="AG313" s="34"/>
      <c r="AH313" s="34"/>
      <c r="AN313" s="9">
        <f>AG313+AH313+AI313+AJ313+AK313+AL313+AM313</f>
        <v>0</v>
      </c>
      <c r="AT313" s="11">
        <f>100+676</f>
        <v>776</v>
      </c>
      <c r="AV313" s="64">
        <f>L313+U313+AD313</f>
        <v>14224</v>
      </c>
      <c r="AW313" s="73">
        <f>AT313+AV313+AU313</f>
        <v>15000</v>
      </c>
      <c r="AY313" s="74">
        <f>AZ313+BA313+BB313+BC313+BD313+BE313</f>
        <v>15000</v>
      </c>
      <c r="BA313" s="15">
        <v>15000</v>
      </c>
      <c r="BL313" s="18">
        <v>5</v>
      </c>
      <c r="BM313" s="90" t="s">
        <v>130</v>
      </c>
    </row>
    <row r="314" customHeight="1" spans="1:65">
      <c r="A314" s="1" t="s">
        <v>257</v>
      </c>
      <c r="B314" s="33">
        <v>10059878</v>
      </c>
      <c r="C314" s="34" t="s">
        <v>62</v>
      </c>
      <c r="D314" s="3" t="s">
        <v>85</v>
      </c>
      <c r="E314" s="3">
        <v>2180</v>
      </c>
      <c r="I314" s="3">
        <v>5724</v>
      </c>
      <c r="J314" s="3">
        <v>774</v>
      </c>
      <c r="K314" s="4">
        <f>10200-9116</f>
        <v>1084</v>
      </c>
      <c r="L314" s="5">
        <f>E314+F314+H314+I314+J314+G314+K314</f>
        <v>9762</v>
      </c>
      <c r="U314" s="7">
        <f>N314+O314+P314+Q314+S314+R314+T314</f>
        <v>0</v>
      </c>
      <c r="AD314" s="9">
        <f>W314+X314+Y314+Z314+AA314+AB314+AC314</f>
        <v>0</v>
      </c>
      <c r="AF314" s="34"/>
      <c r="AG314" s="34"/>
      <c r="AH314" s="34"/>
      <c r="AN314" s="9">
        <f>AG314+AH314+AI314+AJ314+AK314+AL314+AM314</f>
        <v>0</v>
      </c>
      <c r="AT314" s="11">
        <f>100+338</f>
        <v>438</v>
      </c>
      <c r="AV314" s="64">
        <f>L314+U314+AD314</f>
        <v>9762</v>
      </c>
      <c r="AW314" s="73">
        <f>AT314+AV314+AU314</f>
        <v>10200</v>
      </c>
      <c r="AY314" s="74">
        <f>AZ314+BA314+BB314+BC314+BD314+BE314</f>
        <v>10200</v>
      </c>
      <c r="BA314" s="15">
        <v>10200</v>
      </c>
      <c r="BL314" s="18">
        <v>2</v>
      </c>
      <c r="BM314" s="90" t="s">
        <v>61</v>
      </c>
    </row>
    <row r="315" customHeight="1" spans="1:65">
      <c r="A315" s="1" t="s">
        <v>257</v>
      </c>
      <c r="B315" s="33">
        <v>10059879</v>
      </c>
      <c r="C315" s="3">
        <v>301</v>
      </c>
      <c r="D315" s="3" t="s">
        <v>231</v>
      </c>
      <c r="E315" s="3">
        <v>1299</v>
      </c>
      <c r="I315" s="3">
        <v>3808</v>
      </c>
      <c r="K315" s="4">
        <f>7900-6002</f>
        <v>1898</v>
      </c>
      <c r="L315" s="5">
        <f>E315+F315+H315+I315+J315+G315+K315</f>
        <v>7005</v>
      </c>
      <c r="U315" s="7">
        <f>N315+O315+P315+Q315+S315+R315+T315</f>
        <v>0</v>
      </c>
      <c r="AD315" s="9">
        <f>W315+X315+Y315+Z315+AA315+AB315+AC315</f>
        <v>0</v>
      </c>
      <c r="AF315" s="34"/>
      <c r="AG315" s="34"/>
      <c r="AH315" s="34"/>
      <c r="AN315" s="9">
        <f>AG315+AH315+AI315+AJ315+AK315+AL315+AM315</f>
        <v>0</v>
      </c>
      <c r="AT315" s="11">
        <f>100+795</f>
        <v>895</v>
      </c>
      <c r="AV315" s="64">
        <f>L315+U315+AD315</f>
        <v>7005</v>
      </c>
      <c r="AW315" s="73">
        <f>AT315+AV315+AU315</f>
        <v>7900</v>
      </c>
      <c r="AY315" s="74">
        <f>AZ315+BA315+BB315+BC315+BD315+BE315</f>
        <v>7900</v>
      </c>
      <c r="AZ315" s="14">
        <v>7900</v>
      </c>
      <c r="BL315" s="18">
        <v>7</v>
      </c>
      <c r="BM315" s="90" t="s">
        <v>196</v>
      </c>
    </row>
    <row r="316" customHeight="1" spans="1:65">
      <c r="A316" s="1" t="s">
        <v>257</v>
      </c>
      <c r="B316" s="33">
        <v>10059880</v>
      </c>
      <c r="C316" s="3">
        <v>311</v>
      </c>
      <c r="D316" s="3" t="s">
        <v>165</v>
      </c>
      <c r="E316" s="3">
        <v>980</v>
      </c>
      <c r="I316" s="3">
        <v>2856</v>
      </c>
      <c r="K316" s="4">
        <f>4560-4095</f>
        <v>465</v>
      </c>
      <c r="L316" s="5">
        <f>E316+F316+H316+I316+J316+G316+K316</f>
        <v>4301</v>
      </c>
      <c r="U316" s="7">
        <f>N316+O316+P316+Q316+S316+R316+T316</f>
        <v>0</v>
      </c>
      <c r="AD316" s="9">
        <f>W316+X316+Y316+Z316+AA316+AB316+AC316</f>
        <v>0</v>
      </c>
      <c r="AF316" s="34"/>
      <c r="AG316" s="34"/>
      <c r="AH316" s="34"/>
      <c r="AN316" s="9">
        <f>AG316+AH316+AI316+AJ316+AK316+AL316+AM316</f>
        <v>0</v>
      </c>
      <c r="AT316" s="11">
        <f>100+159</f>
        <v>259</v>
      </c>
      <c r="AV316" s="64">
        <f>L316+U316+AD316</f>
        <v>4301</v>
      </c>
      <c r="AW316" s="73">
        <f>AT316+AV316+AU316</f>
        <v>4560</v>
      </c>
      <c r="AY316" s="74">
        <f>AZ316+BA316+BB316+BC316+BD316+BE316</f>
        <v>4560</v>
      </c>
      <c r="BA316" s="15">
        <v>4560</v>
      </c>
      <c r="BL316" s="18">
        <v>3</v>
      </c>
      <c r="BM316" s="90" t="s">
        <v>61</v>
      </c>
    </row>
    <row r="317" customHeight="1" spans="1:65">
      <c r="A317" s="1" t="s">
        <v>257</v>
      </c>
      <c r="B317" s="33">
        <v>10059881</v>
      </c>
      <c r="C317" s="34" t="s">
        <v>56</v>
      </c>
      <c r="D317" s="3" t="s">
        <v>214</v>
      </c>
      <c r="E317" s="3">
        <v>3180</v>
      </c>
      <c r="G317" s="3">
        <v>18380</v>
      </c>
      <c r="I317" s="3">
        <v>1908</v>
      </c>
      <c r="K317" s="4">
        <f>29800-25436</f>
        <v>4364</v>
      </c>
      <c r="L317" s="5">
        <f>E317+F317+H317+I317+J317+G317+K317</f>
        <v>27832</v>
      </c>
      <c r="U317" s="7">
        <f>N317+O317+P317+Q317+S317+R317+T317</f>
        <v>0</v>
      </c>
      <c r="AD317" s="9">
        <f>W317+X317+Y317+Z317+AA317+AB317+AC317</f>
        <v>0</v>
      </c>
      <c r="AF317" s="34"/>
      <c r="AG317" s="34"/>
      <c r="AH317" s="34"/>
      <c r="AN317" s="9">
        <f>AG317+AH317+AI317+AJ317+AK317+AL317+AM317</f>
        <v>0</v>
      </c>
      <c r="AT317" s="11">
        <f>100+1690+49+29+100</f>
        <v>1968</v>
      </c>
      <c r="AV317" s="64">
        <f>L317+U317+AD317</f>
        <v>27832</v>
      </c>
      <c r="AW317" s="73">
        <f>AT317+AV317+AU317</f>
        <v>29800</v>
      </c>
      <c r="AY317" s="74">
        <f>AZ317+BA317+BB317+BC317+BD317+BE317</f>
        <v>30300</v>
      </c>
      <c r="BA317" s="15">
        <v>29800</v>
      </c>
      <c r="BC317" s="17">
        <v>490</v>
      </c>
      <c r="BD317" s="17">
        <v>10</v>
      </c>
      <c r="BL317" s="18">
        <v>11</v>
      </c>
      <c r="BM317" s="90" t="s">
        <v>254</v>
      </c>
    </row>
    <row r="318" customHeight="1" spans="1:65">
      <c r="A318" s="1" t="s">
        <v>257</v>
      </c>
      <c r="B318" s="33">
        <v>10059882</v>
      </c>
      <c r="C318" s="3" t="s">
        <v>97</v>
      </c>
      <c r="L318" s="5">
        <f>E318+F318+H318+I318+J318+G318+K318</f>
        <v>0</v>
      </c>
      <c r="M318" s="3" t="s">
        <v>265</v>
      </c>
      <c r="N318" s="3">
        <v>2180</v>
      </c>
      <c r="P318" s="3">
        <v>9190</v>
      </c>
      <c r="S318" s="3">
        <v>168</v>
      </c>
      <c r="T318" s="6">
        <v>2426</v>
      </c>
      <c r="U318" s="7">
        <f>N318+O318+P318+Q318+S318+R318+T318</f>
        <v>13964</v>
      </c>
      <c r="AD318" s="9">
        <f>W318+X318+Y318+Z318+AA318+AB318+AC318</f>
        <v>0</v>
      </c>
      <c r="AF318" s="34"/>
      <c r="AG318" s="34"/>
      <c r="AH318" s="34"/>
      <c r="AN318" s="9">
        <f>AG318+AH318+AI318+AJ318+AK318+AL318+AM318</f>
        <v>0</v>
      </c>
      <c r="AT318" s="11">
        <f>100+338+49+29</f>
        <v>516</v>
      </c>
      <c r="AV318" s="64">
        <f>L318+U318+AD318</f>
        <v>13964</v>
      </c>
      <c r="AW318" s="73">
        <f>AT318+AV318+AU318</f>
        <v>14480</v>
      </c>
      <c r="AY318" s="74">
        <f>AZ318+BA318+BB318+BC318+BD318+BE318</f>
        <v>14280</v>
      </c>
      <c r="AZ318" s="14">
        <v>14280</v>
      </c>
      <c r="BG318" s="10">
        <v>200</v>
      </c>
      <c r="BL318" s="18">
        <v>3</v>
      </c>
      <c r="BM318" s="90" t="s">
        <v>212</v>
      </c>
    </row>
    <row r="319" customHeight="1" spans="1:65">
      <c r="A319" s="1" t="s">
        <v>257</v>
      </c>
      <c r="B319" s="33">
        <v>10059883</v>
      </c>
      <c r="C319" s="34" t="s">
        <v>89</v>
      </c>
      <c r="D319" s="3" t="s">
        <v>235</v>
      </c>
      <c r="E319" s="3">
        <v>2180</v>
      </c>
      <c r="G319" s="3">
        <v>9990</v>
      </c>
      <c r="K319" s="4">
        <f>15700-13342</f>
        <v>2358</v>
      </c>
      <c r="L319" s="5">
        <f>E319+F319+H319+I319+J319+G319+K319</f>
        <v>14528</v>
      </c>
      <c r="U319" s="7">
        <f>N319+O319+P319+Q319+S319+R319+T319</f>
        <v>0</v>
      </c>
      <c r="AD319" s="9">
        <f>W319+X319+Y319+Z319+AA319+AB319+AC319</f>
        <v>0</v>
      </c>
      <c r="AF319" s="34"/>
      <c r="AG319" s="34"/>
      <c r="AH319" s="34"/>
      <c r="AN319" s="9">
        <f>AG319+AH319+AI319+AJ319+AK319+AL319+AM319</f>
        <v>0</v>
      </c>
      <c r="AT319" s="11">
        <f>100+1014+58</f>
        <v>1172</v>
      </c>
      <c r="AV319" s="64">
        <f>L319+U319+AD319</f>
        <v>14528</v>
      </c>
      <c r="AW319" s="73">
        <f>AT319+AV319+AU319</f>
        <v>15700</v>
      </c>
      <c r="AY319" s="74">
        <f>AZ319+BA319+BB319+BC319+BD319+BE319</f>
        <v>15700</v>
      </c>
      <c r="BA319" s="15">
        <v>15700</v>
      </c>
      <c r="BL319" s="18">
        <v>6</v>
      </c>
      <c r="BM319" s="90" t="s">
        <v>130</v>
      </c>
    </row>
    <row r="320" customHeight="1" spans="1:65">
      <c r="A320" s="1" t="s">
        <v>257</v>
      </c>
      <c r="B320" s="33">
        <v>10059884</v>
      </c>
      <c r="C320" s="34" t="s">
        <v>78</v>
      </c>
      <c r="L320" s="5">
        <f>E320+F320+H320+I320+J320+G320+K320</f>
        <v>0</v>
      </c>
      <c r="M320" s="3" t="s">
        <v>245</v>
      </c>
      <c r="N320" s="3">
        <v>2580</v>
      </c>
      <c r="P320" s="3">
        <v>18380</v>
      </c>
      <c r="T320" s="6">
        <v>3559</v>
      </c>
      <c r="U320" s="7">
        <f>N320+O320+P320+Q320+S320+R320+T320</f>
        <v>24519</v>
      </c>
      <c r="AD320" s="9">
        <f>W320+X320+Y320+Z320+AA320+AB320+AC320</f>
        <v>0</v>
      </c>
      <c r="AF320" s="34"/>
      <c r="AG320" s="34"/>
      <c r="AH320" s="34"/>
      <c r="AN320" s="9">
        <f>AG320+AH320+AI320+AJ320+AK320+AL320+AM320</f>
        <v>0</v>
      </c>
      <c r="AT320" s="11">
        <f>100+29+1352</f>
        <v>1481</v>
      </c>
      <c r="AV320" s="64">
        <f>L320+U320+AD320</f>
        <v>24519</v>
      </c>
      <c r="AW320" s="73">
        <f>AT320+AV320+AU320</f>
        <v>26000</v>
      </c>
      <c r="AY320" s="74">
        <f>AZ320+BA320+BB320+BC320+BD320+BE320</f>
        <v>26100</v>
      </c>
      <c r="BA320" s="15">
        <v>26000</v>
      </c>
      <c r="BC320" s="17">
        <v>100</v>
      </c>
      <c r="BL320" s="18">
        <v>9</v>
      </c>
      <c r="BM320" s="90" t="s">
        <v>196</v>
      </c>
    </row>
    <row r="321" customHeight="1" spans="1:65">
      <c r="A321" s="1" t="s">
        <v>257</v>
      </c>
      <c r="B321" s="33">
        <v>10059885</v>
      </c>
      <c r="C321" s="34" t="s">
        <v>65</v>
      </c>
      <c r="D321" s="3" t="s">
        <v>85</v>
      </c>
      <c r="E321" s="3">
        <v>2180</v>
      </c>
      <c r="I321" s="3">
        <v>5883</v>
      </c>
      <c r="J321" s="3">
        <f>69+129+168+129+129</f>
        <v>624</v>
      </c>
      <c r="K321" s="4">
        <f>12450-9621</f>
        <v>2829</v>
      </c>
      <c r="L321" s="5">
        <f>E321+F321+H321+I321+J321+G321+K321</f>
        <v>11516</v>
      </c>
      <c r="U321" s="7">
        <f>N321+O321+P321+Q321+S321+R321+T321</f>
        <v>0</v>
      </c>
      <c r="AD321" s="9">
        <f>W321+X321+Y321+Z321+AA321+AB321+AC321</f>
        <v>0</v>
      </c>
      <c r="AF321" s="34"/>
      <c r="AG321" s="34"/>
      <c r="AH321" s="34"/>
      <c r="AN321" s="9">
        <f>AG321+AH321+AI321+AJ321+AK321+AL321+AM321</f>
        <v>0</v>
      </c>
      <c r="AT321" s="11">
        <f>100+676+58+100</f>
        <v>934</v>
      </c>
      <c r="AV321" s="64">
        <f>L321+U321+AD321</f>
        <v>11516</v>
      </c>
      <c r="AW321" s="73">
        <f>AT321+AV321+AU321</f>
        <v>12450</v>
      </c>
      <c r="AY321" s="74">
        <f>AZ321+BA321+BB321+BC321+BD321+BE321</f>
        <v>12650</v>
      </c>
      <c r="AZ321" s="14">
        <v>12450</v>
      </c>
      <c r="BC321" s="17">
        <v>200</v>
      </c>
      <c r="BL321" s="18">
        <v>5</v>
      </c>
      <c r="BM321" s="90" t="s">
        <v>212</v>
      </c>
    </row>
    <row r="322" customHeight="1" spans="1:65">
      <c r="A322" s="1" t="s">
        <v>257</v>
      </c>
      <c r="B322" s="33">
        <v>10059886</v>
      </c>
      <c r="C322" s="34" t="s">
        <v>62</v>
      </c>
      <c r="D322" s="3" t="s">
        <v>85</v>
      </c>
      <c r="E322" s="3">
        <v>2180</v>
      </c>
      <c r="G322" s="3">
        <v>5890</v>
      </c>
      <c r="K322" s="4">
        <f>10850-8677</f>
        <v>2173</v>
      </c>
      <c r="L322" s="5">
        <f>E322+F322+H322+I322+J322+G322+K322</f>
        <v>10243</v>
      </c>
      <c r="U322" s="7">
        <f>N322+O322+P322+Q322+S322+R322+T322</f>
        <v>0</v>
      </c>
      <c r="AD322" s="9">
        <f>W322+X322+Y322+Z322+AA322+AB322+AC322</f>
        <v>0</v>
      </c>
      <c r="AF322" s="34"/>
      <c r="AG322" s="34"/>
      <c r="AH322" s="34"/>
      <c r="AN322" s="9">
        <f>AG322+AH322+AI322+AJ322+AK322+AL322+AM322</f>
        <v>0</v>
      </c>
      <c r="AT322" s="11">
        <f>100+507</f>
        <v>607</v>
      </c>
      <c r="AV322" s="64">
        <f>L322+U322+AD322</f>
        <v>10243</v>
      </c>
      <c r="AW322" s="73">
        <f>AT322+AV322+AU322</f>
        <v>10850</v>
      </c>
      <c r="AY322" s="74">
        <f>AZ322+BA322+BB322+BC322+BD322+BE322</f>
        <v>10850</v>
      </c>
      <c r="AZ322" s="14">
        <v>10850</v>
      </c>
      <c r="BL322" s="18">
        <v>3</v>
      </c>
      <c r="BM322" s="90" t="s">
        <v>61</v>
      </c>
    </row>
    <row r="323" customHeight="1" spans="1:64">
      <c r="A323" s="1" t="s">
        <v>257</v>
      </c>
      <c r="B323" s="33">
        <v>10059887</v>
      </c>
      <c r="C323" s="3" t="s">
        <v>238</v>
      </c>
      <c r="D323" s="34"/>
      <c r="L323" s="5">
        <f>E323+F323+H323+I323+J323+G323+K323</f>
        <v>0</v>
      </c>
      <c r="U323" s="7">
        <f>N323+O323+P323+Q323+S323+R323+T323</f>
        <v>0</v>
      </c>
      <c r="V323" s="91" t="s">
        <v>266</v>
      </c>
      <c r="AC323" s="8">
        <v>386</v>
      </c>
      <c r="AD323" s="9">
        <f>W323+X323+Y323+Z323+AA323+AB323+AC323</f>
        <v>386</v>
      </c>
      <c r="AF323" s="34"/>
      <c r="AG323" s="34"/>
      <c r="AH323" s="34"/>
      <c r="AN323" s="9">
        <f>AG323+AH323+AI323+AJ323+AK323+AL323+AM323</f>
        <v>0</v>
      </c>
      <c r="AV323" s="64">
        <f>L323+U323+AD323</f>
        <v>386</v>
      </c>
      <c r="AW323" s="73">
        <f>AT323+AV323+AU323</f>
        <v>386</v>
      </c>
      <c r="AY323" s="74">
        <f>AZ323+BA323+BB323+BC323+BD323+BE323</f>
        <v>686</v>
      </c>
      <c r="BB323" s="16">
        <v>386</v>
      </c>
      <c r="BC323" s="17">
        <v>300</v>
      </c>
      <c r="BL323" s="18">
        <v>2</v>
      </c>
    </row>
    <row r="324" customHeight="1" spans="1:65">
      <c r="A324" s="1" t="s">
        <v>257</v>
      </c>
      <c r="B324" s="33">
        <v>10059888</v>
      </c>
      <c r="C324" s="34" t="s">
        <v>54</v>
      </c>
      <c r="D324" s="3" t="s">
        <v>267</v>
      </c>
      <c r="E324" s="3">
        <v>2180</v>
      </c>
      <c r="G324" s="3">
        <v>9190</v>
      </c>
      <c r="K324" s="4">
        <f>15800-11639</f>
        <v>4161</v>
      </c>
      <c r="L324" s="5">
        <f>E324+F324+H324+I324+J324+G324+K324</f>
        <v>15531</v>
      </c>
      <c r="U324" s="7">
        <f>N324+O324+P324+Q324+S324+R324+T324</f>
        <v>0</v>
      </c>
      <c r="AD324" s="9">
        <f>W324+X324+Y324+Z324+AA324+AB324+AC324</f>
        <v>0</v>
      </c>
      <c r="AF324" s="34"/>
      <c r="AG324" s="34"/>
      <c r="AH324" s="34"/>
      <c r="AN324" s="9">
        <f>AG324+AH324+AI324+AJ324+AK324+AL324+AM324</f>
        <v>0</v>
      </c>
      <c r="AT324" s="11">
        <f>100+169</f>
        <v>269</v>
      </c>
      <c r="AV324" s="64">
        <f>L324+U324+AD324</f>
        <v>15531</v>
      </c>
      <c r="AW324" s="73">
        <f>AT324+AV324+AU324</f>
        <v>15800</v>
      </c>
      <c r="AY324" s="74">
        <f>AZ324+BA324+BB324+BC324+BD324+BE324</f>
        <v>16100</v>
      </c>
      <c r="AZ324" s="14">
        <v>15800</v>
      </c>
      <c r="BC324" s="17">
        <v>290</v>
      </c>
      <c r="BD324" s="17">
        <v>10</v>
      </c>
      <c r="BL324" s="18">
        <v>8</v>
      </c>
      <c r="BM324" s="90" t="s">
        <v>61</v>
      </c>
    </row>
    <row r="325" customHeight="1" spans="1:65">
      <c r="A325" s="1" t="s">
        <v>257</v>
      </c>
      <c r="B325" s="33">
        <v>10059889</v>
      </c>
      <c r="C325" s="34" t="s">
        <v>59</v>
      </c>
      <c r="D325" s="3" t="s">
        <v>110</v>
      </c>
      <c r="E325" s="3">
        <v>2180</v>
      </c>
      <c r="G325" s="3">
        <v>5890</v>
      </c>
      <c r="I325" s="3">
        <v>4284</v>
      </c>
      <c r="J325" s="3">
        <f>69+49+49+129+79+49+276+168</f>
        <v>868</v>
      </c>
      <c r="K325" s="4">
        <f>17100-14376</f>
        <v>2724</v>
      </c>
      <c r="L325" s="5">
        <f>E325+F325+H325+I325+J325+G325+K325</f>
        <v>15946</v>
      </c>
      <c r="U325" s="7">
        <f>N325+O325+P325+Q325+S325+R325+T325</f>
        <v>0</v>
      </c>
      <c r="AD325" s="9">
        <f>W325+X325+Y325+Z325+AA325+AB325+AC325</f>
        <v>0</v>
      </c>
      <c r="AF325" s="34"/>
      <c r="AG325" s="34"/>
      <c r="AH325" s="34"/>
      <c r="AN325" s="9">
        <f>AG325+AH325+AI325+AJ325+AK325+AL325+AM325</f>
        <v>0</v>
      </c>
      <c r="AT325" s="11">
        <f>100+1014+40</f>
        <v>1154</v>
      </c>
      <c r="AV325" s="64">
        <f>L325+U325+AD325</f>
        <v>15946</v>
      </c>
      <c r="AW325" s="73">
        <f>AT325+AV325+AU325</f>
        <v>17100</v>
      </c>
      <c r="AY325" s="74">
        <f>AZ325+BA325+BB325+BC325+BD325+BE325</f>
        <v>17200</v>
      </c>
      <c r="BA325" s="15">
        <v>17100</v>
      </c>
      <c r="BC325" s="17">
        <v>100</v>
      </c>
      <c r="BL325" s="18">
        <v>11</v>
      </c>
      <c r="BM325" s="90" t="s">
        <v>61</v>
      </c>
    </row>
    <row r="326" customHeight="1" spans="1:65">
      <c r="A326" s="1" t="s">
        <v>257</v>
      </c>
      <c r="B326" s="33">
        <v>10059890</v>
      </c>
      <c r="C326" s="34" t="s">
        <v>84</v>
      </c>
      <c r="D326" s="3" t="s">
        <v>176</v>
      </c>
      <c r="E326" s="3">
        <v>2580</v>
      </c>
      <c r="F326" s="3">
        <v>8990</v>
      </c>
      <c r="G326" s="3">
        <f>4890+4690+18380</f>
        <v>27960</v>
      </c>
      <c r="I326" s="3">
        <f>11448</f>
        <v>11448</v>
      </c>
      <c r="K326" s="4">
        <f>62500-54082</f>
        <v>8418</v>
      </c>
      <c r="L326" s="5">
        <f>E326+F326+H326+I326+J326+G326+K326</f>
        <v>59396</v>
      </c>
      <c r="U326" s="7">
        <f>N326+O326+P326+Q326+S326+R326+T326</f>
        <v>0</v>
      </c>
      <c r="AD326" s="9">
        <f>W326+X326+Y326+Z326+AA326+AB326+AC326</f>
        <v>0</v>
      </c>
      <c r="AF326" s="34"/>
      <c r="AG326" s="34"/>
      <c r="AH326" s="34"/>
      <c r="AN326" s="9">
        <f>AG326+AH326+AI326+AJ326+AK326+AL326+AM326</f>
        <v>0</v>
      </c>
      <c r="AT326" s="11">
        <f>100+100+98+58+400+220+100+2028</f>
        <v>3104</v>
      </c>
      <c r="AV326" s="64">
        <f>L326+U326+AD326</f>
        <v>59396</v>
      </c>
      <c r="AW326" s="73">
        <f>AT326+AV326+AU326</f>
        <v>62500</v>
      </c>
      <c r="AY326" s="74">
        <f>AZ326+BA326+BB326+BC326+BD326+BE326</f>
        <v>62600</v>
      </c>
      <c r="BA326" s="15">
        <v>62500</v>
      </c>
      <c r="BC326" s="17">
        <v>100</v>
      </c>
      <c r="BL326" s="18">
        <v>4</v>
      </c>
      <c r="BM326" s="90" t="s">
        <v>140</v>
      </c>
    </row>
    <row r="327" customHeight="1" spans="1:65">
      <c r="A327" s="1" t="s">
        <v>268</v>
      </c>
      <c r="B327" s="33">
        <v>10059891</v>
      </c>
      <c r="C327" s="3">
        <v>309</v>
      </c>
      <c r="D327" s="3" t="s">
        <v>42</v>
      </c>
      <c r="E327" s="3">
        <v>980</v>
      </c>
      <c r="G327" s="3">
        <v>3690</v>
      </c>
      <c r="K327" s="4">
        <f>6060-5088</f>
        <v>972</v>
      </c>
      <c r="L327" s="5">
        <f>E327+F327+H327+I327+J327+G327+K327</f>
        <v>5642</v>
      </c>
      <c r="U327" s="7">
        <f>N327+O327+P327+Q327+S327+R327+T327</f>
        <v>0</v>
      </c>
      <c r="AD327" s="9">
        <f>W327+X327+Y327+Z327+AA327+AB327+AC327</f>
        <v>0</v>
      </c>
      <c r="AF327" s="34"/>
      <c r="AG327" s="34"/>
      <c r="AH327" s="34"/>
      <c r="AN327" s="9">
        <f>AG327+AH327+AI327+AJ327+AK327+AL327+AM327</f>
        <v>0</v>
      </c>
      <c r="AT327" s="11">
        <f>100+318</f>
        <v>418</v>
      </c>
      <c r="AV327" s="64">
        <f>L327+U327+AD327</f>
        <v>5642</v>
      </c>
      <c r="AW327" s="73">
        <f>AT327+AV327+AU327</f>
        <v>6060</v>
      </c>
      <c r="AY327" s="74">
        <f>AZ327+BA327+BB327+BC327+BD327+BE327</f>
        <v>6060</v>
      </c>
      <c r="BA327" s="15">
        <v>6060</v>
      </c>
      <c r="BL327" s="18">
        <v>2</v>
      </c>
      <c r="BM327" s="90" t="s">
        <v>143</v>
      </c>
    </row>
    <row r="328" customHeight="1" spans="1:65">
      <c r="A328" s="1" t="s">
        <v>268</v>
      </c>
      <c r="B328" s="33">
        <v>10059892</v>
      </c>
      <c r="C328" s="3">
        <v>312</v>
      </c>
      <c r="D328" s="3" t="s">
        <v>122</v>
      </c>
      <c r="E328" s="3">
        <v>980</v>
      </c>
      <c r="I328" s="3">
        <v>2856</v>
      </c>
      <c r="K328" s="4">
        <f>5200-4511</f>
        <v>689</v>
      </c>
      <c r="L328" s="5">
        <f>E328+F328+H328+I328+J328+G328+K328</f>
        <v>4525</v>
      </c>
      <c r="U328" s="7">
        <f>N328+O328+P328+Q328+S328+R328+T328</f>
        <v>0</v>
      </c>
      <c r="AD328" s="9">
        <f>W328+X328+Y328+Z328+AA328+AB328+AC328</f>
        <v>0</v>
      </c>
      <c r="AF328" s="34"/>
      <c r="AG328" s="34"/>
      <c r="AH328" s="34"/>
      <c r="AN328" s="9">
        <f>AG328+AH328+AI328+AJ328+AK328+AL328+AM328</f>
        <v>0</v>
      </c>
      <c r="AT328" s="11">
        <f>100+477+98</f>
        <v>675</v>
      </c>
      <c r="AV328" s="64">
        <f>L328+U328+AD328</f>
        <v>4525</v>
      </c>
      <c r="AW328" s="73">
        <f>AT328+AV328+AU328</f>
        <v>5200</v>
      </c>
      <c r="AY328" s="74">
        <f>AZ328+BA328+BB328+BC328+BD328+BE328</f>
        <v>5200</v>
      </c>
      <c r="BA328" s="15">
        <v>5200</v>
      </c>
      <c r="BL328" s="18">
        <v>3</v>
      </c>
      <c r="BM328" s="90" t="s">
        <v>224</v>
      </c>
    </row>
    <row r="329" customHeight="1" spans="1:65">
      <c r="A329" s="1" t="s">
        <v>268</v>
      </c>
      <c r="B329" s="33">
        <v>10059893</v>
      </c>
      <c r="C329" s="3" t="s">
        <v>120</v>
      </c>
      <c r="D329" s="3" t="s">
        <v>204</v>
      </c>
      <c r="E329" s="3">
        <v>1880</v>
      </c>
      <c r="I329" s="3">
        <f>1428+2856</f>
        <v>4284</v>
      </c>
      <c r="J329" s="3">
        <f>169+336+129</f>
        <v>634</v>
      </c>
      <c r="K329" s="4">
        <f>9000-7433</f>
        <v>1567</v>
      </c>
      <c r="L329" s="5">
        <f>E329+F329+H329+I329+J329+G329+K329</f>
        <v>8365</v>
      </c>
      <c r="U329" s="7">
        <f>N329+O329+P329+Q329+S329+R329+T329</f>
        <v>0</v>
      </c>
      <c r="AD329" s="9">
        <f>W329+X329+Y329+Z329+AA329+AB329+AC329</f>
        <v>0</v>
      </c>
      <c r="AF329" s="34"/>
      <c r="AG329" s="34"/>
      <c r="AH329" s="34"/>
      <c r="AN329" s="9">
        <f>AG329+AH329+AI329+AJ329+AK329+AL329+AM329</f>
        <v>0</v>
      </c>
      <c r="AT329" s="11">
        <f>100+58+477</f>
        <v>635</v>
      </c>
      <c r="AV329" s="64">
        <f>L329+U329+AD329</f>
        <v>8365</v>
      </c>
      <c r="AW329" s="73">
        <f>AT329+AV329+AU329</f>
        <v>9000</v>
      </c>
      <c r="AY329" s="74">
        <f>AZ329+BA329+BB329+BC329+BD329+BE329</f>
        <v>10300</v>
      </c>
      <c r="AZ329" s="14">
        <v>9000</v>
      </c>
      <c r="BC329" s="17">
        <v>1260</v>
      </c>
      <c r="BD329" s="17">
        <v>40</v>
      </c>
      <c r="BL329" s="18">
        <v>3</v>
      </c>
      <c r="BM329" s="90" t="s">
        <v>140</v>
      </c>
    </row>
    <row r="330" customHeight="1" spans="1:64">
      <c r="A330" s="1" t="s">
        <v>268</v>
      </c>
      <c r="B330" s="33">
        <v>10059894</v>
      </c>
      <c r="C330" s="3">
        <v>316</v>
      </c>
      <c r="D330" s="3" t="s">
        <v>269</v>
      </c>
      <c r="E330" s="3">
        <v>980</v>
      </c>
      <c r="I330" s="3">
        <f>3816+1908</f>
        <v>5724</v>
      </c>
      <c r="J330" s="3">
        <v>69</v>
      </c>
      <c r="K330" s="4">
        <f>9000-7350</f>
        <v>1650</v>
      </c>
      <c r="L330" s="5">
        <f>E330+F330+H330+I330+J330+G330+K330</f>
        <v>8423</v>
      </c>
      <c r="U330" s="7">
        <f>N330+O330+P330+Q330+S330+R330+T330</f>
        <v>0</v>
      </c>
      <c r="AD330" s="9">
        <f>W330+X330+Y330+Z330+AA330+AB330+AC330</f>
        <v>0</v>
      </c>
      <c r="AF330" s="34"/>
      <c r="AG330" s="34"/>
      <c r="AH330" s="34"/>
      <c r="AN330" s="9">
        <f>AG330+AH330+AI330+AJ330+AK330+AL330+AM330</f>
        <v>0</v>
      </c>
      <c r="AT330" s="11">
        <f>100+477</f>
        <v>577</v>
      </c>
      <c r="AV330" s="64">
        <f>L330+U330+AD330</f>
        <v>8423</v>
      </c>
      <c r="AW330" s="73">
        <f>AT330+AV330+AU330</f>
        <v>9000</v>
      </c>
      <c r="AX330" s="75" t="s">
        <v>270</v>
      </c>
      <c r="AY330" s="74">
        <f>AZ330+BA330+BB330+BC330+BD330+BE330</f>
        <v>0</v>
      </c>
      <c r="BG330" s="10">
        <v>9000</v>
      </c>
      <c r="BL330" s="18">
        <v>4</v>
      </c>
    </row>
    <row r="331" customHeight="1" spans="1:65">
      <c r="A331" s="1" t="s">
        <v>268</v>
      </c>
      <c r="B331" s="33">
        <v>10059895</v>
      </c>
      <c r="C331" s="34" t="s">
        <v>48</v>
      </c>
      <c r="D331" s="3" t="s">
        <v>235</v>
      </c>
      <c r="E331" s="3">
        <v>1880</v>
      </c>
      <c r="G331" s="3">
        <v>11800</v>
      </c>
      <c r="K331" s="4">
        <f>17700-14684</f>
        <v>3016</v>
      </c>
      <c r="L331" s="5">
        <f>E331+F331+H331+I331+J331+G331+K331</f>
        <v>16696</v>
      </c>
      <c r="U331" s="7">
        <f>N331+O331+P331+Q331+S331+R331+T331</f>
        <v>0</v>
      </c>
      <c r="AD331" s="9">
        <f>W331+X331+Y331+Z331+AA331+AB331+AC331</f>
        <v>0</v>
      </c>
      <c r="AF331" s="34"/>
      <c r="AG331" s="34"/>
      <c r="AH331" s="34"/>
      <c r="AN331" s="9">
        <f>AG331+AH331+AI331+AJ331+AK331+AL331+AM331</f>
        <v>0</v>
      </c>
      <c r="AT331" s="11">
        <f>100+636+110+100+58</f>
        <v>1004</v>
      </c>
      <c r="AV331" s="64">
        <f>L331+U331+AD331</f>
        <v>16696</v>
      </c>
      <c r="AW331" s="73">
        <f>AT331+AV331+AU331</f>
        <v>17700</v>
      </c>
      <c r="AY331" s="74">
        <f>AZ331+BA331+BB331+BC331+BD331+BE331</f>
        <v>17700</v>
      </c>
      <c r="BA331" s="15">
        <v>17700</v>
      </c>
      <c r="BL331" s="18">
        <v>4</v>
      </c>
      <c r="BM331" s="90" t="s">
        <v>174</v>
      </c>
    </row>
    <row r="332" customHeight="1" spans="1:65">
      <c r="A332" s="1" t="s">
        <v>268</v>
      </c>
      <c r="B332" s="33">
        <v>10059896</v>
      </c>
      <c r="C332" s="3" t="s">
        <v>70</v>
      </c>
      <c r="D332" s="3" t="s">
        <v>186</v>
      </c>
      <c r="E332" s="3">
        <v>1880</v>
      </c>
      <c r="H332" s="3">
        <v>4160</v>
      </c>
      <c r="J332" s="3">
        <f>139+129</f>
        <v>268</v>
      </c>
      <c r="K332" s="4">
        <f>8600-6992</f>
        <v>1608</v>
      </c>
      <c r="L332" s="5">
        <f>E332+F332+H332+I332+J332+G332+K332</f>
        <v>7916</v>
      </c>
      <c r="U332" s="7">
        <f>N332+O332+P332+Q332+S332+R332+T332</f>
        <v>0</v>
      </c>
      <c r="AD332" s="9">
        <f>W332+X332+Y332+Z332+AA332+AB332+AC332</f>
        <v>0</v>
      </c>
      <c r="AF332" s="34"/>
      <c r="AG332" s="34"/>
      <c r="AH332" s="34"/>
      <c r="AN332" s="9">
        <f>AG332+AH332+AI332+AJ332+AK332+AL332+AM332</f>
        <v>0</v>
      </c>
      <c r="AT332" s="11">
        <f>100+477+58+49</f>
        <v>684</v>
      </c>
      <c r="AV332" s="64">
        <f>L332+U332+AD332</f>
        <v>7916</v>
      </c>
      <c r="AW332" s="73">
        <f>AT332+AV332+AU332</f>
        <v>8600</v>
      </c>
      <c r="AY332" s="74">
        <f>AZ332+BA332+BB332+BC332+BD332+BE332</f>
        <v>8600</v>
      </c>
      <c r="BA332" s="15">
        <v>8600</v>
      </c>
      <c r="BL332" s="18">
        <v>2</v>
      </c>
      <c r="BM332" s="90" t="s">
        <v>271</v>
      </c>
    </row>
    <row r="333" customHeight="1" spans="1:65">
      <c r="A333" s="1" t="s">
        <v>268</v>
      </c>
      <c r="B333" s="33">
        <v>10059897</v>
      </c>
      <c r="C333" s="3" t="s">
        <v>44</v>
      </c>
      <c r="D333" s="34" t="s">
        <v>272</v>
      </c>
      <c r="E333" s="3">
        <v>1880</v>
      </c>
      <c r="G333" s="3">
        <v>7990</v>
      </c>
      <c r="I333" s="3">
        <f>318+3816</f>
        <v>4134</v>
      </c>
      <c r="K333" s="4">
        <f>18000-15217</f>
        <v>2783</v>
      </c>
      <c r="L333" s="5">
        <f>E333+F333+H333+I333+J333+G333+K333</f>
        <v>16787</v>
      </c>
      <c r="U333" s="7">
        <f>N333+O333+P333+Q333+S333+R333+T333</f>
        <v>0</v>
      </c>
      <c r="AD333" s="9">
        <f>W333+X333+Y333+Z333+AA333+AB333+AC333</f>
        <v>0</v>
      </c>
      <c r="AF333" s="34"/>
      <c r="AG333" s="34"/>
      <c r="AH333" s="34"/>
      <c r="AN333" s="9">
        <f>AG333+AH333+AI333+AJ333+AK333+AL333+AM333</f>
        <v>0</v>
      </c>
      <c r="AT333" s="11">
        <f>100+507+477+29+100</f>
        <v>1213</v>
      </c>
      <c r="AV333" s="64">
        <f>L333+U333+AD333</f>
        <v>16787</v>
      </c>
      <c r="AW333" s="73">
        <f>AT333+AV333+AU333</f>
        <v>18000</v>
      </c>
      <c r="AY333" s="74">
        <f>AZ333+BA333+BB333+BC333+BD333+BE333</f>
        <v>18000</v>
      </c>
      <c r="BA333" s="15">
        <v>18000</v>
      </c>
      <c r="BL333" s="18">
        <v>10</v>
      </c>
      <c r="BM333" s="90" t="s">
        <v>143</v>
      </c>
    </row>
    <row r="334" customHeight="1" spans="1:65">
      <c r="A334" s="1" t="s">
        <v>268</v>
      </c>
      <c r="B334" s="33">
        <v>10059898</v>
      </c>
      <c r="C334" s="34" t="s">
        <v>107</v>
      </c>
      <c r="D334" s="3" t="s">
        <v>85</v>
      </c>
      <c r="E334" s="3">
        <v>1299</v>
      </c>
      <c r="I334" s="3">
        <v>7632</v>
      </c>
      <c r="J334" s="3">
        <f>129+129+129+138+138</f>
        <v>663</v>
      </c>
      <c r="K334" s="4">
        <f>11850-10489</f>
        <v>1361</v>
      </c>
      <c r="L334" s="5">
        <f>E334+F334+H334+I334+J334+G334+K334</f>
        <v>10955</v>
      </c>
      <c r="U334" s="7">
        <f>N334+O334+P334+Q334+S334+R334+T334</f>
        <v>0</v>
      </c>
      <c r="AD334" s="9">
        <f>W334+X334+Y334+Z334+AA334+AB334+AC334</f>
        <v>0</v>
      </c>
      <c r="AF334" s="34"/>
      <c r="AG334" s="34"/>
      <c r="AH334" s="34"/>
      <c r="AN334" s="9">
        <f>AG334+AH334+AI334+AJ334+AK334+AL334+AM334</f>
        <v>0</v>
      </c>
      <c r="AT334" s="11">
        <f>100+795</f>
        <v>895</v>
      </c>
      <c r="AV334" s="64">
        <f>L334+U334+AD334</f>
        <v>10955</v>
      </c>
      <c r="AW334" s="73">
        <f>AT334+AV334+AU334</f>
        <v>11850</v>
      </c>
      <c r="AY334" s="74">
        <f>AZ334+BA334+BB334+BC334+BD334+BE334</f>
        <v>12050</v>
      </c>
      <c r="BA334" s="15">
        <v>11850</v>
      </c>
      <c r="BC334" s="17">
        <v>200</v>
      </c>
      <c r="BL334" s="18">
        <v>4</v>
      </c>
      <c r="BM334" s="90" t="s">
        <v>212</v>
      </c>
    </row>
    <row r="335" customHeight="1" spans="1:65">
      <c r="A335" s="1" t="s">
        <v>268</v>
      </c>
      <c r="B335" s="33">
        <v>10059899</v>
      </c>
      <c r="C335" s="3">
        <v>320</v>
      </c>
      <c r="D335" s="3" t="s">
        <v>273</v>
      </c>
      <c r="E335" s="3">
        <v>1299</v>
      </c>
      <c r="G335" s="3">
        <v>5990</v>
      </c>
      <c r="J335" s="3">
        <v>336</v>
      </c>
      <c r="K335" s="4">
        <f>10380-8569</f>
        <v>1811</v>
      </c>
      <c r="L335" s="5">
        <f>E335+F335+H335+I335+J335+G335+K335</f>
        <v>9436</v>
      </c>
      <c r="U335" s="7">
        <f>N335+O335+P335+Q335+S335+R335+T335</f>
        <v>0</v>
      </c>
      <c r="AD335" s="9">
        <f>W335+X335+Y335+Z335+AA335+AB335+AC335</f>
        <v>0</v>
      </c>
      <c r="AF335" s="34"/>
      <c r="AG335" s="34"/>
      <c r="AH335" s="34"/>
      <c r="AN335" s="9">
        <f>AG335+AH335+AI335+AJ335+AK335+AL335+AM335</f>
        <v>0</v>
      </c>
      <c r="AT335" s="11">
        <f>100+795+49</f>
        <v>944</v>
      </c>
      <c r="AV335" s="64">
        <f>L335+U335+AD335</f>
        <v>9436</v>
      </c>
      <c r="AW335" s="73">
        <f>AT335+AV335+AU335</f>
        <v>10380</v>
      </c>
      <c r="AY335" s="74">
        <f>AZ335+BA335+BB335+BC335+BD335+BE335</f>
        <v>10380</v>
      </c>
      <c r="AZ335" s="14">
        <v>10380</v>
      </c>
      <c r="BL335" s="18">
        <v>6</v>
      </c>
      <c r="BM335" s="90" t="s">
        <v>140</v>
      </c>
    </row>
    <row r="336" customHeight="1" spans="1:65">
      <c r="A336" s="1" t="s">
        <v>268</v>
      </c>
      <c r="B336" s="33">
        <v>10059900</v>
      </c>
      <c r="C336" s="3">
        <v>301</v>
      </c>
      <c r="D336" s="3" t="s">
        <v>42</v>
      </c>
      <c r="E336" s="3">
        <v>1299</v>
      </c>
      <c r="I336" s="3">
        <f>2856+1428</f>
        <v>4284</v>
      </c>
      <c r="K336" s="4">
        <f>7200-6160</f>
        <v>1040</v>
      </c>
      <c r="L336" s="5">
        <f>E336+F336+H336+I336+J336+G336+K336</f>
        <v>6623</v>
      </c>
      <c r="U336" s="7">
        <f>N336+O336+P336+Q336+S336+R336+T336</f>
        <v>0</v>
      </c>
      <c r="AD336" s="9">
        <f>W336+X336+Y336+Z336+AA336+AB336+AC336</f>
        <v>0</v>
      </c>
      <c r="AF336" s="34"/>
      <c r="AG336" s="34"/>
      <c r="AH336" s="34"/>
      <c r="AN336" s="9">
        <f>AG336+AH336+AI336+AJ336+AK336+AL336+AM336</f>
        <v>0</v>
      </c>
      <c r="AT336" s="11">
        <f>100+477</f>
        <v>577</v>
      </c>
      <c r="AV336" s="64">
        <f>L336+U336+AD336</f>
        <v>6623</v>
      </c>
      <c r="AW336" s="73">
        <f>AT336+AV336+AU336</f>
        <v>7200</v>
      </c>
      <c r="AY336" s="74">
        <f>AZ336+BA336+BB336+BC336+BD336+BE336</f>
        <v>7200</v>
      </c>
      <c r="BA336" s="15">
        <v>7200</v>
      </c>
      <c r="BL336" s="18">
        <v>3</v>
      </c>
      <c r="BM336" s="90" t="s">
        <v>143</v>
      </c>
    </row>
    <row r="337" customHeight="1" spans="1:64">
      <c r="A337" s="1" t="s">
        <v>268</v>
      </c>
      <c r="B337" s="33">
        <v>10059901</v>
      </c>
      <c r="C337" s="3" t="s">
        <v>192</v>
      </c>
      <c r="D337" s="34"/>
      <c r="L337" s="5">
        <f>E337+F337+H337+I337+J337+G337+K337</f>
        <v>0</v>
      </c>
      <c r="U337" s="7">
        <f>N337+O337+P337+Q337+S337+R337+T337</f>
        <v>0</v>
      </c>
      <c r="V337" s="91" t="s">
        <v>185</v>
      </c>
      <c r="AC337" s="8">
        <v>5746</v>
      </c>
      <c r="AD337" s="9">
        <f>W337+X337+Y337+Z337+AA337+AB337+AC337</f>
        <v>5746</v>
      </c>
      <c r="AF337" s="34"/>
      <c r="AG337" s="34"/>
      <c r="AH337" s="34"/>
      <c r="AN337" s="9">
        <f>AG337+AH337+AI337+AJ337+AK337+AL337+AM337</f>
        <v>0</v>
      </c>
      <c r="AT337" s="11">
        <f>100+954</f>
        <v>1054</v>
      </c>
      <c r="AV337" s="64">
        <f>L337+U337+AD337</f>
        <v>5746</v>
      </c>
      <c r="AW337" s="73">
        <f>AT337+AV337+AU337</f>
        <v>6800</v>
      </c>
      <c r="AY337" s="74">
        <f>AZ337+BA337+BB337+BC337+BD337+BE337</f>
        <v>6800</v>
      </c>
      <c r="BB337" s="16">
        <v>6800</v>
      </c>
      <c r="BL337" s="18">
        <v>7</v>
      </c>
    </row>
    <row r="338" customHeight="1" spans="1:65">
      <c r="A338" s="1" t="s">
        <v>268</v>
      </c>
      <c r="B338" s="33">
        <v>10059902</v>
      </c>
      <c r="C338" s="34" t="s">
        <v>65</v>
      </c>
      <c r="D338" s="3" t="s">
        <v>51</v>
      </c>
      <c r="E338" s="3">
        <v>2180</v>
      </c>
      <c r="I338" s="3">
        <v>5712</v>
      </c>
      <c r="J338" s="3">
        <f>1344+129+169</f>
        <v>1642</v>
      </c>
      <c r="K338" s="4">
        <f>11500-10241</f>
        <v>1259</v>
      </c>
      <c r="L338" s="5">
        <f>E338+F338+H338+I338+J338+G338+K338</f>
        <v>10793</v>
      </c>
      <c r="U338" s="7">
        <f>N338+O338+P338+Q338+S338+R338+T338</f>
        <v>0</v>
      </c>
      <c r="AD338" s="9">
        <f>W338+X338+Y338+Z338+AA338+AB338+AC338</f>
        <v>0</v>
      </c>
      <c r="AF338" s="34"/>
      <c r="AG338" s="34"/>
      <c r="AH338" s="34"/>
      <c r="AN338" s="9">
        <f>AG338+AH338+AI338+AJ338+AK338+AL338+AM338</f>
        <v>0</v>
      </c>
      <c r="AT338" s="11">
        <f>100+507+100</f>
        <v>707</v>
      </c>
      <c r="AV338" s="64">
        <f>L338+U338+AD338</f>
        <v>10793</v>
      </c>
      <c r="AW338" s="73">
        <f>AT338+AV338+AU338</f>
        <v>11500</v>
      </c>
      <c r="AY338" s="74">
        <f>AZ338+BA338+BB338+BC338+BD338+BE338</f>
        <v>11500</v>
      </c>
      <c r="BA338" s="15">
        <v>11500</v>
      </c>
      <c r="BL338" s="18">
        <v>3</v>
      </c>
      <c r="BM338" s="90" t="s">
        <v>196</v>
      </c>
    </row>
    <row r="339" customHeight="1" spans="1:64">
      <c r="A339" s="1" t="s">
        <v>268</v>
      </c>
      <c r="B339" s="33">
        <v>10059903</v>
      </c>
      <c r="C339" s="3">
        <v>318</v>
      </c>
      <c r="D339" s="3" t="s">
        <v>269</v>
      </c>
      <c r="E339" s="3">
        <v>980</v>
      </c>
      <c r="I339" s="3">
        <v>2856</v>
      </c>
      <c r="K339" s="4">
        <f>5350-4413</f>
        <v>937</v>
      </c>
      <c r="L339" s="5">
        <f>E339+F339+H339+I339+J339+G339+K339</f>
        <v>4773</v>
      </c>
      <c r="U339" s="7">
        <f>N339+O339+P339+Q339+S339+R339+T339</f>
        <v>0</v>
      </c>
      <c r="AD339" s="9">
        <f>W339+X339+Y339+Z339+AA339+AB339+AC339</f>
        <v>0</v>
      </c>
      <c r="AF339" s="34"/>
      <c r="AG339" s="34"/>
      <c r="AH339" s="34"/>
      <c r="AN339" s="9">
        <f>AG339+AH339+AI339+AJ339+AK339+AL339+AM339</f>
        <v>0</v>
      </c>
      <c r="AT339" s="11">
        <f>100+477</f>
        <v>577</v>
      </c>
      <c r="AV339" s="64">
        <f>L339+U339+AD339</f>
        <v>4773</v>
      </c>
      <c r="AW339" s="73">
        <f>AT339+AV339+AU339</f>
        <v>5350</v>
      </c>
      <c r="AY339" s="74">
        <f>AZ339+BA339+BB339+BC339+BD339+BE339</f>
        <v>5350</v>
      </c>
      <c r="AZ339" s="14">
        <v>5350</v>
      </c>
      <c r="BL339" s="18">
        <v>4</v>
      </c>
    </row>
    <row r="340" customHeight="1" spans="1:65">
      <c r="A340" s="1" t="s">
        <v>268</v>
      </c>
      <c r="B340" s="33">
        <v>10059904</v>
      </c>
      <c r="C340" s="34" t="s">
        <v>159</v>
      </c>
      <c r="D340" s="3" t="s">
        <v>208</v>
      </c>
      <c r="E340" s="3">
        <v>1880</v>
      </c>
      <c r="I340" s="3">
        <f>3816+318</f>
        <v>4134</v>
      </c>
      <c r="K340" s="4">
        <f>7900-6432</f>
        <v>1468</v>
      </c>
      <c r="L340" s="5">
        <f>E340+F340+H340+I340+J340+G340+K340</f>
        <v>7482</v>
      </c>
      <c r="U340" s="7">
        <f>N340+O340+P340+Q340+S340+R340+T340</f>
        <v>0</v>
      </c>
      <c r="AD340" s="9">
        <f>W340+X340+Y340+Z340+AA340+AB340+AC340</f>
        <v>0</v>
      </c>
      <c r="AF340" s="34"/>
      <c r="AG340" s="34"/>
      <c r="AH340" s="34"/>
      <c r="AN340" s="9">
        <f>AG340+AH340+AI340+AJ340+AK340+AL340+AM340</f>
        <v>0</v>
      </c>
      <c r="AT340" s="11">
        <f>100+318</f>
        <v>418</v>
      </c>
      <c r="AV340" s="64">
        <f>L340+U340+AD340</f>
        <v>7482</v>
      </c>
      <c r="AW340" s="73">
        <f>AT340+AV340+AU340</f>
        <v>7900</v>
      </c>
      <c r="AY340" s="74">
        <f>AZ340+BA340+BB340+BC340+BD340+BE340</f>
        <v>8000</v>
      </c>
      <c r="BA340" s="15">
        <v>7900</v>
      </c>
      <c r="BC340" s="17">
        <v>100</v>
      </c>
      <c r="BL340" s="18">
        <v>2</v>
      </c>
      <c r="BM340" s="90" t="s">
        <v>128</v>
      </c>
    </row>
    <row r="341" customHeight="1" spans="1:65">
      <c r="A341" s="1" t="s">
        <v>268</v>
      </c>
      <c r="B341" s="33">
        <v>10059905</v>
      </c>
      <c r="C341" s="3">
        <v>307</v>
      </c>
      <c r="D341" s="3" t="s">
        <v>186</v>
      </c>
      <c r="E341" s="3">
        <v>980</v>
      </c>
      <c r="G341" s="3">
        <v>7990</v>
      </c>
      <c r="K341" s="4">
        <f>12290-10024</f>
        <v>2266</v>
      </c>
      <c r="L341" s="5">
        <f>E341+F341+H341+I341+J341+G341+K341</f>
        <v>11236</v>
      </c>
      <c r="U341" s="7">
        <f>N341+O341+P341+Q341+S341+R341+T341</f>
        <v>0</v>
      </c>
      <c r="AD341" s="9">
        <f>W341+X341+Y341+Z341+AA341+AB341+AC341</f>
        <v>0</v>
      </c>
      <c r="AF341" s="34"/>
      <c r="AG341" s="34"/>
      <c r="AH341" s="34"/>
      <c r="AN341" s="9">
        <f>AG341+AH341+AI341+AJ341+AK341+AL341+AM341</f>
        <v>0</v>
      </c>
      <c r="AT341" s="11">
        <f>100+954</f>
        <v>1054</v>
      </c>
      <c r="AV341" s="64">
        <f>L341+U341+AD341</f>
        <v>11236</v>
      </c>
      <c r="AW341" s="73">
        <f>AT341+AV341+AU341</f>
        <v>12290</v>
      </c>
      <c r="AY341" s="74">
        <f>AZ341+BA341+BB341+BC341+BD341+BE341</f>
        <v>12290</v>
      </c>
      <c r="AZ341" s="14">
        <v>12290</v>
      </c>
      <c r="BL341" s="18">
        <v>5</v>
      </c>
      <c r="BM341" s="90" t="s">
        <v>271</v>
      </c>
    </row>
    <row r="342" customHeight="1" spans="1:64">
      <c r="A342" s="1" t="s">
        <v>268</v>
      </c>
      <c r="B342" s="33">
        <v>10059906</v>
      </c>
      <c r="C342" s="3">
        <v>310</v>
      </c>
      <c r="L342" s="5">
        <f>E342+F342+H342+I342+J342+G342+K342</f>
        <v>0</v>
      </c>
      <c r="M342" s="3" t="s">
        <v>184</v>
      </c>
      <c r="N342" s="3">
        <v>980</v>
      </c>
      <c r="R342" s="3">
        <v>2856</v>
      </c>
      <c r="T342" s="6">
        <v>446</v>
      </c>
      <c r="U342" s="7">
        <f>N342+O342+P342+Q342+S342+R342+T342</f>
        <v>4282</v>
      </c>
      <c r="AD342" s="9">
        <f>W342+X342+Y342+Z342+AA342+AB342+AC342</f>
        <v>0</v>
      </c>
      <c r="AF342" s="34"/>
      <c r="AG342" s="34"/>
      <c r="AH342" s="34"/>
      <c r="AN342" s="9">
        <f>AG342+AH342+AI342+AJ342+AK342+AL342+AM342</f>
        <v>0</v>
      </c>
      <c r="AT342" s="11">
        <f>100+318</f>
        <v>418</v>
      </c>
      <c r="AV342" s="64">
        <f>L342+U342+AD342</f>
        <v>4282</v>
      </c>
      <c r="AW342" s="73">
        <f>AT342+AV342+AU342</f>
        <v>4700</v>
      </c>
      <c r="AY342" s="74">
        <f>AZ342+BA342+BB342+BC342+BD342+BE342</f>
        <v>4700</v>
      </c>
      <c r="BA342" s="15">
        <v>4700</v>
      </c>
      <c r="BL342" s="18">
        <v>3</v>
      </c>
    </row>
    <row r="343" customHeight="1" spans="1:64">
      <c r="A343" s="1" t="s">
        <v>268</v>
      </c>
      <c r="B343" s="33">
        <v>10059907</v>
      </c>
      <c r="C343" s="3">
        <v>311</v>
      </c>
      <c r="D343" s="3" t="s">
        <v>156</v>
      </c>
      <c r="E343" s="3">
        <v>980</v>
      </c>
      <c r="I343" s="3">
        <v>2380</v>
      </c>
      <c r="K343" s="4">
        <f>4300-3827</f>
        <v>473</v>
      </c>
      <c r="L343" s="5">
        <f>E343+F343+H343+I343+J343+G343+K343</f>
        <v>3833</v>
      </c>
      <c r="U343" s="7">
        <f>N343+O343+P343+Q343+S343+R343+T343</f>
        <v>0</v>
      </c>
      <c r="AD343" s="9">
        <f>W343+X343+Y343+Z343+AA343+AB343+AC343</f>
        <v>0</v>
      </c>
      <c r="AF343" s="34"/>
      <c r="AG343" s="34"/>
      <c r="AH343" s="34"/>
      <c r="AN343" s="9">
        <f>AG343+AH343+AI343+AJ343+AK343+AL343+AM343</f>
        <v>0</v>
      </c>
      <c r="AT343" s="11">
        <f>100+318+49</f>
        <v>467</v>
      </c>
      <c r="AV343" s="64">
        <f>L343+U343+AD343</f>
        <v>3833</v>
      </c>
      <c r="AW343" s="73">
        <f>AT343+AV343+AU343</f>
        <v>4300</v>
      </c>
      <c r="AY343" s="74">
        <f>AZ343+BA343+BB343+BC343+BD343+BE343</f>
        <v>12200</v>
      </c>
      <c r="BA343" s="15">
        <v>4300</v>
      </c>
      <c r="BC343" s="17">
        <v>7680</v>
      </c>
      <c r="BD343" s="17">
        <v>220</v>
      </c>
      <c r="BL343" s="18">
        <v>5</v>
      </c>
    </row>
    <row r="344" customHeight="1" spans="1:65">
      <c r="A344" s="1" t="s">
        <v>268</v>
      </c>
      <c r="B344" s="33">
        <v>10059908</v>
      </c>
      <c r="C344" s="3" t="s">
        <v>97</v>
      </c>
      <c r="D344" s="3" t="s">
        <v>186</v>
      </c>
      <c r="E344" s="3">
        <v>2180</v>
      </c>
      <c r="G344" s="3">
        <v>9990</v>
      </c>
      <c r="K344" s="4">
        <f>15400-13622</f>
        <v>1778</v>
      </c>
      <c r="L344" s="5">
        <f>E344+F344+H344+I344+J344+G344+K344</f>
        <v>13948</v>
      </c>
      <c r="U344" s="7">
        <f>N344+O344+P344+Q344+S344+R344+T344</f>
        <v>0</v>
      </c>
      <c r="AD344" s="9">
        <f>W344+X344+Y344+Z344+AA344+AB344+AC344</f>
        <v>0</v>
      </c>
      <c r="AF344" s="34"/>
      <c r="AG344" s="34"/>
      <c r="AH344" s="34"/>
      <c r="AN344" s="9">
        <f>AG344+AH344+AI344+AJ344+AK344+AL344+AM344</f>
        <v>0</v>
      </c>
      <c r="AT344" s="11">
        <f>100+507+845</f>
        <v>1452</v>
      </c>
      <c r="AV344" s="64">
        <f>L344+U344+AD344</f>
        <v>13948</v>
      </c>
      <c r="AW344" s="73">
        <f>AT344+AV344+AU344</f>
        <v>15400</v>
      </c>
      <c r="AY344" s="74">
        <f>AZ344+BA344+BB344+BC344+BD344+BE344</f>
        <v>15400</v>
      </c>
      <c r="BA344" s="15">
        <v>15400</v>
      </c>
      <c r="BL344" s="18">
        <v>4</v>
      </c>
      <c r="BM344" s="90" t="s">
        <v>271</v>
      </c>
    </row>
    <row r="345" customHeight="1" spans="1:65">
      <c r="A345" s="1" t="s">
        <v>268</v>
      </c>
      <c r="B345" s="33">
        <v>10059909</v>
      </c>
      <c r="C345" s="3" t="s">
        <v>74</v>
      </c>
      <c r="D345" s="3" t="s">
        <v>85</v>
      </c>
      <c r="E345" s="3">
        <v>1880</v>
      </c>
      <c r="I345" s="3">
        <f>3816+1908+2385</f>
        <v>8109</v>
      </c>
      <c r="J345" s="3">
        <f>129+168</f>
        <v>297</v>
      </c>
      <c r="K345" s="4">
        <f>12560-11062</f>
        <v>1498</v>
      </c>
      <c r="L345" s="5">
        <f>E345+F345+H345+I345+J345+G345+K345</f>
        <v>11784</v>
      </c>
      <c r="U345" s="7">
        <f>N345+O345+P345+Q345+S345+R345+T345</f>
        <v>0</v>
      </c>
      <c r="AD345" s="9">
        <f>W345+X345+Y345+Z345+AA345+AB345+AC345</f>
        <v>0</v>
      </c>
      <c r="AF345" s="34"/>
      <c r="AG345" s="34"/>
      <c r="AH345" s="34"/>
      <c r="AN345" s="9">
        <f>AG345+AH345+AI345+AJ345+AK345+AL345+AM345</f>
        <v>0</v>
      </c>
      <c r="AT345" s="11">
        <f>100+636+40</f>
        <v>776</v>
      </c>
      <c r="AV345" s="64">
        <f>L345+U345+AD345</f>
        <v>11784</v>
      </c>
      <c r="AW345" s="73">
        <f>AT345+AV345+AU345</f>
        <v>12560</v>
      </c>
      <c r="AY345" s="74">
        <f>AZ345+BA345+BB345+BC345+BD345+BE345</f>
        <v>12560</v>
      </c>
      <c r="BA345" s="15">
        <v>12560</v>
      </c>
      <c r="BL345" s="18">
        <v>4</v>
      </c>
      <c r="BM345" s="90" t="s">
        <v>196</v>
      </c>
    </row>
    <row r="346" customHeight="1" spans="1:64">
      <c r="A346" s="1" t="s">
        <v>268</v>
      </c>
      <c r="B346" s="33">
        <v>10059910</v>
      </c>
      <c r="C346" s="3">
        <v>302</v>
      </c>
      <c r="D346" s="3" t="s">
        <v>42</v>
      </c>
      <c r="E346" s="3">
        <v>980</v>
      </c>
      <c r="G346" s="3">
        <v>4890</v>
      </c>
      <c r="I346" s="3">
        <v>2856</v>
      </c>
      <c r="K346" s="4">
        <f>11700-10128</f>
        <v>1572</v>
      </c>
      <c r="L346" s="5">
        <f>E346+F346+H346+I346+J346+G346+K346</f>
        <v>10298</v>
      </c>
      <c r="U346" s="7">
        <f>N346+O346+P346+Q346+S346+R346+T346</f>
        <v>0</v>
      </c>
      <c r="AD346" s="9">
        <f>W346+X346+Y346+Z346+AA346+AB346+AC346</f>
        <v>0</v>
      </c>
      <c r="AF346" s="34"/>
      <c r="AG346" s="34"/>
      <c r="AH346" s="34"/>
      <c r="AN346" s="9">
        <f>AG346+AH346+AI346+AJ346+AK346+AL346+AM346</f>
        <v>0</v>
      </c>
      <c r="AT346" s="11">
        <f>100+507+795</f>
        <v>1402</v>
      </c>
      <c r="AV346" s="64">
        <f>L346+U346+AD346</f>
        <v>10298</v>
      </c>
      <c r="AW346" s="73">
        <f>AT346+AV346+AU346</f>
        <v>11700</v>
      </c>
      <c r="AY346" s="74">
        <f>AZ346+BA346+BB346+BC346+BD346+BE346</f>
        <v>11700</v>
      </c>
      <c r="BA346" s="15">
        <v>11700</v>
      </c>
      <c r="BL346" s="18">
        <v>3</v>
      </c>
    </row>
    <row r="347" customHeight="1" spans="1:64">
      <c r="A347" s="1" t="s">
        <v>268</v>
      </c>
      <c r="B347" s="33">
        <v>10059911</v>
      </c>
      <c r="C347" s="34" t="s">
        <v>59</v>
      </c>
      <c r="D347" s="3" t="s">
        <v>193</v>
      </c>
      <c r="E347" s="3">
        <v>2180</v>
      </c>
      <c r="I347" s="3">
        <v>9401</v>
      </c>
      <c r="K347" s="4">
        <f>13900-12406</f>
        <v>1494</v>
      </c>
      <c r="L347" s="5">
        <f>E347+F347+H347+I347+J347+G347+K347</f>
        <v>13075</v>
      </c>
      <c r="U347" s="7">
        <f>N347+O347+P347+Q347+S347+R347+T347</f>
        <v>0</v>
      </c>
      <c r="AD347" s="9">
        <f>W347+X347+Y347+Z347+AA347+AB347+AC347</f>
        <v>0</v>
      </c>
      <c r="AF347" s="34"/>
      <c r="AG347" s="34"/>
      <c r="AH347" s="34"/>
      <c r="AN347" s="9">
        <f>AG347+AH347+AI347+AJ347+AK347+AL347+AM347</f>
        <v>0</v>
      </c>
      <c r="AT347" s="11">
        <f>100+676+49</f>
        <v>825</v>
      </c>
      <c r="AV347" s="64">
        <f>L347+U347+AD347</f>
        <v>13075</v>
      </c>
      <c r="AW347" s="73">
        <f>AT347+AV347+AU347</f>
        <v>13900</v>
      </c>
      <c r="AY347" s="74">
        <f>AZ347+BA347+BB347+BC347+BD347+BE347</f>
        <v>13900</v>
      </c>
      <c r="BA347" s="15">
        <v>13900</v>
      </c>
      <c r="BL347" s="18">
        <v>4</v>
      </c>
    </row>
    <row r="348" customHeight="1" spans="1:65">
      <c r="A348" s="1" t="s">
        <v>268</v>
      </c>
      <c r="B348" s="33">
        <v>10059912</v>
      </c>
      <c r="C348" s="34" t="s">
        <v>78</v>
      </c>
      <c r="D348" s="3" t="s">
        <v>60</v>
      </c>
      <c r="E348" s="3">
        <v>2580</v>
      </c>
      <c r="G348" s="3">
        <v>9190</v>
      </c>
      <c r="K348" s="4">
        <f>15300-12715</f>
        <v>2585</v>
      </c>
      <c r="L348" s="5">
        <f>E348+F348+H348+I348+J348+G348+K348</f>
        <v>14355</v>
      </c>
      <c r="U348" s="7">
        <f>N348+O348+P348+Q348+S348+R348+T348</f>
        <v>0</v>
      </c>
      <c r="AD348" s="9">
        <f>W348+X348+Y348+Z348+AA348+AB348+AC348</f>
        <v>0</v>
      </c>
      <c r="AF348" s="34"/>
      <c r="AG348" s="34"/>
      <c r="AH348" s="34"/>
      <c r="AN348" s="9">
        <f>AG348+AH348+AI348+AJ348+AK348+AL348+AM348</f>
        <v>0</v>
      </c>
      <c r="AT348" s="11">
        <f>100+845</f>
        <v>945</v>
      </c>
      <c r="AV348" s="64">
        <f>L348+U348+AD348</f>
        <v>14355</v>
      </c>
      <c r="AW348" s="73">
        <f>AT348+AV348+AU348</f>
        <v>15300</v>
      </c>
      <c r="AX348" s="13" t="s">
        <v>274</v>
      </c>
      <c r="AY348" s="74">
        <f>AZ348+BA348+BB348+BC348+BD348+BE348</f>
        <v>0</v>
      </c>
      <c r="BG348" s="10">
        <v>15300</v>
      </c>
      <c r="BL348" s="18">
        <v>6</v>
      </c>
      <c r="BM348" s="90" t="s">
        <v>128</v>
      </c>
    </row>
    <row r="349" customHeight="1" spans="1:64">
      <c r="A349" s="1" t="s">
        <v>268</v>
      </c>
      <c r="B349" s="33">
        <v>10059913</v>
      </c>
      <c r="C349" s="34" t="s">
        <v>89</v>
      </c>
      <c r="D349" s="3" t="s">
        <v>51</v>
      </c>
      <c r="E349" s="3">
        <v>2180</v>
      </c>
      <c r="G349" s="3">
        <v>9190</v>
      </c>
      <c r="J349" s="3">
        <f>69+168+129+129+168</f>
        <v>663</v>
      </c>
      <c r="K349" s="4">
        <f>15300-13007</f>
        <v>2293</v>
      </c>
      <c r="L349" s="5">
        <f>E349+F349+H349+I349+J349+G349+K349</f>
        <v>14326</v>
      </c>
      <c r="U349" s="7">
        <f>N349+O349+P349+Q349+S349+R349+T349</f>
        <v>0</v>
      </c>
      <c r="AD349" s="9">
        <f>W349+X349+Y349+Z349+AA349+AB349+AC349</f>
        <v>0</v>
      </c>
      <c r="AF349" s="34"/>
      <c r="AG349" s="34"/>
      <c r="AH349" s="34"/>
      <c r="AN349" s="9">
        <f>AG349+AH349+AI349+AJ349+AK349+AL349+AM349</f>
        <v>0</v>
      </c>
      <c r="AT349" s="11">
        <f>100+845+29</f>
        <v>974</v>
      </c>
      <c r="AV349" s="64">
        <f>L349+U349+AD349</f>
        <v>14326</v>
      </c>
      <c r="AW349" s="73">
        <f>AT349+AV349+AU349</f>
        <v>15300</v>
      </c>
      <c r="AY349" s="74">
        <f>AZ349+BA349+BB349+BC349+BD349+BE349</f>
        <v>15465</v>
      </c>
      <c r="BA349" s="15">
        <v>15300</v>
      </c>
      <c r="BE349" s="17">
        <v>165</v>
      </c>
      <c r="BL349" s="18">
        <v>5</v>
      </c>
    </row>
    <row r="350" customHeight="1" spans="1:65">
      <c r="A350" s="1" t="s">
        <v>268</v>
      </c>
      <c r="B350" s="33">
        <v>10059914</v>
      </c>
      <c r="C350" s="34" t="s">
        <v>84</v>
      </c>
      <c r="L350" s="5">
        <f>E350+F350+H350+I350+J350+G350+K350</f>
        <v>0</v>
      </c>
      <c r="M350" s="3" t="s">
        <v>275</v>
      </c>
      <c r="N350" s="3">
        <v>1250</v>
      </c>
      <c r="U350" s="7">
        <f>N350+O350+P350+Q350+S350+R350+T350</f>
        <v>1250</v>
      </c>
      <c r="AD350" s="9">
        <f>W350+X350+Y350+Z350+AA350+AB350+AC350</f>
        <v>0</v>
      </c>
      <c r="AF350" s="3" t="s">
        <v>275</v>
      </c>
      <c r="AG350" s="34">
        <v>1330</v>
      </c>
      <c r="AH350" s="34"/>
      <c r="AK350" s="3">
        <v>11448</v>
      </c>
      <c r="AL350" s="3">
        <f>1290+168+129+129+169</f>
        <v>1885</v>
      </c>
      <c r="AM350" s="3">
        <v>2797</v>
      </c>
      <c r="AN350" s="9">
        <f>AG350+AH350+AI350+AJ350+AK350+AL350+AM350</f>
        <v>17460</v>
      </c>
      <c r="AT350" s="11">
        <f>100+338+1352</f>
        <v>1790</v>
      </c>
      <c r="AV350" s="64">
        <f>L350+U350+AD350</f>
        <v>1250</v>
      </c>
      <c r="AW350" s="73">
        <f>AT350+AV350+AU350</f>
        <v>3040</v>
      </c>
      <c r="AX350" s="75" t="s">
        <v>276</v>
      </c>
      <c r="AY350" s="74">
        <f>AZ350+BA350+BB350+BC350+BD350+BE350</f>
        <v>3540</v>
      </c>
      <c r="BA350" s="15">
        <v>3040</v>
      </c>
      <c r="BC350" s="17">
        <v>490</v>
      </c>
      <c r="BD350" s="17">
        <v>10</v>
      </c>
      <c r="BL350" s="18">
        <v>8</v>
      </c>
      <c r="BM350" s="90" t="s">
        <v>130</v>
      </c>
    </row>
    <row r="351" customHeight="1" spans="1:65">
      <c r="A351" s="1" t="s">
        <v>268</v>
      </c>
      <c r="B351" s="33">
        <v>10059915</v>
      </c>
      <c r="C351" s="34" t="s">
        <v>62</v>
      </c>
      <c r="D351" s="3" t="s">
        <v>42</v>
      </c>
      <c r="E351" s="3">
        <v>2180</v>
      </c>
      <c r="I351" s="3">
        <v>11448</v>
      </c>
      <c r="J351" s="3">
        <f>129+129</f>
        <v>258</v>
      </c>
      <c r="K351" s="4">
        <f>17250-15360</f>
        <v>1890</v>
      </c>
      <c r="L351" s="5">
        <f>E351+F351+H351+I351+J351+G351+K351</f>
        <v>15776</v>
      </c>
      <c r="U351" s="7">
        <f>N351+O351+P351+Q351+S351+R351+T351</f>
        <v>0</v>
      </c>
      <c r="AD351" s="9">
        <f>W351+X351+Y351+Z351+AA351+AB351+AC351</f>
        <v>0</v>
      </c>
      <c r="AF351" s="34"/>
      <c r="AG351" s="34"/>
      <c r="AH351" s="34"/>
      <c r="AN351" s="9">
        <f>AG351+AH351+AI351+AJ351+AK351+AL351+AM351</f>
        <v>0</v>
      </c>
      <c r="AT351" s="11">
        <f>100+845+29+500</f>
        <v>1474</v>
      </c>
      <c r="AV351" s="64">
        <f>L351+U351+AD351</f>
        <v>15776</v>
      </c>
      <c r="AW351" s="73">
        <f>AT351+AV351+AU351</f>
        <v>17250</v>
      </c>
      <c r="AY351" s="74">
        <f>AZ351+BA351+BB351+BC351+BD351+BE351</f>
        <v>18400</v>
      </c>
      <c r="BA351" s="15">
        <v>17250</v>
      </c>
      <c r="BC351" s="17">
        <v>1120</v>
      </c>
      <c r="BD351" s="17">
        <v>30</v>
      </c>
      <c r="BL351" s="18">
        <v>3</v>
      </c>
      <c r="BM351" s="90" t="s">
        <v>143</v>
      </c>
    </row>
    <row r="352" customHeight="1" spans="1:65">
      <c r="A352" s="1" t="s">
        <v>268</v>
      </c>
      <c r="B352" s="33">
        <v>10059916</v>
      </c>
      <c r="C352" s="3" t="s">
        <v>97</v>
      </c>
      <c r="D352" s="3" t="s">
        <v>202</v>
      </c>
      <c r="E352" s="3">
        <v>2180</v>
      </c>
      <c r="G352" s="3">
        <v>12900</v>
      </c>
      <c r="K352" s="4">
        <f>18400-15956</f>
        <v>2444</v>
      </c>
      <c r="L352" s="5">
        <f>E352+F352+H352+I352+J352+G352+K352</f>
        <v>17524</v>
      </c>
      <c r="U352" s="7">
        <f>N352+O352+P352+Q352+S352+R352+T352</f>
        <v>0</v>
      </c>
      <c r="AD352" s="9">
        <f>W352+X352+Y352+Z352+AA352+AB352+AC352</f>
        <v>0</v>
      </c>
      <c r="AF352" s="34"/>
      <c r="AG352" s="34"/>
      <c r="AH352" s="34"/>
      <c r="AN352" s="9">
        <f>AG352+AH352+AI352+AJ352+AK352+AL352+AM352</f>
        <v>0</v>
      </c>
      <c r="AT352" s="11">
        <f>100+676+100</f>
        <v>876</v>
      </c>
      <c r="AV352" s="64">
        <f>L352+U352+AD352</f>
        <v>17524</v>
      </c>
      <c r="AW352" s="73">
        <f>AT352+AV352+AU352</f>
        <v>18400</v>
      </c>
      <c r="AY352" s="74">
        <f>AZ352+BA352+BB352+BC352+BD352+BE352</f>
        <v>18400</v>
      </c>
      <c r="BA352" s="15">
        <v>18400</v>
      </c>
      <c r="BL352" s="18">
        <v>11</v>
      </c>
      <c r="BM352" s="90" t="s">
        <v>254</v>
      </c>
    </row>
    <row r="353" customHeight="1" spans="1:65">
      <c r="A353" s="1" t="s">
        <v>268</v>
      </c>
      <c r="B353" s="33">
        <v>10059917</v>
      </c>
      <c r="C353" s="34" t="s">
        <v>94</v>
      </c>
      <c r="D353" s="3" t="s">
        <v>232</v>
      </c>
      <c r="E353" s="3">
        <v>1680</v>
      </c>
      <c r="I353" s="3">
        <v>5724</v>
      </c>
      <c r="K353" s="4">
        <f>10000-8449</f>
        <v>1551</v>
      </c>
      <c r="L353" s="5">
        <f>E353+F353+H353+I353+J353+G353+K353</f>
        <v>8955</v>
      </c>
      <c r="U353" s="7">
        <f>N353+O353+P353+Q353+S353+R353+T353</f>
        <v>0</v>
      </c>
      <c r="AD353" s="9">
        <f>W353+X353+Y353+Z353+AA353+AB353+AC353</f>
        <v>0</v>
      </c>
      <c r="AF353" s="34"/>
      <c r="AG353" s="34"/>
      <c r="AH353" s="34"/>
      <c r="AN353" s="9">
        <f>AG353+AH353+AI353+AJ353+AK353+AL353+AM353</f>
        <v>0</v>
      </c>
      <c r="AT353" s="11">
        <f>100+845+100</f>
        <v>1045</v>
      </c>
      <c r="AV353" s="64">
        <f>L353+U353+AD353</f>
        <v>8955</v>
      </c>
      <c r="AW353" s="73">
        <f>AT353+AV353+AU353</f>
        <v>10000</v>
      </c>
      <c r="AY353" s="74">
        <f>AZ353+BA353+BB353+BC353+BD353+BE353</f>
        <v>10000</v>
      </c>
      <c r="BA353" s="15">
        <v>10000</v>
      </c>
      <c r="BL353" s="18">
        <v>5</v>
      </c>
      <c r="BM353" s="90" t="s">
        <v>143</v>
      </c>
    </row>
    <row r="354" customHeight="1" spans="1:65">
      <c r="A354" s="1" t="s">
        <v>268</v>
      </c>
      <c r="B354" s="33">
        <v>10059918</v>
      </c>
      <c r="C354" s="34" t="s">
        <v>67</v>
      </c>
      <c r="D354" s="3" t="s">
        <v>119</v>
      </c>
      <c r="E354" s="3">
        <v>2180</v>
      </c>
      <c r="G354" s="3">
        <f>9990+7690</f>
        <v>17680</v>
      </c>
      <c r="K354" s="4">
        <f>25200-20677</f>
        <v>4523</v>
      </c>
      <c r="L354" s="5">
        <f>E354+F354+H354+I354+J354+G354+K354</f>
        <v>24383</v>
      </c>
      <c r="U354" s="7">
        <f>N354+O354+P354+Q354+S354+R354+T354</f>
        <v>0</v>
      </c>
      <c r="AD354" s="9">
        <f>W354+X354+Y354+Z354+AA354+AB354+AC354</f>
        <v>0</v>
      </c>
      <c r="AF354" s="34"/>
      <c r="AG354" s="34"/>
      <c r="AH354" s="34"/>
      <c r="AN354" s="9">
        <f>AG354+AH354+AI354+AJ354+AK354+AL354+AM354</f>
        <v>0</v>
      </c>
      <c r="AT354" s="11">
        <f>100+507+100+110</f>
        <v>817</v>
      </c>
      <c r="AV354" s="64">
        <f>L354+U354+AD354</f>
        <v>24383</v>
      </c>
      <c r="AW354" s="73">
        <f>AT354+AV354+AU354</f>
        <v>25200</v>
      </c>
      <c r="AY354" s="74">
        <f>AZ354+BA354+BB354+BC354+BD354+BE354</f>
        <v>25200</v>
      </c>
      <c r="AZ354" s="14">
        <v>25200</v>
      </c>
      <c r="BL354" s="18">
        <v>2</v>
      </c>
      <c r="BM354" s="90" t="s">
        <v>130</v>
      </c>
    </row>
    <row r="355" customHeight="1" spans="1:65">
      <c r="A355" s="1" t="s">
        <v>268</v>
      </c>
      <c r="B355" s="33">
        <v>10059919</v>
      </c>
      <c r="C355" s="34" t="s">
        <v>54</v>
      </c>
      <c r="D355" s="3" t="s">
        <v>85</v>
      </c>
      <c r="E355" s="3">
        <v>2180</v>
      </c>
      <c r="G355" s="3">
        <v>8890</v>
      </c>
      <c r="K355" s="4">
        <f>15700-12164-428</f>
        <v>3108</v>
      </c>
      <c r="L355" s="5">
        <f>E355+F355+H355+I355+J355+G355+K355</f>
        <v>14178</v>
      </c>
      <c r="U355" s="7">
        <f>N355+O355+P355+Q355+S355+R355+T355</f>
        <v>0</v>
      </c>
      <c r="AD355" s="9">
        <f>W355+X355+Y355+Z355+AA355+AB355+AC355</f>
        <v>0</v>
      </c>
      <c r="AF355" s="34"/>
      <c r="AG355" s="34"/>
      <c r="AH355" s="34"/>
      <c r="AN355" s="9">
        <f>AG355+AH355+AI355+AJ355+AK355+AL355+AM355</f>
        <v>0</v>
      </c>
      <c r="AT355" s="11">
        <f>100+169+676+49+100</f>
        <v>1094</v>
      </c>
      <c r="AU355" s="11">
        <v>428</v>
      </c>
      <c r="AV355" s="64">
        <f>L355+U355+AD355</f>
        <v>14178</v>
      </c>
      <c r="AW355" s="73">
        <f>AT355+AV355+AU355</f>
        <v>15700</v>
      </c>
      <c r="AY355" s="74">
        <f>AZ355+BA355+BB355+BC355+BD355+BE355</f>
        <v>15700</v>
      </c>
      <c r="BA355" s="15">
        <v>15700</v>
      </c>
      <c r="BL355" s="18">
        <v>4</v>
      </c>
      <c r="BM355" s="90" t="s">
        <v>196</v>
      </c>
    </row>
    <row r="356" customHeight="1" spans="1:65">
      <c r="A356" s="1" t="s">
        <v>268</v>
      </c>
      <c r="B356" s="33">
        <v>10059920</v>
      </c>
      <c r="C356" s="3">
        <v>306</v>
      </c>
      <c r="L356" s="5">
        <f>E356+F356+H356+I356+J356+G356+K356</f>
        <v>0</v>
      </c>
      <c r="M356" s="3" t="s">
        <v>207</v>
      </c>
      <c r="N356" s="3">
        <v>980</v>
      </c>
      <c r="T356" s="6">
        <v>170</v>
      </c>
      <c r="U356" s="7">
        <f>N356+O356+P356+Q356+S356+R356+T356</f>
        <v>1150</v>
      </c>
      <c r="AD356" s="9">
        <f>W356+X356+Y356+Z356+AA356+AB356+AC356</f>
        <v>0</v>
      </c>
      <c r="AF356" s="34"/>
      <c r="AG356" s="34"/>
      <c r="AH356" s="34"/>
      <c r="AN356" s="9">
        <f>AG356+AH356+AI356+AJ356+AK356+AL356+AM356</f>
        <v>0</v>
      </c>
      <c r="AT356" s="11">
        <v>100</v>
      </c>
      <c r="AV356" s="64">
        <f>L356+U356+AD356</f>
        <v>1150</v>
      </c>
      <c r="AW356" s="73">
        <f>AT356+AV356+AU356</f>
        <v>1250</v>
      </c>
      <c r="AX356" s="13" t="s">
        <v>242</v>
      </c>
      <c r="AY356" s="74">
        <f>AZ356+BA356+BB356+BC356+BD356+BE356</f>
        <v>1250</v>
      </c>
      <c r="AZ356" s="14">
        <v>1250</v>
      </c>
      <c r="BL356" s="18">
        <v>3</v>
      </c>
      <c r="BM356" s="90" t="s">
        <v>143</v>
      </c>
    </row>
    <row r="357" customHeight="1" spans="1:65">
      <c r="A357" s="1" t="s">
        <v>268</v>
      </c>
      <c r="B357" s="33">
        <v>10059921</v>
      </c>
      <c r="C357" s="34" t="s">
        <v>56</v>
      </c>
      <c r="D357" s="3" t="s">
        <v>179</v>
      </c>
      <c r="E357" s="3">
        <v>3180</v>
      </c>
      <c r="G357" s="3">
        <v>5890</v>
      </c>
      <c r="I357" s="3">
        <v>11424</v>
      </c>
      <c r="J357" s="3">
        <f>387+129+129+69+129</f>
        <v>843</v>
      </c>
      <c r="K357" s="4">
        <f>27600-23495</f>
        <v>4105</v>
      </c>
      <c r="L357" s="5">
        <f>E357+F357+H357+I357+J357+G357+K357</f>
        <v>25442</v>
      </c>
      <c r="U357" s="7">
        <f>N357+O357+P357+Q357+S357+R357+T357</f>
        <v>0</v>
      </c>
      <c r="AD357" s="9">
        <f>W357+X357+Y357+Z357+AA357+AB357+AC357</f>
        <v>0</v>
      </c>
      <c r="AF357" s="34"/>
      <c r="AG357" s="34"/>
      <c r="AH357" s="34"/>
      <c r="AN357" s="9">
        <f>AG357+AH357+AI357+AJ357+AK357+AL357+AM357</f>
        <v>0</v>
      </c>
      <c r="AT357" s="11">
        <f>100+1690+58+200+110</f>
        <v>2158</v>
      </c>
      <c r="AV357" s="64">
        <f>L357+U357+AD357</f>
        <v>25442</v>
      </c>
      <c r="AW357" s="73">
        <f>AT357+AV357+AU357</f>
        <v>27600</v>
      </c>
      <c r="AY357" s="74">
        <f>AZ357+BA357+BB357+BC357+BD357+BE357</f>
        <v>27600</v>
      </c>
      <c r="BA357" s="15">
        <v>27600</v>
      </c>
      <c r="BL357" s="18">
        <v>10</v>
      </c>
      <c r="BM357" s="90" t="s">
        <v>196</v>
      </c>
    </row>
    <row r="358" customHeight="1" spans="1:65">
      <c r="A358" s="1" t="s">
        <v>277</v>
      </c>
      <c r="B358" s="33">
        <v>10059922</v>
      </c>
      <c r="C358" s="34" t="s">
        <v>78</v>
      </c>
      <c r="L358" s="5">
        <f>E358+F358+H358+I358+J358+G358+K358</f>
        <v>0</v>
      </c>
      <c r="M358" s="3" t="s">
        <v>178</v>
      </c>
      <c r="N358" s="3">
        <v>2580</v>
      </c>
      <c r="P358" s="3">
        <v>14080</v>
      </c>
      <c r="S358" s="3">
        <v>69</v>
      </c>
      <c r="T358" s="6">
        <v>3785</v>
      </c>
      <c r="U358" s="7">
        <f>N358+O358+P358+Q358+S358+R358+T358</f>
        <v>20514</v>
      </c>
      <c r="AD358" s="9">
        <f>W358+X358+Y358+Z358+AA358+AB358+AC358</f>
        <v>0</v>
      </c>
      <c r="AF358" s="34"/>
      <c r="AG358" s="34"/>
      <c r="AH358" s="34"/>
      <c r="AN358" s="9">
        <f>AG358+AH358+AI358+AJ358+AK358+AL358+AM358</f>
        <v>0</v>
      </c>
      <c r="AT358" s="11">
        <f>100+507+49</f>
        <v>656</v>
      </c>
      <c r="AV358" s="64">
        <f>L358+U358+AD358</f>
        <v>20514</v>
      </c>
      <c r="AW358" s="73">
        <f>AT358+AV358+AU358</f>
        <v>21170</v>
      </c>
      <c r="AY358" s="74">
        <f>AZ358+BA358+BB358+BC358+BD358+BE358</f>
        <v>21170</v>
      </c>
      <c r="AZ358" s="14">
        <v>21170</v>
      </c>
      <c r="BL358" s="18">
        <v>3</v>
      </c>
      <c r="BM358" s="90" t="s">
        <v>271</v>
      </c>
    </row>
    <row r="359" customHeight="1" spans="1:64">
      <c r="A359" s="1" t="s">
        <v>277</v>
      </c>
      <c r="B359" s="33">
        <v>10059923</v>
      </c>
      <c r="C359" s="3">
        <v>318</v>
      </c>
      <c r="D359" s="3" t="s">
        <v>42</v>
      </c>
      <c r="E359" s="3">
        <v>980</v>
      </c>
      <c r="I359" s="3">
        <f>7632+954</f>
        <v>8586</v>
      </c>
      <c r="J359" s="3">
        <f>129+129+169+49</f>
        <v>476</v>
      </c>
      <c r="K359" s="4">
        <f>12300-10717</f>
        <v>1583</v>
      </c>
      <c r="L359" s="5">
        <f>E359+F359+H359+I359+J359+G359+K359</f>
        <v>11625</v>
      </c>
      <c r="U359" s="7">
        <f>N359+O359+P359+Q359+S359+R359+T359</f>
        <v>0</v>
      </c>
      <c r="AD359" s="9">
        <f>W359+X359+Y359+Z359+AA359+AB359+AC359</f>
        <v>0</v>
      </c>
      <c r="AF359" s="34"/>
      <c r="AG359" s="34"/>
      <c r="AH359" s="34"/>
      <c r="AN359" s="9">
        <f>AG359+AH359+AI359+AJ359+AK359+AL359+AM359</f>
        <v>0</v>
      </c>
      <c r="AT359" s="11">
        <f>100+477+98</f>
        <v>675</v>
      </c>
      <c r="AV359" s="64">
        <f>L359+U359+AD359</f>
        <v>11625</v>
      </c>
      <c r="AW359" s="73">
        <f>AT359+AV359+AU359</f>
        <v>12300</v>
      </c>
      <c r="AY359" s="74">
        <f>AZ359+BA359+BB359+BC359+BD359+BE359</f>
        <v>12300</v>
      </c>
      <c r="BA359" s="15">
        <v>12300</v>
      </c>
      <c r="BL359" s="18">
        <v>3</v>
      </c>
    </row>
    <row r="360" customHeight="1" spans="1:64">
      <c r="A360" s="1" t="s">
        <v>277</v>
      </c>
      <c r="B360" s="33">
        <v>10059924</v>
      </c>
      <c r="C360" s="3" t="s">
        <v>120</v>
      </c>
      <c r="D360" s="3" t="s">
        <v>60</v>
      </c>
      <c r="E360" s="3">
        <v>1880</v>
      </c>
      <c r="I360" s="3">
        <f>1590+3816</f>
        <v>5406</v>
      </c>
      <c r="K360" s="4">
        <f>10179-8308</f>
        <v>1871</v>
      </c>
      <c r="L360" s="5">
        <f>E360+F360+H360+I360+J360+G360+K360</f>
        <v>9157</v>
      </c>
      <c r="U360" s="7">
        <f>N360+O360+P360+Q360+S360+R360+T360</f>
        <v>0</v>
      </c>
      <c r="AD360" s="9">
        <f>W360+X360+Y360+Z360+AA360+AB360+AC360</f>
        <v>0</v>
      </c>
      <c r="AF360" s="34"/>
      <c r="AG360" s="34"/>
      <c r="AH360" s="34"/>
      <c r="AN360" s="9">
        <f>AG360+AH360+AI360+AJ360+AK360+AL360+AM360</f>
        <v>0</v>
      </c>
      <c r="AT360" s="11">
        <f>100+98+795+29</f>
        <v>1022</v>
      </c>
      <c r="AV360" s="64">
        <f>L360+U360+AD360</f>
        <v>9157</v>
      </c>
      <c r="AW360" s="73">
        <f>AT360+AV360+AU360</f>
        <v>10179</v>
      </c>
      <c r="AY360" s="74">
        <f>AZ360+BA360+BB360+BC360+BD360+BE360</f>
        <v>10179</v>
      </c>
      <c r="AZ360" s="14">
        <v>10179</v>
      </c>
      <c r="BL360" s="18">
        <v>3</v>
      </c>
    </row>
    <row r="361" customHeight="1" spans="1:65">
      <c r="A361" s="1" t="s">
        <v>277</v>
      </c>
      <c r="B361" s="33">
        <v>10059925</v>
      </c>
      <c r="C361" s="34" t="s">
        <v>48</v>
      </c>
      <c r="D361" s="3" t="s">
        <v>141</v>
      </c>
      <c r="E361" s="3">
        <v>1880</v>
      </c>
      <c r="I361" s="3">
        <f>3816+1908</f>
        <v>5724</v>
      </c>
      <c r="J361" s="3">
        <f>129+99+129+516</f>
        <v>873</v>
      </c>
      <c r="K361" s="4">
        <f>11500-10172</f>
        <v>1328</v>
      </c>
      <c r="L361" s="5">
        <f>E361+F361+H361+I361+J361+G361+K361</f>
        <v>9805</v>
      </c>
      <c r="U361" s="7">
        <f>N361+O361+P361+Q361+S361+R361+T361</f>
        <v>0</v>
      </c>
      <c r="AD361" s="9">
        <f>W361+X361+Y361+Z361+AA361+AB361+AC361</f>
        <v>0</v>
      </c>
      <c r="AF361" s="34"/>
      <c r="AG361" s="34"/>
      <c r="AH361" s="34"/>
      <c r="AN361" s="9">
        <f>AG361+AH361+AI361+AJ361+AK361+AL361+AM361</f>
        <v>0</v>
      </c>
      <c r="AT361" s="11">
        <f>100+795+800</f>
        <v>1695</v>
      </c>
      <c r="AV361" s="64">
        <f>L361+U361+AD361</f>
        <v>9805</v>
      </c>
      <c r="AW361" s="73">
        <f>AT361+AV361+AU361</f>
        <v>11500</v>
      </c>
      <c r="AY361" s="74">
        <f>AZ361+BA361+BB361+BC361+BD361+BE361</f>
        <v>11800</v>
      </c>
      <c r="BA361" s="15">
        <v>11500</v>
      </c>
      <c r="BC361" s="17">
        <v>290</v>
      </c>
      <c r="BD361" s="17">
        <v>10</v>
      </c>
      <c r="BL361" s="18">
        <v>7</v>
      </c>
      <c r="BM361" s="90" t="s">
        <v>140</v>
      </c>
    </row>
    <row r="362" customHeight="1" spans="1:65">
      <c r="A362" s="1" t="s">
        <v>277</v>
      </c>
      <c r="B362" s="33">
        <v>10059926</v>
      </c>
      <c r="C362" s="3" t="s">
        <v>192</v>
      </c>
      <c r="D362" s="3" t="s">
        <v>248</v>
      </c>
      <c r="E362" s="3">
        <v>1880</v>
      </c>
      <c r="G362" s="3">
        <v>4690</v>
      </c>
      <c r="J362" s="3">
        <v>69</v>
      </c>
      <c r="K362" s="4">
        <f>8000-7057</f>
        <v>943</v>
      </c>
      <c r="L362" s="5">
        <f>E362+F362+H362+I362+J362+G362+K362</f>
        <v>7582</v>
      </c>
      <c r="U362" s="7">
        <f>N362+O362+P362+Q362+S362+R362+T362</f>
        <v>0</v>
      </c>
      <c r="AD362" s="9">
        <f>W362+X362+Y362+Z362+AA362+AB362+AC362</f>
        <v>0</v>
      </c>
      <c r="AF362" s="34"/>
      <c r="AG362" s="34"/>
      <c r="AH362" s="34"/>
      <c r="AN362" s="9">
        <f>AG362+AH362+AI362+AJ362+AK362+AL362+AM362</f>
        <v>0</v>
      </c>
      <c r="AT362" s="11">
        <f>100+318</f>
        <v>418</v>
      </c>
      <c r="AV362" s="64">
        <f>L362+U362+AD362</f>
        <v>7582</v>
      </c>
      <c r="AW362" s="73">
        <f>AT362+AV362+AU362</f>
        <v>8000</v>
      </c>
      <c r="AY362" s="74">
        <f>AZ362+BA362+BB362+BC362+BD362+BE362</f>
        <v>8000</v>
      </c>
      <c r="BA362" s="15">
        <v>8000</v>
      </c>
      <c r="BL362" s="18">
        <v>2</v>
      </c>
      <c r="BM362" s="90" t="s">
        <v>128</v>
      </c>
    </row>
    <row r="363" customHeight="1" spans="1:65">
      <c r="A363" s="1" t="s">
        <v>277</v>
      </c>
      <c r="B363" s="33">
        <v>10059927</v>
      </c>
      <c r="C363" s="3">
        <v>316</v>
      </c>
      <c r="D363" s="3" t="s">
        <v>129</v>
      </c>
      <c r="E363" s="3">
        <v>980</v>
      </c>
      <c r="G363" s="3">
        <v>4890</v>
      </c>
      <c r="K363" s="4">
        <f>7870-6606</f>
        <v>1264</v>
      </c>
      <c r="L363" s="5">
        <f>E363+F363+H363+I363+J363+G363+K363</f>
        <v>7134</v>
      </c>
      <c r="U363" s="7">
        <f>N363+O363+P363+Q363+S363+R363+T363</f>
        <v>0</v>
      </c>
      <c r="AD363" s="9">
        <f>W363+X363+Y363+Z363+AA363+AB363+AC363</f>
        <v>0</v>
      </c>
      <c r="AF363" s="34"/>
      <c r="AG363" s="34"/>
      <c r="AH363" s="34"/>
      <c r="AN363" s="9">
        <f>AG363+AH363+AI363+AJ363+AK363+AL363+AM363</f>
        <v>0</v>
      </c>
      <c r="AT363" s="11">
        <f>100+636</f>
        <v>736</v>
      </c>
      <c r="AV363" s="64">
        <f>L363+U363+AD363</f>
        <v>7134</v>
      </c>
      <c r="AW363" s="73">
        <f>AT363+AV363+AU363</f>
        <v>7870</v>
      </c>
      <c r="AY363" s="74">
        <f>AZ363+BA363+BB363+BC363+BD363+BE363</f>
        <v>7870</v>
      </c>
      <c r="AZ363" s="14">
        <v>7870</v>
      </c>
      <c r="BL363" s="18">
        <v>3</v>
      </c>
      <c r="BM363" s="90" t="s">
        <v>196</v>
      </c>
    </row>
    <row r="364" customHeight="1" spans="1:65">
      <c r="A364" s="1" t="s">
        <v>277</v>
      </c>
      <c r="B364" s="33">
        <v>10059928</v>
      </c>
      <c r="C364" s="3">
        <v>302</v>
      </c>
      <c r="D364" s="3" t="s">
        <v>137</v>
      </c>
      <c r="E364" s="3">
        <v>980</v>
      </c>
      <c r="I364" s="3">
        <v>2385</v>
      </c>
      <c r="K364" s="4">
        <f>4150-3783</f>
        <v>367</v>
      </c>
      <c r="L364" s="5">
        <f>E364+F364+H364+I364+J364+G364+K364</f>
        <v>3732</v>
      </c>
      <c r="U364" s="7">
        <f>N364+O364+P364+Q364+S364+R364+T364</f>
        <v>0</v>
      </c>
      <c r="AD364" s="9">
        <f>W364+X364+Y364+Z364+AA364+AB364+AC364</f>
        <v>0</v>
      </c>
      <c r="AF364" s="34"/>
      <c r="AG364" s="34"/>
      <c r="AH364" s="34"/>
      <c r="AN364" s="9">
        <f>AG364+AH364+AI364+AJ364+AK364+AL364+AM364</f>
        <v>0</v>
      </c>
      <c r="AT364" s="11">
        <f>100+318</f>
        <v>418</v>
      </c>
      <c r="AV364" s="64">
        <f>L364+U364+AD364</f>
        <v>3732</v>
      </c>
      <c r="AW364" s="73">
        <f>AT364+AV364+AU364</f>
        <v>4150</v>
      </c>
      <c r="AY364" s="74">
        <f>AZ364+BA364+BB364+BC364+BD364+BE364</f>
        <v>4150</v>
      </c>
      <c r="BA364" s="15">
        <v>4150</v>
      </c>
      <c r="BL364" s="18">
        <v>1</v>
      </c>
      <c r="BM364" s="90" t="s">
        <v>128</v>
      </c>
    </row>
    <row r="365" customHeight="1" spans="1:65">
      <c r="A365" s="1" t="s">
        <v>277</v>
      </c>
      <c r="B365" s="33">
        <v>10059929</v>
      </c>
      <c r="C365" s="34" t="s">
        <v>107</v>
      </c>
      <c r="D365" s="3" t="s">
        <v>85</v>
      </c>
      <c r="E365" s="3">
        <v>1299</v>
      </c>
      <c r="I365" s="3">
        <v>5712</v>
      </c>
      <c r="J365" s="3">
        <f>169+129+336</f>
        <v>634</v>
      </c>
      <c r="K365" s="4">
        <f>9500-8381</f>
        <v>1119</v>
      </c>
      <c r="L365" s="5">
        <f>E365+F365+H365+I365+J365+G365+K365</f>
        <v>8764</v>
      </c>
      <c r="U365" s="7">
        <f>N365+O365+P365+Q365+S365+R365+T365</f>
        <v>0</v>
      </c>
      <c r="AD365" s="9">
        <f>W365+X365+Y365+Z365+AA365+AB365+AC365</f>
        <v>0</v>
      </c>
      <c r="AF365" s="34"/>
      <c r="AG365" s="34"/>
      <c r="AH365" s="34"/>
      <c r="AN365" s="9">
        <f>AG365+AH365+AI365+AJ365+AK365+AL365+AM365</f>
        <v>0</v>
      </c>
      <c r="AT365" s="11">
        <f>100+636</f>
        <v>736</v>
      </c>
      <c r="AV365" s="64">
        <f>L365+U365+AD365</f>
        <v>8764</v>
      </c>
      <c r="AW365" s="73">
        <f>AT365+AV365+AU365</f>
        <v>9500</v>
      </c>
      <c r="AY365" s="74">
        <f>AZ365+BA365+BB365+BC365+BD365+BE365</f>
        <v>9500</v>
      </c>
      <c r="BA365" s="15">
        <v>9500</v>
      </c>
      <c r="BL365" s="18">
        <v>4</v>
      </c>
      <c r="BM365" s="90" t="s">
        <v>244</v>
      </c>
    </row>
    <row r="366" customHeight="1" spans="1:65">
      <c r="A366" s="1" t="s">
        <v>277</v>
      </c>
      <c r="B366" s="33">
        <v>10059930</v>
      </c>
      <c r="C366" s="34" t="s">
        <v>159</v>
      </c>
      <c r="D366" s="3" t="s">
        <v>133</v>
      </c>
      <c r="E366" s="3">
        <v>1880</v>
      </c>
      <c r="I366" s="3">
        <v>7632</v>
      </c>
      <c r="K366" s="4">
        <f>12300-10348</f>
        <v>1952</v>
      </c>
      <c r="L366" s="5">
        <f>E366+F366+H366+I366+J366+G366+K366</f>
        <v>11464</v>
      </c>
      <c r="U366" s="7">
        <f>N366+O366+P366+Q366+S366+R366+T366</f>
        <v>0</v>
      </c>
      <c r="AD366" s="9">
        <f>W366+X366+Y366+Z366+AA366+AB366+AC366</f>
        <v>0</v>
      </c>
      <c r="AF366" s="34"/>
      <c r="AG366" s="34"/>
      <c r="AH366" s="34"/>
      <c r="AN366" s="9">
        <f>AG366+AH366+AI366+AJ366+AK366+AL366+AM366</f>
        <v>0</v>
      </c>
      <c r="AT366" s="11">
        <f>100+100+110+49+477</f>
        <v>836</v>
      </c>
      <c r="AV366" s="64">
        <f>L366+U366+AD366</f>
        <v>11464</v>
      </c>
      <c r="AW366" s="73">
        <f>AT366+AV366+AU366</f>
        <v>12300</v>
      </c>
      <c r="AY366" s="74">
        <f>AZ366+BA366+BB366+BC366+BD366+BE366</f>
        <v>12700</v>
      </c>
      <c r="BA366" s="15">
        <v>12300</v>
      </c>
      <c r="BC366" s="17">
        <v>390</v>
      </c>
      <c r="BD366" s="17">
        <v>10</v>
      </c>
      <c r="BL366" s="18">
        <v>4</v>
      </c>
      <c r="BM366" s="90" t="s">
        <v>244</v>
      </c>
    </row>
    <row r="367" customHeight="1" spans="1:65">
      <c r="A367" s="1" t="s">
        <v>277</v>
      </c>
      <c r="B367" s="33">
        <v>10059931</v>
      </c>
      <c r="C367" s="3" t="s">
        <v>44</v>
      </c>
      <c r="D367" s="3" t="s">
        <v>278</v>
      </c>
      <c r="E367" s="3">
        <v>1880</v>
      </c>
      <c r="I367" s="3">
        <f>954+3816</f>
        <v>4770</v>
      </c>
      <c r="J367" s="3">
        <f>129+129+129+129</f>
        <v>516</v>
      </c>
      <c r="K367" s="4">
        <f>9000-7951</f>
        <v>1049</v>
      </c>
      <c r="L367" s="5">
        <f>E367+F367+H367+I367+J367+G367+K367</f>
        <v>8215</v>
      </c>
      <c r="U367" s="7">
        <f>N367+O367+P367+Q367+S367+R367+T367</f>
        <v>0</v>
      </c>
      <c r="AD367" s="9">
        <f>W367+X367+Y367+Z367+AA367+AB367+AC367</f>
        <v>0</v>
      </c>
      <c r="AF367" s="34"/>
      <c r="AG367" s="34"/>
      <c r="AH367" s="34"/>
      <c r="AN367" s="9">
        <f>AG367+AH367+AI367+AJ367+AK367+AL367+AM367</f>
        <v>0</v>
      </c>
      <c r="AT367" s="11">
        <f>100+49+636</f>
        <v>785</v>
      </c>
      <c r="AV367" s="64">
        <f>L367+U367+AD367</f>
        <v>8215</v>
      </c>
      <c r="AW367" s="73">
        <f>AT367+AV367+AU367</f>
        <v>9000</v>
      </c>
      <c r="AY367" s="74">
        <f>AZ367+BA367+BB367+BC367+BD367+BE367</f>
        <v>9500</v>
      </c>
      <c r="BA367" s="15">
        <v>9000</v>
      </c>
      <c r="BC367" s="17">
        <v>490</v>
      </c>
      <c r="BD367" s="17">
        <v>10</v>
      </c>
      <c r="BL367" s="18">
        <v>2</v>
      </c>
      <c r="BM367" s="90" t="s">
        <v>130</v>
      </c>
    </row>
    <row r="368" customHeight="1" spans="1:65">
      <c r="A368" s="1" t="s">
        <v>277</v>
      </c>
      <c r="B368" s="33">
        <v>10059932</v>
      </c>
      <c r="C368" s="34" t="s">
        <v>54</v>
      </c>
      <c r="D368" s="3" t="s">
        <v>129</v>
      </c>
      <c r="E368" s="3">
        <v>2180</v>
      </c>
      <c r="I368" s="3">
        <v>9758</v>
      </c>
      <c r="K368" s="4">
        <f>15400-13210</f>
        <v>2190</v>
      </c>
      <c r="L368" s="5">
        <f>E368+F368+H368+I368+J368+G368+K368</f>
        <v>14128</v>
      </c>
      <c r="U368" s="7">
        <f>N368+O368+P368+Q368+S368+R368+T368</f>
        <v>0</v>
      </c>
      <c r="AD368" s="9">
        <f>W368+X368+Y368+Z368+AA368+AB368+AC368</f>
        <v>0</v>
      </c>
      <c r="AF368" s="34"/>
      <c r="AG368" s="34"/>
      <c r="AH368" s="34"/>
      <c r="AN368" s="9">
        <f>AG368+AH368+AI368+AJ368+AK368+AL368+AM368</f>
        <v>0</v>
      </c>
      <c r="AT368" s="11">
        <f>100+169+845+58+100</f>
        <v>1272</v>
      </c>
      <c r="AV368" s="64">
        <f>L368+U368+AD368</f>
        <v>14128</v>
      </c>
      <c r="AW368" s="73">
        <f>AT368+AV368+AU368</f>
        <v>15400</v>
      </c>
      <c r="AY368" s="74">
        <f>AZ368+BA368+BB368+BC368+BD368+BE368</f>
        <v>15400</v>
      </c>
      <c r="BA368" s="15">
        <v>15400</v>
      </c>
      <c r="BL368" s="18">
        <v>4</v>
      </c>
      <c r="BM368" s="90" t="s">
        <v>174</v>
      </c>
    </row>
    <row r="369" customHeight="1" spans="1:65">
      <c r="A369" s="1" t="s">
        <v>277</v>
      </c>
      <c r="B369" s="33">
        <v>10059933</v>
      </c>
      <c r="C369" s="34" t="s">
        <v>59</v>
      </c>
      <c r="L369" s="5">
        <f>E369+F369+H369+I369+J369+G369+K369</f>
        <v>0</v>
      </c>
      <c r="M369" s="3" t="s">
        <v>279</v>
      </c>
      <c r="N369" s="3">
        <v>2180</v>
      </c>
      <c r="P369" s="3">
        <v>9190</v>
      </c>
      <c r="T369" s="6">
        <v>2805</v>
      </c>
      <c r="U369" s="7">
        <f>N369+O369+P369+Q369+S369+R369+T369</f>
        <v>14175</v>
      </c>
      <c r="AD369" s="9">
        <f>W369+X369+Y369+Z369+AA369+AB369+AC369</f>
        <v>0</v>
      </c>
      <c r="AF369" s="34"/>
      <c r="AG369" s="34"/>
      <c r="AH369" s="34"/>
      <c r="AN369" s="9">
        <f>AG369+AH369+AI369+AJ369+AK369+AL369+AM369</f>
        <v>0</v>
      </c>
      <c r="AT369" s="11">
        <f>100+676+49+100</f>
        <v>925</v>
      </c>
      <c r="AV369" s="64">
        <f>L369+U369+AD369</f>
        <v>14175</v>
      </c>
      <c r="AW369" s="73">
        <f>AT369+AV369+AU369</f>
        <v>15100</v>
      </c>
      <c r="AY369" s="74">
        <f>AZ369+BA369+BB369+BC369+BD369+BE369</f>
        <v>15398</v>
      </c>
      <c r="BA369" s="15">
        <v>15100</v>
      </c>
      <c r="BC369" s="17">
        <v>290</v>
      </c>
      <c r="BD369" s="17">
        <v>8</v>
      </c>
      <c r="BL369" s="18">
        <v>3</v>
      </c>
      <c r="BM369" s="90" t="s">
        <v>196</v>
      </c>
    </row>
    <row r="370" customHeight="1" spans="1:65">
      <c r="A370" s="1" t="s">
        <v>277</v>
      </c>
      <c r="B370" s="33">
        <v>10059934</v>
      </c>
      <c r="C370" s="3">
        <v>315</v>
      </c>
      <c r="D370" s="3" t="s">
        <v>121</v>
      </c>
      <c r="E370" s="3">
        <v>980</v>
      </c>
      <c r="I370" s="3">
        <v>2856</v>
      </c>
      <c r="K370" s="4">
        <f>5700-4772</f>
        <v>928</v>
      </c>
      <c r="L370" s="5">
        <f>E370+F370+H370+I370+J370+G370+K370</f>
        <v>4764</v>
      </c>
      <c r="U370" s="7">
        <f>N370+O370+P370+Q370+S370+R370+T370</f>
        <v>0</v>
      </c>
      <c r="AD370" s="9">
        <f>W370+X370+Y370+Z370+AA370+AB370+AC370</f>
        <v>0</v>
      </c>
      <c r="AF370" s="34"/>
      <c r="AG370" s="34"/>
      <c r="AH370" s="34"/>
      <c r="AN370" s="9">
        <f>AG370+AH370+AI370+AJ370+AK370+AL370+AM370</f>
        <v>0</v>
      </c>
      <c r="AT370" s="11">
        <f>100+636+30+130+40</f>
        <v>936</v>
      </c>
      <c r="AV370" s="64">
        <f>L370+U370+AD370</f>
        <v>4764</v>
      </c>
      <c r="AW370" s="73">
        <f>AT370+AV370+AU370</f>
        <v>5700</v>
      </c>
      <c r="AY370" s="74">
        <f>AZ370+BA370+BB370+BC370+BD370+BE370</f>
        <v>5700</v>
      </c>
      <c r="BA370" s="15">
        <v>5700</v>
      </c>
      <c r="BL370" s="18">
        <v>4</v>
      </c>
      <c r="BM370" s="90" t="s">
        <v>140</v>
      </c>
    </row>
    <row r="371" customHeight="1" spans="1:65">
      <c r="A371" s="1" t="s">
        <v>277</v>
      </c>
      <c r="B371" s="33">
        <v>10059935</v>
      </c>
      <c r="C371" s="3">
        <v>313</v>
      </c>
      <c r="D371" s="3" t="s">
        <v>176</v>
      </c>
      <c r="E371" s="3">
        <v>980</v>
      </c>
      <c r="I371" s="3">
        <v>3816</v>
      </c>
      <c r="K371" s="4">
        <f>5800-5214</f>
        <v>586</v>
      </c>
      <c r="L371" s="5">
        <f>E371+F371+H371+I371+J371+G371+K371</f>
        <v>5382</v>
      </c>
      <c r="U371" s="7">
        <f>N371+O371+P371+Q371+S371+R371+T371</f>
        <v>0</v>
      </c>
      <c r="AD371" s="9">
        <f>W371+X371+Y371+Z371+AA371+AB371+AC371</f>
        <v>0</v>
      </c>
      <c r="AF371" s="34"/>
      <c r="AG371" s="34"/>
      <c r="AH371" s="34"/>
      <c r="AN371" s="9">
        <f>AG371+AH371+AI371+AJ371+AK371+AL371+AM371</f>
        <v>0</v>
      </c>
      <c r="AT371" s="11">
        <f>100+318</f>
        <v>418</v>
      </c>
      <c r="AV371" s="64">
        <f>L371+U371+AD371</f>
        <v>5382</v>
      </c>
      <c r="AW371" s="73">
        <f>AT371+AV371+AU371</f>
        <v>5800</v>
      </c>
      <c r="AY371" s="74">
        <f>AZ371+BA371+BB371+BC371+BD371+BE371</f>
        <v>5800</v>
      </c>
      <c r="BA371" s="15">
        <v>5800</v>
      </c>
      <c r="BL371" s="18">
        <v>2</v>
      </c>
      <c r="BM371" s="90" t="s">
        <v>224</v>
      </c>
    </row>
    <row r="372" customHeight="1" spans="1:65">
      <c r="A372" s="1" t="s">
        <v>277</v>
      </c>
      <c r="B372" s="33">
        <v>10059936</v>
      </c>
      <c r="C372" s="3">
        <v>301</v>
      </c>
      <c r="L372" s="5">
        <f>E372+F372+H372+I372+J372+G372+K372</f>
        <v>0</v>
      </c>
      <c r="U372" s="7">
        <f>N372+O372+P372+Q372+S372+R372+T372</f>
        <v>0</v>
      </c>
      <c r="V372" s="3" t="s">
        <v>185</v>
      </c>
      <c r="AD372" s="9">
        <f>W372+X372+Y372+Z372+AA372+AB372+AC372</f>
        <v>0</v>
      </c>
      <c r="AF372" s="34"/>
      <c r="AG372" s="34"/>
      <c r="AH372" s="34"/>
      <c r="AN372" s="9">
        <f>AG372+AH372+AI372+AJ372+AK372+AL372+AM372</f>
        <v>0</v>
      </c>
      <c r="AT372" s="11">
        <v>979</v>
      </c>
      <c r="AV372" s="64">
        <f>L372+U372+AD372</f>
        <v>0</v>
      </c>
      <c r="AW372" s="73">
        <f>AT372+AV372+AU372</f>
        <v>979</v>
      </c>
      <c r="AY372" s="74">
        <f>AZ372+BA372+BB372+BC372+BD372+BE372</f>
        <v>979</v>
      </c>
      <c r="AZ372" s="14">
        <v>979</v>
      </c>
      <c r="BL372" s="18">
        <v>2</v>
      </c>
      <c r="BM372" s="90" t="s">
        <v>128</v>
      </c>
    </row>
    <row r="373" customHeight="1" spans="1:64">
      <c r="A373" s="1" t="s">
        <v>277</v>
      </c>
      <c r="B373" s="33">
        <v>10059937</v>
      </c>
      <c r="C373" s="3">
        <v>309</v>
      </c>
      <c r="D373" s="3" t="s">
        <v>232</v>
      </c>
      <c r="E373" s="3">
        <v>980</v>
      </c>
      <c r="I373" s="3">
        <v>7632</v>
      </c>
      <c r="K373" s="4">
        <f>10100-9030</f>
        <v>1070</v>
      </c>
      <c r="L373" s="5">
        <f>E373+F373+H373+I373+J373+G373+K373</f>
        <v>9682</v>
      </c>
      <c r="U373" s="7">
        <f>N373+O373+P373+Q373+S373+R373+T373</f>
        <v>0</v>
      </c>
      <c r="AD373" s="9">
        <f>W373+X373+Y373+Z373+AA373+AB373+AC373</f>
        <v>0</v>
      </c>
      <c r="AF373" s="34"/>
      <c r="AG373" s="34"/>
      <c r="AH373" s="34"/>
      <c r="AN373" s="9">
        <f>AG373+AH373+AI373+AJ373+AK373+AL373+AM373</f>
        <v>0</v>
      </c>
      <c r="AT373" s="11">
        <f>100+318</f>
        <v>418</v>
      </c>
      <c r="AV373" s="64">
        <f>L373+U373+AD373</f>
        <v>9682</v>
      </c>
      <c r="AW373" s="73">
        <f>AT373+AV373+AU373</f>
        <v>10100</v>
      </c>
      <c r="AY373" s="74">
        <f>AZ373+BA373+BB373+BC373+BD373+BE373</f>
        <v>10100</v>
      </c>
      <c r="BA373" s="15">
        <v>10100</v>
      </c>
      <c r="BL373" s="18">
        <v>2</v>
      </c>
    </row>
    <row r="374" customHeight="1" spans="1:65">
      <c r="A374" s="1" t="s">
        <v>277</v>
      </c>
      <c r="B374" s="33">
        <v>10059938</v>
      </c>
      <c r="C374" s="3">
        <v>312</v>
      </c>
      <c r="D374" s="3" t="s">
        <v>176</v>
      </c>
      <c r="E374" s="3">
        <v>980</v>
      </c>
      <c r="I374" s="3">
        <v>2856</v>
      </c>
      <c r="K374" s="4">
        <f>4960-4413</f>
        <v>547</v>
      </c>
      <c r="L374" s="5">
        <f>E374+F374+H374+I374+J374+G374+K374</f>
        <v>4383</v>
      </c>
      <c r="U374" s="7">
        <f>N374+O374+P374+Q374+S374+R374+T374</f>
        <v>0</v>
      </c>
      <c r="AD374" s="9">
        <f>W374+X374+Y374+Z374+AA374+AB374+AC374</f>
        <v>0</v>
      </c>
      <c r="AF374" s="34"/>
      <c r="AG374" s="34"/>
      <c r="AH374" s="34"/>
      <c r="AN374" s="9">
        <f>AG374+AH374+AI374+AJ374+AK374+AL374+AM374</f>
        <v>0</v>
      </c>
      <c r="AT374" s="11">
        <f>100+477</f>
        <v>577</v>
      </c>
      <c r="AV374" s="64">
        <f>L374+U374+AD374</f>
        <v>4383</v>
      </c>
      <c r="AW374" s="73">
        <f>AT374+AV374+AU374</f>
        <v>4960</v>
      </c>
      <c r="AY374" s="74">
        <f>AZ374+BA374+BB374+BC374+BD374+BE374</f>
        <v>4960</v>
      </c>
      <c r="BA374" s="15">
        <v>4960</v>
      </c>
      <c r="BL374" s="18">
        <v>2</v>
      </c>
      <c r="BM374" s="90" t="s">
        <v>224</v>
      </c>
    </row>
    <row r="375" customHeight="1" spans="1:65">
      <c r="A375" s="1" t="s">
        <v>277</v>
      </c>
      <c r="B375" s="33">
        <v>10059939</v>
      </c>
      <c r="C375" s="3" t="s">
        <v>70</v>
      </c>
      <c r="D375" s="3" t="s">
        <v>280</v>
      </c>
      <c r="E375" s="3">
        <v>1880</v>
      </c>
      <c r="I375" s="3">
        <f>1788+3816</f>
        <v>5604</v>
      </c>
      <c r="J375" s="3">
        <f>168+168+169</f>
        <v>505</v>
      </c>
      <c r="K375" s="4">
        <f>10860-8884</f>
        <v>1976</v>
      </c>
      <c r="L375" s="5">
        <f>E375+F375+H375+I375+J375+G375+K375</f>
        <v>9965</v>
      </c>
      <c r="U375" s="7">
        <f>N375+O375+P375+Q375+S375+R375+T375</f>
        <v>0</v>
      </c>
      <c r="AD375" s="9">
        <f>W375+X375+Y375+Z375+AA375+AB375+AC375</f>
        <v>0</v>
      </c>
      <c r="AF375" s="34"/>
      <c r="AG375" s="34"/>
      <c r="AH375" s="34"/>
      <c r="AN375" s="9">
        <f>AG375+AH375+AI375+AJ375+AK375+AL375+AM375</f>
        <v>0</v>
      </c>
      <c r="AT375" s="11">
        <f>100+49+636+110</f>
        <v>895</v>
      </c>
      <c r="AV375" s="64">
        <f>L375+U375+AD375</f>
        <v>9965</v>
      </c>
      <c r="AW375" s="73">
        <f>AT375+AV375+AU375</f>
        <v>10860</v>
      </c>
      <c r="AX375" s="13" t="s">
        <v>142</v>
      </c>
      <c r="AY375" s="74">
        <f>AZ375+BA375+BB375+BC375+BD375+BE375</f>
        <v>10860</v>
      </c>
      <c r="AZ375" s="14">
        <v>10860</v>
      </c>
      <c r="BL375" s="18">
        <v>5</v>
      </c>
      <c r="BM375" s="90" t="s">
        <v>196</v>
      </c>
    </row>
    <row r="376" customHeight="1" spans="1:65">
      <c r="A376" s="1" t="s">
        <v>277</v>
      </c>
      <c r="B376" s="33">
        <v>10059940</v>
      </c>
      <c r="C376" s="3">
        <v>311</v>
      </c>
      <c r="D376" s="3" t="s">
        <v>176</v>
      </c>
      <c r="E376" s="3">
        <v>980</v>
      </c>
      <c r="I376" s="3">
        <v>3816</v>
      </c>
      <c r="K376" s="4">
        <f>6800-5532</f>
        <v>1268</v>
      </c>
      <c r="L376" s="5">
        <f>E376+F376+H376+I376+J376+G376+K376</f>
        <v>6064</v>
      </c>
      <c r="U376" s="7">
        <f>N376+O376+P376+Q376+S376+R376+T376</f>
        <v>0</v>
      </c>
      <c r="AD376" s="9">
        <f>W376+X376+Y376+Z376+AA376+AB376+AC376</f>
        <v>0</v>
      </c>
      <c r="AF376" s="34"/>
      <c r="AG376" s="34"/>
      <c r="AH376" s="34"/>
      <c r="AN376" s="9">
        <f>AG376+AH376+AI376+AJ376+AK376+AL376+AM376</f>
        <v>0</v>
      </c>
      <c r="AT376" s="11">
        <f>100+636</f>
        <v>736</v>
      </c>
      <c r="AV376" s="64">
        <f>L376+U376+AD376</f>
        <v>6064</v>
      </c>
      <c r="AW376" s="73">
        <f>AT376+AV376+AU376</f>
        <v>6800</v>
      </c>
      <c r="AY376" s="74">
        <f>AZ376+BA376+BB376+BC376+BD376+BE376</f>
        <v>6800</v>
      </c>
      <c r="BA376" s="15">
        <v>6800</v>
      </c>
      <c r="BL376" s="18">
        <v>4</v>
      </c>
      <c r="BM376" s="90" t="s">
        <v>224</v>
      </c>
    </row>
    <row r="377" customHeight="1" spans="1:65">
      <c r="A377" s="1" t="s">
        <v>277</v>
      </c>
      <c r="B377" s="33">
        <v>10059941</v>
      </c>
      <c r="C377" s="3">
        <v>308</v>
      </c>
      <c r="D377" s="3" t="s">
        <v>122</v>
      </c>
      <c r="E377" s="3">
        <v>980</v>
      </c>
      <c r="I377" s="3">
        <v>2856</v>
      </c>
      <c r="K377" s="4">
        <f>5300-4413</f>
        <v>887</v>
      </c>
      <c r="L377" s="5">
        <f>E377+F377+H377+I377+J377+G377+K377</f>
        <v>4723</v>
      </c>
      <c r="U377" s="7">
        <f>N377+O377+P377+Q377+S377+R377+T377</f>
        <v>0</v>
      </c>
      <c r="AD377" s="9">
        <f>W377+X377+Y377+Z377+AA377+AB377+AC377</f>
        <v>0</v>
      </c>
      <c r="AF377" s="34"/>
      <c r="AG377" s="34"/>
      <c r="AH377" s="34"/>
      <c r="AN377" s="9">
        <f>AG377+AH377+AI377+AJ377+AK377+AL377+AM377</f>
        <v>0</v>
      </c>
      <c r="AT377" s="11">
        <f>100+477</f>
        <v>577</v>
      </c>
      <c r="AV377" s="64">
        <f>L377+U377+AD377</f>
        <v>4723</v>
      </c>
      <c r="AW377" s="73">
        <f>AT377+AV377+AU377</f>
        <v>5300</v>
      </c>
      <c r="AY377" s="74">
        <f>AZ377+BA377+BB377+BC377+BD377+BE377</f>
        <v>5300</v>
      </c>
      <c r="BA377" s="15">
        <v>5300</v>
      </c>
      <c r="BL377" s="18">
        <v>4</v>
      </c>
      <c r="BM377" s="90" t="s">
        <v>224</v>
      </c>
    </row>
    <row r="378" customHeight="1" spans="1:65">
      <c r="A378" s="1" t="s">
        <v>277</v>
      </c>
      <c r="B378" s="33">
        <v>10059942</v>
      </c>
      <c r="C378" s="34" t="s">
        <v>89</v>
      </c>
      <c r="D378" s="3" t="s">
        <v>137</v>
      </c>
      <c r="E378" s="3">
        <v>2180</v>
      </c>
      <c r="G378" s="3">
        <v>17670</v>
      </c>
      <c r="J378" s="3">
        <f>168+199</f>
        <v>367</v>
      </c>
      <c r="K378" s="4">
        <f>27200-21231</f>
        <v>5969</v>
      </c>
      <c r="L378" s="5">
        <f>E378+F378+H378+I378+J378+G378+K378</f>
        <v>26186</v>
      </c>
      <c r="U378" s="7">
        <f>N378+O378+P378+Q378+S378+R378+T378</f>
        <v>0</v>
      </c>
      <c r="AD378" s="9">
        <f>W378+X378+Y378+Z378+AA378+AB378+AC378</f>
        <v>0</v>
      </c>
      <c r="AF378" s="34"/>
      <c r="AG378" s="34"/>
      <c r="AH378" s="34"/>
      <c r="AN378" s="9">
        <f>AG378+AH378+AI378+AJ378+AK378+AL378+AM378</f>
        <v>0</v>
      </c>
      <c r="AT378" s="11">
        <f>100+845+40+29</f>
        <v>1014</v>
      </c>
      <c r="AV378" s="64">
        <f>L378+U378+AD378</f>
        <v>26186</v>
      </c>
      <c r="AW378" s="73">
        <f>AT378+AV378+AU378</f>
        <v>27200</v>
      </c>
      <c r="AY378" s="74">
        <f>AZ378+BA378+BB378+BC378+BD378+BE378</f>
        <v>27400</v>
      </c>
      <c r="BA378" s="15">
        <v>27200</v>
      </c>
      <c r="BC378" s="17">
        <v>200</v>
      </c>
      <c r="BL378" s="18">
        <v>5</v>
      </c>
      <c r="BM378" s="90" t="s">
        <v>128</v>
      </c>
    </row>
    <row r="379" customHeight="1" spans="1:65">
      <c r="A379" s="1" t="s">
        <v>277</v>
      </c>
      <c r="B379" s="33">
        <v>10059943</v>
      </c>
      <c r="C379" s="34" t="s">
        <v>59</v>
      </c>
      <c r="D379" s="3" t="s">
        <v>110</v>
      </c>
      <c r="E379" s="3">
        <v>2180</v>
      </c>
      <c r="G379" s="3">
        <v>3290</v>
      </c>
      <c r="I379" s="3">
        <v>5712</v>
      </c>
      <c r="J379" s="3">
        <f>49+387+198+79+258+129</f>
        <v>1100</v>
      </c>
      <c r="K379" s="4">
        <f>15600-13376</f>
        <v>2224</v>
      </c>
      <c r="L379" s="5">
        <f>E379+F379+H379+I379+J379+G379+K379</f>
        <v>14506</v>
      </c>
      <c r="U379" s="7">
        <f>N379+O379+P379+Q379+S379+R379+T379</f>
        <v>0</v>
      </c>
      <c r="AD379" s="9">
        <f>W379+X379+Y379+Z379+AA379+AB379+AC379</f>
        <v>0</v>
      </c>
      <c r="AF379" s="34"/>
      <c r="AG379" s="34"/>
      <c r="AH379" s="34"/>
      <c r="AN379" s="9">
        <f>AG379+AH379+AI379+AJ379+AK379+AL379+AM379</f>
        <v>0</v>
      </c>
      <c r="AT379" s="11">
        <f>100+845+49+100</f>
        <v>1094</v>
      </c>
      <c r="AV379" s="64">
        <f>L379+U379+AD379</f>
        <v>14506</v>
      </c>
      <c r="AW379" s="73">
        <f>AT379+AV379+AU379</f>
        <v>15600</v>
      </c>
      <c r="AY379" s="74">
        <f>AZ379+BA379+BB379+BC379+BD379+BE379</f>
        <v>15600</v>
      </c>
      <c r="BA379" s="15">
        <v>15600</v>
      </c>
      <c r="BL379" s="18">
        <v>5</v>
      </c>
      <c r="BM379" s="90" t="s">
        <v>212</v>
      </c>
    </row>
    <row r="380" customHeight="1" spans="1:64">
      <c r="A380" s="1" t="s">
        <v>277</v>
      </c>
      <c r="B380" s="33">
        <v>10059944</v>
      </c>
      <c r="C380" s="3">
        <v>320</v>
      </c>
      <c r="D380" s="3" t="s">
        <v>146</v>
      </c>
      <c r="E380" s="3">
        <v>1299</v>
      </c>
      <c r="I380" s="3">
        <v>7152</v>
      </c>
      <c r="J380" s="3">
        <f>276+129+99</f>
        <v>504</v>
      </c>
      <c r="K380" s="4">
        <f>11338-9393</f>
        <v>1945</v>
      </c>
      <c r="L380" s="5">
        <f>E380+F380+H380+I380+J380+G380+K380</f>
        <v>10900</v>
      </c>
      <c r="U380" s="7">
        <f>N380+O380+P380+Q380+S380+R380+T380</f>
        <v>0</v>
      </c>
      <c r="AD380" s="9">
        <f>W380+X380+Y380+Z380+AA380+AB380+AC380</f>
        <v>0</v>
      </c>
      <c r="AF380" s="34"/>
      <c r="AG380" s="34"/>
      <c r="AH380" s="34"/>
      <c r="AN380" s="9">
        <f>AG380+AH380+AI380+AJ380+AK380+AL380+AM380</f>
        <v>0</v>
      </c>
      <c r="AT380" s="11">
        <f>100+338</f>
        <v>438</v>
      </c>
      <c r="AV380" s="64">
        <f>L380+U380+AD380</f>
        <v>10900</v>
      </c>
      <c r="AW380" s="73">
        <f>AT380+AV380+AU380</f>
        <v>11338</v>
      </c>
      <c r="AY380" s="74">
        <f>AZ380+BA380+BB380+BC380+BD380+BE380</f>
        <v>11338</v>
      </c>
      <c r="BA380" s="15">
        <v>11338</v>
      </c>
      <c r="BL380" s="18">
        <v>8</v>
      </c>
    </row>
    <row r="381" customHeight="1" spans="1:65">
      <c r="A381" s="1" t="s">
        <v>277</v>
      </c>
      <c r="B381" s="33">
        <v>10059945</v>
      </c>
      <c r="C381" s="3">
        <v>310</v>
      </c>
      <c r="D381" s="3" t="s">
        <v>235</v>
      </c>
      <c r="E381" s="3">
        <v>980</v>
      </c>
      <c r="I381" s="3">
        <v>3816</v>
      </c>
      <c r="K381" s="4">
        <f>6500-5532</f>
        <v>968</v>
      </c>
      <c r="L381" s="5">
        <f>E381+F381+H381+I381+J381+G381+K381</f>
        <v>5764</v>
      </c>
      <c r="U381" s="7">
        <f>N381+O381+P381+Q381+S381+R381+T381</f>
        <v>0</v>
      </c>
      <c r="AD381" s="9">
        <f>W381+X381+Y381+Z381+AA381+AB381+AC381</f>
        <v>0</v>
      </c>
      <c r="AF381" s="34"/>
      <c r="AG381" s="34"/>
      <c r="AH381" s="34"/>
      <c r="AN381" s="9">
        <f>AG381+AH381+AI381+AJ381+AK381+AL381+AM381</f>
        <v>0</v>
      </c>
      <c r="AT381" s="11">
        <f>100+636</f>
        <v>736</v>
      </c>
      <c r="AV381" s="64">
        <f>L381+U381+AD381</f>
        <v>5764</v>
      </c>
      <c r="AW381" s="73">
        <f>AT381+AV381+AU381</f>
        <v>6500</v>
      </c>
      <c r="AY381" s="74">
        <f>AZ381+BA381+BB381+BC381+BD381+BE381</f>
        <v>6500</v>
      </c>
      <c r="AZ381" s="14">
        <v>6500</v>
      </c>
      <c r="BL381" s="18">
        <v>3</v>
      </c>
      <c r="BM381" s="90" t="s">
        <v>130</v>
      </c>
    </row>
    <row r="382" customHeight="1" spans="1:65">
      <c r="A382" s="1" t="s">
        <v>277</v>
      </c>
      <c r="B382" s="33">
        <v>10059946</v>
      </c>
      <c r="C382" s="34" t="s">
        <v>94</v>
      </c>
      <c r="D382" s="3" t="s">
        <v>213</v>
      </c>
      <c r="E382" s="3">
        <v>1680</v>
      </c>
      <c r="G382" s="3">
        <v>11980</v>
      </c>
      <c r="K382" s="4">
        <f>16600-14376</f>
        <v>2224</v>
      </c>
      <c r="L382" s="5">
        <f>E382+F382+H382+I382+J382+G382+K382</f>
        <v>15884</v>
      </c>
      <c r="U382" s="7">
        <f>N382+O382+P382+Q382+S382+R382+T382</f>
        <v>0</v>
      </c>
      <c r="AD382" s="9">
        <f>W382+X382+Y382+Z382+AA382+AB382+AC382</f>
        <v>0</v>
      </c>
      <c r="AF382" s="34"/>
      <c r="AG382" s="34"/>
      <c r="AH382" s="34"/>
      <c r="AN382" s="9">
        <f>AG382+AH382+AI382+AJ382+AK382+AL382+AM382</f>
        <v>0</v>
      </c>
      <c r="AT382" s="11">
        <f>100+507+49+60</f>
        <v>716</v>
      </c>
      <c r="AV382" s="64">
        <f>L382+U382+AD382</f>
        <v>15884</v>
      </c>
      <c r="AW382" s="73">
        <f>AT382+AV382+AU382</f>
        <v>16600</v>
      </c>
      <c r="AY382" s="74">
        <f>AZ382+BA382+BB382+BC382+BD382+BE382</f>
        <v>16600</v>
      </c>
      <c r="BA382" s="15">
        <v>16600</v>
      </c>
      <c r="BL382" s="18">
        <v>3</v>
      </c>
      <c r="BM382" s="90" t="s">
        <v>174</v>
      </c>
    </row>
    <row r="383" customHeight="1" spans="1:65">
      <c r="A383" s="1" t="s">
        <v>277</v>
      </c>
      <c r="B383" s="33">
        <v>10059947</v>
      </c>
      <c r="C383" s="34" t="s">
        <v>56</v>
      </c>
      <c r="D383" s="3" t="s">
        <v>122</v>
      </c>
      <c r="E383" s="3">
        <v>3180</v>
      </c>
      <c r="I383" s="3">
        <v>12971</v>
      </c>
      <c r="K383" s="4">
        <f>20200-17801</f>
        <v>2399</v>
      </c>
      <c r="L383" s="5">
        <f>E383+F383+H383+I383+J383+G383+K383</f>
        <v>18550</v>
      </c>
      <c r="U383" s="7">
        <f>N383+O383+P383+Q383+S383+R383+T383</f>
        <v>0</v>
      </c>
      <c r="AD383" s="9">
        <f>W383+X383+Y383+Z383+AA383+AB383+AC383</f>
        <v>0</v>
      </c>
      <c r="AF383" s="34"/>
      <c r="AG383" s="34"/>
      <c r="AH383" s="34"/>
      <c r="AN383" s="9">
        <f>AG383+AH383+AI383+AJ383+AK383+AL383+AM383</f>
        <v>0</v>
      </c>
      <c r="AT383" s="11">
        <f>100+29+1521</f>
        <v>1650</v>
      </c>
      <c r="AV383" s="64">
        <f>L383+U383+AD383</f>
        <v>18550</v>
      </c>
      <c r="AW383" s="73">
        <f>AT383+AV383+AU383</f>
        <v>20200</v>
      </c>
      <c r="AY383" s="74">
        <f>AZ383+BA383+BB383+BC383+BD383+BE383</f>
        <v>20200</v>
      </c>
      <c r="BA383" s="15">
        <v>20200</v>
      </c>
      <c r="BL383" s="18">
        <v>9</v>
      </c>
      <c r="BM383" s="90" t="s">
        <v>224</v>
      </c>
    </row>
    <row r="384" customHeight="1" spans="1:65">
      <c r="A384" s="1" t="s">
        <v>277</v>
      </c>
      <c r="B384" s="33">
        <v>10059948</v>
      </c>
      <c r="C384" s="34" t="s">
        <v>62</v>
      </c>
      <c r="D384" s="3" t="s">
        <v>51</v>
      </c>
      <c r="E384" s="3">
        <v>2180</v>
      </c>
      <c r="G384" s="3">
        <v>14670</v>
      </c>
      <c r="K384" s="4">
        <f>20200-17626</f>
        <v>2574</v>
      </c>
      <c r="L384" s="5">
        <f>E384+F384+H384+I384+J384+G384+K384</f>
        <v>19424</v>
      </c>
      <c r="U384" s="7">
        <f>N384+O384+P384+Q384+S384+R384+T384</f>
        <v>0</v>
      </c>
      <c r="AD384" s="9">
        <f>W384+X384+Y384+Z384+AA384+AB384+AC384</f>
        <v>0</v>
      </c>
      <c r="AF384" s="34"/>
      <c r="AG384" s="34"/>
      <c r="AH384" s="34"/>
      <c r="AN384" s="9">
        <f>AG384+AH384+AI384+AJ384+AK384+AL384+AM384</f>
        <v>0</v>
      </c>
      <c r="AT384" s="11">
        <f>100+169+507</f>
        <v>776</v>
      </c>
      <c r="AV384" s="64">
        <f>L384+U384+AD384</f>
        <v>19424</v>
      </c>
      <c r="AW384" s="73">
        <f>AT384+AV384+AU384</f>
        <v>20200</v>
      </c>
      <c r="AY384" s="74">
        <f>AZ384+BA384+BB384+BC384+BD384+BE384</f>
        <v>20200</v>
      </c>
      <c r="BA384" s="15">
        <v>20200</v>
      </c>
      <c r="BL384" s="18">
        <v>3</v>
      </c>
      <c r="BM384" s="90" t="s">
        <v>130</v>
      </c>
    </row>
    <row r="385" customHeight="1" spans="1:64">
      <c r="A385" s="1" t="s">
        <v>277</v>
      </c>
      <c r="B385" s="33">
        <v>10059949</v>
      </c>
      <c r="C385" s="3" t="s">
        <v>97</v>
      </c>
      <c r="L385" s="5">
        <f>E385+F385+H385+I385+J385+G385+K385</f>
        <v>0</v>
      </c>
      <c r="M385" s="3" t="s">
        <v>281</v>
      </c>
      <c r="N385" s="3">
        <v>2180</v>
      </c>
      <c r="P385" s="3">
        <v>9990</v>
      </c>
      <c r="S385" s="3">
        <v>544</v>
      </c>
      <c r="T385" s="6">
        <v>2845</v>
      </c>
      <c r="U385" s="7">
        <f>N385+O385+P385+Q385+S385+R385+T385</f>
        <v>15559</v>
      </c>
      <c r="AD385" s="9">
        <f>W385+X385+Y385+Z385+AA385+AB385+AC385</f>
        <v>0</v>
      </c>
      <c r="AF385" s="34"/>
      <c r="AG385" s="34"/>
      <c r="AH385" s="34"/>
      <c r="AN385" s="9">
        <f>AG385+AH385+AI385+AJ385+AK385+AL385+AM385</f>
        <v>0</v>
      </c>
      <c r="AT385" s="11">
        <f>100+1183+58+100</f>
        <v>1441</v>
      </c>
      <c r="AV385" s="64">
        <f>L385+U385+AD385</f>
        <v>15559</v>
      </c>
      <c r="AW385" s="73">
        <f>AT385+AV385+AU385</f>
        <v>17000</v>
      </c>
      <c r="AY385" s="74">
        <f>AZ385+BA385+BB385+BC385+BD385+BE385</f>
        <v>17100</v>
      </c>
      <c r="BA385" s="15">
        <v>17000</v>
      </c>
      <c r="BC385" s="17">
        <v>100</v>
      </c>
      <c r="BL385" s="18">
        <v>8</v>
      </c>
    </row>
    <row r="386" customHeight="1" spans="1:65">
      <c r="A386" s="1" t="s">
        <v>277</v>
      </c>
      <c r="B386" s="33">
        <v>10059950</v>
      </c>
      <c r="C386" s="34" t="s">
        <v>65</v>
      </c>
      <c r="D386" s="3" t="s">
        <v>267</v>
      </c>
      <c r="E386" s="3">
        <v>2180</v>
      </c>
      <c r="I386" s="3">
        <v>9540</v>
      </c>
      <c r="K386" s="4">
        <f>15000-13003</f>
        <v>1997</v>
      </c>
      <c r="L386" s="5">
        <f>E386+F386+H386+I386+J386+G386+K386</f>
        <v>13717</v>
      </c>
      <c r="U386" s="7">
        <f>N386+O386+P386+Q386+S386+R386+T386</f>
        <v>0</v>
      </c>
      <c r="AD386" s="9">
        <f>W386+X386+Y386+Z386+AA386+AB386+AC386</f>
        <v>0</v>
      </c>
      <c r="AF386" s="34"/>
      <c r="AG386" s="34"/>
      <c r="AH386" s="34"/>
      <c r="AN386" s="9">
        <f>AG386+AH386+AI386+AJ386+AK386+AL386+AM386</f>
        <v>0</v>
      </c>
      <c r="AT386" s="11">
        <f>100+1183</f>
        <v>1283</v>
      </c>
      <c r="AV386" s="64">
        <f>L386+U386+AD386</f>
        <v>13717</v>
      </c>
      <c r="AW386" s="73">
        <f>AT386+AV386+AU386</f>
        <v>15000</v>
      </c>
      <c r="AY386" s="74">
        <f>AZ386+BA386+BB386+BC386+BD386+BE386</f>
        <v>15000</v>
      </c>
      <c r="BA386" s="15">
        <v>15000</v>
      </c>
      <c r="BL386" s="18">
        <v>6</v>
      </c>
      <c r="BM386" s="90" t="s">
        <v>244</v>
      </c>
    </row>
    <row r="387" customHeight="1" spans="1:65">
      <c r="A387" s="1" t="s">
        <v>277</v>
      </c>
      <c r="B387" s="33">
        <v>10059951</v>
      </c>
      <c r="C387" s="34" t="s">
        <v>84</v>
      </c>
      <c r="L387" s="5">
        <f>E387+F387+H387+I387+J387+G387+K387</f>
        <v>0</v>
      </c>
      <c r="M387" s="3" t="s">
        <v>245</v>
      </c>
      <c r="N387" s="3">
        <v>2580</v>
      </c>
      <c r="R387" s="3">
        <v>15264</v>
      </c>
      <c r="S387" s="3">
        <v>366</v>
      </c>
      <c r="T387" s="6">
        <v>2427</v>
      </c>
      <c r="U387" s="7">
        <f>N387+O387+P387+Q387+S387+R387+T387</f>
        <v>20637</v>
      </c>
      <c r="AD387" s="9">
        <f>W387+X387+Y387+Z387+AA387+AB387+AC387</f>
        <v>0</v>
      </c>
      <c r="AF387" s="34"/>
      <c r="AG387" s="34"/>
      <c r="AH387" s="34"/>
      <c r="AN387" s="9">
        <f>AG387+AH387+AI387+AJ387+AK387+AL387+AM387</f>
        <v>0</v>
      </c>
      <c r="AT387" s="11">
        <f>100+1014+49</f>
        <v>1163</v>
      </c>
      <c r="AV387" s="64">
        <f>L387+U387+AD387</f>
        <v>20637</v>
      </c>
      <c r="AW387" s="73">
        <f>AT387+AV387+AU387</f>
        <v>21800</v>
      </c>
      <c r="AY387" s="74">
        <f>AZ387+BA387+BB387+BC387+BD387+BE387</f>
        <v>21800</v>
      </c>
      <c r="BA387" s="15">
        <v>21800</v>
      </c>
      <c r="BL387" s="18">
        <v>4</v>
      </c>
      <c r="BM387" s="90" t="s">
        <v>196</v>
      </c>
    </row>
    <row r="388" customHeight="1" spans="1:64">
      <c r="A388" s="1" t="s">
        <v>277</v>
      </c>
      <c r="B388" s="33">
        <v>10059952</v>
      </c>
      <c r="C388" s="34" t="s">
        <v>107</v>
      </c>
      <c r="D388" s="3" t="s">
        <v>42</v>
      </c>
      <c r="E388" s="3">
        <v>1299</v>
      </c>
      <c r="I388" s="3">
        <v>3816</v>
      </c>
      <c r="J388" s="3">
        <f>169</f>
        <v>169</v>
      </c>
      <c r="K388" s="4">
        <f>7400-6179</f>
        <v>1221</v>
      </c>
      <c r="L388" s="5">
        <f>E388+F388+H388+I388+J388+G388+K388</f>
        <v>6505</v>
      </c>
      <c r="U388" s="7">
        <f>N388+O388+P388+Q388+S388+R388+T388</f>
        <v>0</v>
      </c>
      <c r="AD388" s="9">
        <f>W388+X388+Y388+Z388+AA388+AB388+AC388</f>
        <v>0</v>
      </c>
      <c r="AF388" s="34"/>
      <c r="AG388" s="34"/>
      <c r="AH388" s="34"/>
      <c r="AN388" s="9">
        <f>AG388+AH388+AI388+AJ388+AK388+AL388+AM388</f>
        <v>0</v>
      </c>
      <c r="AT388" s="11">
        <f>100+795</f>
        <v>895</v>
      </c>
      <c r="AV388" s="64">
        <f>L388+U388+AD388</f>
        <v>6505</v>
      </c>
      <c r="AW388" s="73">
        <f>AT388+AV388+AU388</f>
        <v>7400</v>
      </c>
      <c r="AY388" s="74">
        <f>AZ388+BA388+BB388+BC388+BD388+BE388</f>
        <v>10500</v>
      </c>
      <c r="BA388" s="15">
        <v>7400</v>
      </c>
      <c r="BE388" s="17">
        <f>100+3000</f>
        <v>3100</v>
      </c>
      <c r="BL388" s="18">
        <v>5</v>
      </c>
    </row>
    <row r="389" customHeight="1" spans="1:65">
      <c r="A389" s="1" t="s">
        <v>277</v>
      </c>
      <c r="B389" s="33">
        <v>10059953</v>
      </c>
      <c r="C389" s="34" t="s">
        <v>67</v>
      </c>
      <c r="D389" s="3" t="s">
        <v>282</v>
      </c>
      <c r="E389" s="3">
        <v>2180</v>
      </c>
      <c r="G389" s="3">
        <v>15960</v>
      </c>
      <c r="J389" s="3">
        <f>69+129+168+168+49+129</f>
        <v>712</v>
      </c>
      <c r="K389" s="4">
        <f>24760-19677</f>
        <v>5083</v>
      </c>
      <c r="L389" s="5">
        <f>E389+F389+H389+I389+J389+G389+K389</f>
        <v>23935</v>
      </c>
      <c r="U389" s="7">
        <f>N389+O389+P389+Q389+S389+R389+T389</f>
        <v>0</v>
      </c>
      <c r="AD389" s="9">
        <f>W389+X389+Y389+Z389+AA389+AB389+AC389</f>
        <v>0</v>
      </c>
      <c r="AF389" s="34"/>
      <c r="AG389" s="34"/>
      <c r="AH389" s="34"/>
      <c r="AN389" s="9">
        <f>AG389+AH389+AI389+AJ389+AK389+AL389+AM389</f>
        <v>0</v>
      </c>
      <c r="AT389" s="11">
        <f>100+676+49</f>
        <v>825</v>
      </c>
      <c r="AV389" s="64">
        <f>L389+U389+AD389</f>
        <v>23935</v>
      </c>
      <c r="AW389" s="73">
        <f>AT389+AV389+AU389</f>
        <v>24760</v>
      </c>
      <c r="AY389" s="74">
        <f>AZ389+BA389+BB389+BC389+BD389+BE389</f>
        <v>24760</v>
      </c>
      <c r="BA389" s="15">
        <v>24760</v>
      </c>
      <c r="BL389" s="18">
        <v>5</v>
      </c>
      <c r="BM389" s="90" t="s">
        <v>271</v>
      </c>
    </row>
    <row r="390" customHeight="1" spans="1:65">
      <c r="A390" s="1" t="s">
        <v>283</v>
      </c>
      <c r="B390" s="33">
        <v>10059954</v>
      </c>
      <c r="C390" s="3">
        <v>302</v>
      </c>
      <c r="D390" s="3" t="s">
        <v>179</v>
      </c>
      <c r="E390" s="3">
        <v>980</v>
      </c>
      <c r="I390" s="3">
        <v>3816</v>
      </c>
      <c r="K390" s="4">
        <f>5900-5055</f>
        <v>845</v>
      </c>
      <c r="L390" s="5">
        <f>E390+F390+H390+I390+J390+G390+K390</f>
        <v>5641</v>
      </c>
      <c r="U390" s="7">
        <f>N390+O390+P390+Q390+S390+R390+T390</f>
        <v>0</v>
      </c>
      <c r="AD390" s="9">
        <f>W390+X390+Y390+Z390+AA390+AB390+AC390</f>
        <v>0</v>
      </c>
      <c r="AF390" s="34"/>
      <c r="AG390" s="34"/>
      <c r="AH390" s="34"/>
      <c r="AN390" s="9">
        <f>AG390+AH390+AI390+AJ390+AK390+AL390+AM390</f>
        <v>0</v>
      </c>
      <c r="AT390" s="11">
        <f>100+159</f>
        <v>259</v>
      </c>
      <c r="AV390" s="64">
        <f>L390+U390+AD390</f>
        <v>5641</v>
      </c>
      <c r="AW390" s="73">
        <f>AT390+AV390+AU390</f>
        <v>5900</v>
      </c>
      <c r="AY390" s="74">
        <f>AZ390+BA390+BB390+BC390+BD390+BE390</f>
        <v>5900</v>
      </c>
      <c r="AZ390" s="14">
        <v>5900</v>
      </c>
      <c r="BL390" s="18">
        <v>1</v>
      </c>
      <c r="BM390" s="90" t="s">
        <v>196</v>
      </c>
    </row>
    <row r="391" customHeight="1" spans="1:65">
      <c r="A391" s="1" t="s">
        <v>283</v>
      </c>
      <c r="B391" s="33">
        <v>10059955</v>
      </c>
      <c r="C391" s="3" t="s">
        <v>44</v>
      </c>
      <c r="L391" s="5">
        <f>E391+F391+H391+I391+J391+G391+K391</f>
        <v>0</v>
      </c>
      <c r="M391" s="3" t="s">
        <v>284</v>
      </c>
      <c r="N391" s="3">
        <v>1880</v>
      </c>
      <c r="P391" s="3">
        <v>8990</v>
      </c>
      <c r="T391" s="6">
        <v>3458</v>
      </c>
      <c r="U391" s="7">
        <f>N391+O391+P391+Q391+S391+R391+T391</f>
        <v>14328</v>
      </c>
      <c r="AD391" s="9">
        <f>W391+X391+Y391+Z391+AA391+AB391+AC391</f>
        <v>0</v>
      </c>
      <c r="AF391" s="34"/>
      <c r="AG391" s="34"/>
      <c r="AH391" s="34"/>
      <c r="AN391" s="9">
        <f>AG391+AH391+AI391+AJ391+AK391+AL391+AM391</f>
        <v>0</v>
      </c>
      <c r="AT391" s="11">
        <f>100+1272+200</f>
        <v>1572</v>
      </c>
      <c r="AV391" s="64">
        <f>L391+U391+AD391</f>
        <v>14328</v>
      </c>
      <c r="AW391" s="73">
        <f>AT391+AV391+AU391</f>
        <v>15900</v>
      </c>
      <c r="AY391" s="74">
        <f>AZ391+BA391+BB391+BC391+BD391+BE391</f>
        <v>16300</v>
      </c>
      <c r="BA391" s="15">
        <v>15900</v>
      </c>
      <c r="BC391" s="17">
        <v>390</v>
      </c>
      <c r="BD391" s="17">
        <v>10</v>
      </c>
      <c r="BL391" s="18">
        <v>6</v>
      </c>
      <c r="BM391" s="90" t="s">
        <v>140</v>
      </c>
    </row>
    <row r="392" customHeight="1" spans="1:64">
      <c r="A392" s="1" t="s">
        <v>283</v>
      </c>
      <c r="B392" s="33">
        <v>10059956</v>
      </c>
      <c r="C392" s="3" t="s">
        <v>70</v>
      </c>
      <c r="D392" s="3" t="s">
        <v>60</v>
      </c>
      <c r="E392" s="3">
        <v>1880</v>
      </c>
      <c r="I392" s="3">
        <f>1908+3816</f>
        <v>5724</v>
      </c>
      <c r="K392" s="4">
        <f>10950-8863</f>
        <v>2087</v>
      </c>
      <c r="L392" s="5">
        <f>E392+F392+H392+I392+J392+G392+K392</f>
        <v>9691</v>
      </c>
      <c r="U392" s="7">
        <f>N392+O392+P392+Q392+S392+R392+T392</f>
        <v>0</v>
      </c>
      <c r="AD392" s="9">
        <f>W392+X392+Y392+Z392+AA392+AB392+AC392</f>
        <v>0</v>
      </c>
      <c r="AF392" s="34"/>
      <c r="AG392" s="34"/>
      <c r="AH392" s="34"/>
      <c r="AN392" s="9">
        <f>AG392+AH392+AI392+AJ392+AK392+AL392+AM392</f>
        <v>0</v>
      </c>
      <c r="AT392" s="11">
        <f>100+954+58+147</f>
        <v>1259</v>
      </c>
      <c r="AV392" s="64">
        <f>L392+U392+AD392</f>
        <v>9691</v>
      </c>
      <c r="AW392" s="73">
        <f>AT392+AV392+AU392</f>
        <v>10950</v>
      </c>
      <c r="AX392" s="13" t="s">
        <v>32</v>
      </c>
      <c r="AY392" s="74">
        <f>AZ392+BA392+BB392+BC392+BD392+BE392</f>
        <v>0</v>
      </c>
      <c r="BG392" s="10">
        <v>10950</v>
      </c>
      <c r="BL392" s="18">
        <v>6</v>
      </c>
    </row>
    <row r="393" customHeight="1" spans="1:64">
      <c r="A393" s="1" t="s">
        <v>283</v>
      </c>
      <c r="B393" s="33">
        <v>10059957</v>
      </c>
      <c r="C393" s="3">
        <v>320</v>
      </c>
      <c r="D393" s="3" t="s">
        <v>285</v>
      </c>
      <c r="E393" s="3">
        <v>1299</v>
      </c>
      <c r="H393" s="3">
        <v>2080</v>
      </c>
      <c r="I393" s="3">
        <v>2856</v>
      </c>
      <c r="K393" s="4">
        <f>8800-7210</f>
        <v>1590</v>
      </c>
      <c r="L393" s="5">
        <f>E393+F393+H393+I393+J393+G393+K393</f>
        <v>7825</v>
      </c>
      <c r="U393" s="7">
        <f>N393+O393+P393+Q393+S393+R393+T393</f>
        <v>0</v>
      </c>
      <c r="AD393" s="9">
        <f>W393+X393+Y393+Z393+AA393+AB393+AC393</f>
        <v>0</v>
      </c>
      <c r="AF393" s="34"/>
      <c r="AG393" s="34"/>
      <c r="AH393" s="34"/>
      <c r="AN393" s="9">
        <f>AG393+AH393+AI393+AJ393+AK393+AL393+AM393</f>
        <v>0</v>
      </c>
      <c r="AT393" s="11">
        <f>100+795+80</f>
        <v>975</v>
      </c>
      <c r="AV393" s="64">
        <f>L393+U393+AD393</f>
        <v>7825</v>
      </c>
      <c r="AW393" s="73">
        <f>AT393+AV393+AU393</f>
        <v>8800</v>
      </c>
      <c r="AY393" s="74">
        <f>AZ393+BA393+BB393+BC393+BD393+BE393</f>
        <v>10300</v>
      </c>
      <c r="BA393" s="15">
        <v>8800</v>
      </c>
      <c r="BC393" s="17">
        <v>1460</v>
      </c>
      <c r="BD393" s="17">
        <v>40</v>
      </c>
      <c r="BL393" s="18">
        <v>6</v>
      </c>
    </row>
    <row r="394" customHeight="1" spans="1:65">
      <c r="A394" s="1" t="s">
        <v>283</v>
      </c>
      <c r="B394" s="33">
        <v>10059958</v>
      </c>
      <c r="C394" s="34" t="s">
        <v>62</v>
      </c>
      <c r="D394" s="3" t="s">
        <v>82</v>
      </c>
      <c r="E394" s="3">
        <v>2180</v>
      </c>
      <c r="I394" s="3">
        <v>6519</v>
      </c>
      <c r="K394" s="4">
        <f>11300-9754</f>
        <v>1546</v>
      </c>
      <c r="L394" s="5">
        <f>E394+F394+H394+I394+J394+G394+K394</f>
        <v>10245</v>
      </c>
      <c r="U394" s="7">
        <f>N394+O394+P394+Q394+S394+R394+T394</f>
        <v>0</v>
      </c>
      <c r="AD394" s="9">
        <f>W394+X394+Y394+Z394+AA394+AB394+AC394</f>
        <v>0</v>
      </c>
      <c r="AF394" s="34"/>
      <c r="AG394" s="34"/>
      <c r="AH394" s="34"/>
      <c r="AN394" s="9">
        <f>AG394+AH394+AI394+AJ394+AK394+AL394+AM394</f>
        <v>0</v>
      </c>
      <c r="AT394" s="11">
        <f>100+110+169+676</f>
        <v>1055</v>
      </c>
      <c r="AV394" s="64">
        <f>L394+U394+AD394</f>
        <v>10245</v>
      </c>
      <c r="AW394" s="73">
        <f>AT394+AV394+AU394</f>
        <v>11300</v>
      </c>
      <c r="AX394" s="13" t="s">
        <v>142</v>
      </c>
      <c r="AY394" s="74">
        <f>AZ394+BA394+BB394+BC394+BD394+BE394</f>
        <v>11300</v>
      </c>
      <c r="BB394" s="16">
        <v>11300</v>
      </c>
      <c r="BL394" s="18">
        <v>3</v>
      </c>
      <c r="BM394" s="90" t="s">
        <v>140</v>
      </c>
    </row>
    <row r="395" customHeight="1" spans="1:64">
      <c r="A395" s="1" t="s">
        <v>283</v>
      </c>
      <c r="B395" s="33">
        <v>10059959</v>
      </c>
      <c r="C395" s="3">
        <v>315</v>
      </c>
      <c r="D395" s="3" t="s">
        <v>141</v>
      </c>
      <c r="E395" s="3">
        <v>980</v>
      </c>
      <c r="G395" s="3">
        <v>3290</v>
      </c>
      <c r="I395" s="3">
        <v>1908</v>
      </c>
      <c r="K395" s="4">
        <f>8690-6775</f>
        <v>1915</v>
      </c>
      <c r="L395" s="5">
        <f>E395+F395+H395+I395+J395+G395+K395</f>
        <v>8093</v>
      </c>
      <c r="U395" s="7">
        <f>N395+O395+P395+Q395+S395+R395+T395</f>
        <v>0</v>
      </c>
      <c r="AD395" s="9">
        <f>W395+X395+Y395+Z395+AA395+AB395+AC395</f>
        <v>0</v>
      </c>
      <c r="AF395" s="34"/>
      <c r="AG395" s="34"/>
      <c r="AH395" s="34"/>
      <c r="AN395" s="9">
        <f>AG395+AH395+AI395+AJ395+AK395+AL395+AM395</f>
        <v>0</v>
      </c>
      <c r="AT395" s="11">
        <f>100+338+159</f>
        <v>597</v>
      </c>
      <c r="AV395" s="64">
        <f>L395+U395+AD395</f>
        <v>8093</v>
      </c>
      <c r="AW395" s="73">
        <f>AT395+AV395+AU395</f>
        <v>8690</v>
      </c>
      <c r="AY395" s="74">
        <f>AZ395+BA395+BB395+BC395+BD395+BE395</f>
        <v>8690</v>
      </c>
      <c r="AZ395" s="14">
        <v>8690</v>
      </c>
      <c r="BL395" s="18">
        <v>5</v>
      </c>
    </row>
    <row r="396" customHeight="1" spans="1:65">
      <c r="A396" s="1" t="s">
        <v>283</v>
      </c>
      <c r="B396" s="33">
        <v>10059960</v>
      </c>
      <c r="C396" s="3">
        <v>311</v>
      </c>
      <c r="D396" s="34" t="s">
        <v>286</v>
      </c>
      <c r="E396" s="3">
        <v>980</v>
      </c>
      <c r="I396" s="3">
        <f>3816+954</f>
        <v>4770</v>
      </c>
      <c r="K396" s="4">
        <f>8000-6686</f>
        <v>1314</v>
      </c>
      <c r="L396" s="5">
        <f>E396+F396+H396+I396+J396+G396+K396</f>
        <v>7064</v>
      </c>
      <c r="U396" s="7">
        <f>N396+O396+P396+Q396+S396+R396+T396</f>
        <v>0</v>
      </c>
      <c r="AD396" s="9">
        <f>W396+X396+Y396+Z396+AA396+AB396+AC396</f>
        <v>0</v>
      </c>
      <c r="AF396" s="34"/>
      <c r="AG396" s="34"/>
      <c r="AH396" s="34"/>
      <c r="AN396" s="9">
        <f>AG396+AH396+AI396+AJ396+AK396+AL396+AM396</f>
        <v>0</v>
      </c>
      <c r="AT396" s="11">
        <f>100+200+636</f>
        <v>936</v>
      </c>
      <c r="AV396" s="64">
        <f>L396+U396+AD396</f>
        <v>7064</v>
      </c>
      <c r="AW396" s="73">
        <f>AT396+AV396+AU396</f>
        <v>8000</v>
      </c>
      <c r="AY396" s="74">
        <f>AZ396+BA396+BB396+BC396+BD396+BE396</f>
        <v>8000</v>
      </c>
      <c r="AZ396" s="14">
        <v>8000</v>
      </c>
      <c r="BL396" s="18">
        <v>3</v>
      </c>
      <c r="BM396" s="90" t="s">
        <v>196</v>
      </c>
    </row>
    <row r="397" customHeight="1" spans="1:64">
      <c r="A397" s="1" t="s">
        <v>283</v>
      </c>
      <c r="B397" s="33">
        <v>10059961</v>
      </c>
      <c r="C397" s="3">
        <v>312</v>
      </c>
      <c r="D397" s="3" t="s">
        <v>214</v>
      </c>
      <c r="E397" s="3">
        <v>980</v>
      </c>
      <c r="I397" s="3">
        <v>2856</v>
      </c>
      <c r="J397" s="3">
        <v>69</v>
      </c>
      <c r="K397" s="4">
        <f>5250-4482</f>
        <v>768</v>
      </c>
      <c r="L397" s="5">
        <f>E397+F397+H397+I397+J397+G397+K397</f>
        <v>4673</v>
      </c>
      <c r="U397" s="7">
        <f>N397+O397+P397+Q397+S397+R397+T397</f>
        <v>0</v>
      </c>
      <c r="AD397" s="9">
        <f>W397+X397+Y397+Z397+AA397+AB397+AC397</f>
        <v>0</v>
      </c>
      <c r="AF397" s="34"/>
      <c r="AG397" s="34"/>
      <c r="AH397" s="34"/>
      <c r="AN397" s="9">
        <f>AG397+AH397+AI397+AJ397+AK397+AL397+AM397</f>
        <v>0</v>
      </c>
      <c r="AT397" s="11">
        <f>100+477</f>
        <v>577</v>
      </c>
      <c r="AV397" s="64">
        <f>L397+U397+AD397</f>
        <v>4673</v>
      </c>
      <c r="AW397" s="73">
        <f>AT397+AV397+AU397</f>
        <v>5250</v>
      </c>
      <c r="AY397" s="74">
        <f>AZ397+BA397+BB397+BC397+BD397+BE397</f>
        <v>5450</v>
      </c>
      <c r="BA397" s="15">
        <v>5250</v>
      </c>
      <c r="BC397" s="17">
        <v>200</v>
      </c>
      <c r="BL397" s="18">
        <v>3</v>
      </c>
    </row>
    <row r="398" customHeight="1" spans="1:64">
      <c r="A398" s="1" t="s">
        <v>283</v>
      </c>
      <c r="B398" s="33">
        <v>10059962</v>
      </c>
      <c r="C398" s="3">
        <v>301</v>
      </c>
      <c r="D398" s="3" t="s">
        <v>129</v>
      </c>
      <c r="K398" s="4">
        <f>6900-785</f>
        <v>6115</v>
      </c>
      <c r="L398" s="5">
        <f>E398+F398+H398+I398+J398+G398+K398</f>
        <v>6115</v>
      </c>
      <c r="U398" s="7">
        <f>N398+O398+P398+Q398+S398+R398+T398</f>
        <v>0</v>
      </c>
      <c r="AD398" s="9">
        <f>W398+X398+Y398+Z398+AA398+AB398+AC398</f>
        <v>0</v>
      </c>
      <c r="AF398" s="34"/>
      <c r="AG398" s="34"/>
      <c r="AH398" s="34"/>
      <c r="AN398" s="9">
        <f>AG398+AH398+AI398+AJ398+AK398+AL398+AM398</f>
        <v>0</v>
      </c>
      <c r="AT398" s="11">
        <f>100+49+636</f>
        <v>785</v>
      </c>
      <c r="AV398" s="64">
        <f>L398+U398+AD398</f>
        <v>6115</v>
      </c>
      <c r="AW398" s="73">
        <f>AT398+AV398+AU398</f>
        <v>6900</v>
      </c>
      <c r="AX398" s="13" t="s">
        <v>287</v>
      </c>
      <c r="AY398" s="74">
        <f>AZ398+BA398+BB398+BC398+BD398+BE398</f>
        <v>6900</v>
      </c>
      <c r="BB398" s="16">
        <v>6900</v>
      </c>
      <c r="BL398" s="18">
        <v>6</v>
      </c>
    </row>
    <row r="399" customHeight="1" spans="1:65">
      <c r="A399" s="1" t="s">
        <v>283</v>
      </c>
      <c r="B399" s="33">
        <v>10059963</v>
      </c>
      <c r="C399" s="3">
        <v>309</v>
      </c>
      <c r="D399" s="3" t="s">
        <v>235</v>
      </c>
      <c r="E399" s="3">
        <v>980</v>
      </c>
      <c r="G399" s="3">
        <f>1980+6580</f>
        <v>8560</v>
      </c>
      <c r="J399" s="3">
        <f>168+169+129</f>
        <v>466</v>
      </c>
      <c r="K399" s="4">
        <f>13400-10901</f>
        <v>2499</v>
      </c>
      <c r="L399" s="5">
        <f>E399+F399+H399+I399+J399+G399+K399</f>
        <v>12505</v>
      </c>
      <c r="U399" s="7">
        <f>N399+O399+P399+Q399+S399+R399+T399</f>
        <v>0</v>
      </c>
      <c r="AD399" s="9">
        <f>W399+X399+Y399+Z399+AA399+AB399+AC399</f>
        <v>0</v>
      </c>
      <c r="AF399" s="34"/>
      <c r="AG399" s="34"/>
      <c r="AH399" s="34"/>
      <c r="AN399" s="9">
        <f>AG399+AH399+AI399+AJ399+AK399+AL399+AM399</f>
        <v>0</v>
      </c>
      <c r="AT399" s="11">
        <f>100+795</f>
        <v>895</v>
      </c>
      <c r="AV399" s="64">
        <f>L399+U399+AD399</f>
        <v>12505</v>
      </c>
      <c r="AW399" s="73">
        <f>AT399+AV399+AU399</f>
        <v>13400</v>
      </c>
      <c r="AY399" s="74">
        <f>AZ399+BA399+BB399+BC399+BD399+BE399</f>
        <v>13400</v>
      </c>
      <c r="BA399" s="15">
        <v>13400</v>
      </c>
      <c r="BL399" s="18">
        <v>4</v>
      </c>
      <c r="BM399" s="90" t="s">
        <v>196</v>
      </c>
    </row>
    <row r="400" customHeight="1" spans="1:64">
      <c r="A400" s="1" t="s">
        <v>283</v>
      </c>
      <c r="B400" s="33">
        <v>10059964</v>
      </c>
      <c r="C400" s="3">
        <v>310</v>
      </c>
      <c r="L400" s="5">
        <f>E400+F400+H400+I400+J400+G400+K400</f>
        <v>0</v>
      </c>
      <c r="M400" s="3" t="s">
        <v>288</v>
      </c>
      <c r="N400" s="3">
        <v>980</v>
      </c>
      <c r="R400" s="3">
        <v>3816</v>
      </c>
      <c r="T400" s="6">
        <v>545</v>
      </c>
      <c r="U400" s="7">
        <f>N400+O400+P400+Q400+S400+R400+T400</f>
        <v>5341</v>
      </c>
      <c r="AD400" s="9">
        <f>W400+X400+Y400+Z400+AA400+AB400+AC400</f>
        <v>0</v>
      </c>
      <c r="AF400" s="34"/>
      <c r="AG400" s="34"/>
      <c r="AH400" s="34"/>
      <c r="AN400" s="9">
        <f>AG400+AH400+AI400+AJ400+AK400+AL400+AM400</f>
        <v>0</v>
      </c>
      <c r="AT400" s="11">
        <f>100+159</f>
        <v>259</v>
      </c>
      <c r="AV400" s="64">
        <f>L400+U400+AD400</f>
        <v>5341</v>
      </c>
      <c r="AW400" s="73">
        <f>AT400+AV400+AU400</f>
        <v>5600</v>
      </c>
      <c r="AY400" s="74">
        <f>AZ400+BA400+BB400+BC400+BD400+BE400</f>
        <v>5600</v>
      </c>
      <c r="BA400" s="15">
        <v>5600</v>
      </c>
      <c r="BL400" s="18">
        <v>1</v>
      </c>
    </row>
    <row r="401" customHeight="1" spans="1:65">
      <c r="A401" s="1" t="s">
        <v>283</v>
      </c>
      <c r="B401" s="33">
        <v>10059965</v>
      </c>
      <c r="C401" s="3">
        <v>306</v>
      </c>
      <c r="D401" s="3" t="s">
        <v>211</v>
      </c>
      <c r="E401" s="3">
        <v>980</v>
      </c>
      <c r="I401" s="3">
        <f>2856+238</f>
        <v>3094</v>
      </c>
      <c r="K401" s="4">
        <f>4800-4333</f>
        <v>467</v>
      </c>
      <c r="L401" s="5">
        <f>E401+F401+H401+I401+J401+G401+K401</f>
        <v>4541</v>
      </c>
      <c r="U401" s="7">
        <f>N401+O401+P401+Q401+S401+R401+T401</f>
        <v>0</v>
      </c>
      <c r="AD401" s="9">
        <f>W401+X401+Y401+Z401+AA401+AB401+AC401</f>
        <v>0</v>
      </c>
      <c r="AF401" s="34"/>
      <c r="AG401" s="34"/>
      <c r="AH401" s="34"/>
      <c r="AN401" s="9">
        <f>AG401+AH401+AI401+AJ401+AK401+AL401+AM401</f>
        <v>0</v>
      </c>
      <c r="AT401" s="11">
        <f>100+159</f>
        <v>259</v>
      </c>
      <c r="AV401" s="64">
        <f>L401+U401+AD401</f>
        <v>4541</v>
      </c>
      <c r="AW401" s="73">
        <f>AT401+AV401+AU401</f>
        <v>4800</v>
      </c>
      <c r="AY401" s="74">
        <f>AZ401+BA401+BB401+BC401+BD401+BE401</f>
        <v>4800</v>
      </c>
      <c r="BA401" s="15">
        <v>4800</v>
      </c>
      <c r="BL401" s="18">
        <v>2</v>
      </c>
      <c r="BM401" s="90" t="s">
        <v>196</v>
      </c>
    </row>
    <row r="402" customHeight="1" spans="1:64">
      <c r="A402" s="1" t="s">
        <v>283</v>
      </c>
      <c r="B402" s="33">
        <v>10059966</v>
      </c>
      <c r="C402" s="3" t="s">
        <v>192</v>
      </c>
      <c r="D402" s="3" t="s">
        <v>202</v>
      </c>
      <c r="E402" s="3">
        <v>1880</v>
      </c>
      <c r="G402" s="3">
        <v>3290</v>
      </c>
      <c r="I402" s="3">
        <v>2856</v>
      </c>
      <c r="K402" s="4">
        <f>10150-8603</f>
        <v>1547</v>
      </c>
      <c r="L402" s="5">
        <f>E402+F402+H402+I402+J402+G402+K402</f>
        <v>9573</v>
      </c>
      <c r="U402" s="7">
        <f>N402+O402+P402+Q402+S402+R402+T402</f>
        <v>0</v>
      </c>
      <c r="AD402" s="9">
        <f>W402+X402+Y402+Z402+AA402+AB402+AC402</f>
        <v>0</v>
      </c>
      <c r="AF402" s="34"/>
      <c r="AG402" s="34"/>
      <c r="AH402" s="34"/>
      <c r="AN402" s="9">
        <f>AG402+AH402+AI402+AJ402+AK402+AL402+AM402</f>
        <v>0</v>
      </c>
      <c r="AT402" s="11">
        <f>100+477</f>
        <v>577</v>
      </c>
      <c r="AV402" s="64">
        <f>L402+U402+AD402</f>
        <v>9573</v>
      </c>
      <c r="AW402" s="73">
        <f>AT402+AV402+AU402</f>
        <v>10150</v>
      </c>
      <c r="AY402" s="74">
        <f>AZ402+BA402+BB402+BC402+BD402+BE402</f>
        <v>10150</v>
      </c>
      <c r="AZ402" s="14">
        <v>10150</v>
      </c>
      <c r="BL402" s="18">
        <v>6</v>
      </c>
    </row>
    <row r="403" customHeight="1" spans="1:64">
      <c r="A403" s="1" t="s">
        <v>283</v>
      </c>
      <c r="B403" s="33">
        <v>10059967</v>
      </c>
      <c r="C403" s="3">
        <v>316</v>
      </c>
      <c r="L403" s="5">
        <f>E403+F403+H403+I403+J403+G403+K403</f>
        <v>0</v>
      </c>
      <c r="M403" s="3" t="s">
        <v>117</v>
      </c>
      <c r="R403" s="3">
        <v>1071</v>
      </c>
      <c r="T403" s="6">
        <v>1270</v>
      </c>
      <c r="U403" s="7">
        <f>N403+O403+P403+Q403+S403+R403+T403</f>
        <v>2341</v>
      </c>
      <c r="AD403" s="9">
        <f>W403+X403+Y403+Z403+AA403+AB403+AC403</f>
        <v>0</v>
      </c>
      <c r="AF403" s="34"/>
      <c r="AG403" s="34"/>
      <c r="AH403" s="34"/>
      <c r="AN403" s="9">
        <f>AG403+AH403+AI403+AJ403+AK403+AL403+AM403</f>
        <v>0</v>
      </c>
      <c r="AT403" s="11">
        <f>100+200+159</f>
        <v>459</v>
      </c>
      <c r="AV403" s="64">
        <f>L403+U403+AD403</f>
        <v>2341</v>
      </c>
      <c r="AW403" s="73">
        <f>AT403+AV403+AU403</f>
        <v>2800</v>
      </c>
      <c r="AY403" s="74">
        <f>AZ403+BA403+BB403+BC403+BD403+BE403</f>
        <v>2800</v>
      </c>
      <c r="BB403" s="16">
        <v>2800</v>
      </c>
      <c r="BL403" s="18">
        <v>3</v>
      </c>
    </row>
    <row r="404" customHeight="1" spans="1:65">
      <c r="A404" s="1" t="s">
        <v>283</v>
      </c>
      <c r="B404" s="33">
        <v>10059968</v>
      </c>
      <c r="C404" s="3">
        <v>318</v>
      </c>
      <c r="L404" s="5">
        <f>E404+F404+H404+I404+J404+G404+K404</f>
        <v>0</v>
      </c>
      <c r="M404" s="3" t="s">
        <v>158</v>
      </c>
      <c r="N404" s="3">
        <v>980</v>
      </c>
      <c r="R404" s="3">
        <v>2856</v>
      </c>
      <c r="T404" s="6">
        <v>464</v>
      </c>
      <c r="U404" s="7">
        <f>N404+O404+P404+Q404+S404+R404+T404</f>
        <v>4300</v>
      </c>
      <c r="AD404" s="9">
        <f>W404+X404+Y404+Z404+AA404+AB404+AC404</f>
        <v>0</v>
      </c>
      <c r="AF404" s="34"/>
      <c r="AG404" s="34"/>
      <c r="AH404" s="34"/>
      <c r="AN404" s="9">
        <f>AG404+AH404+AI404+AJ404+AK404+AL404+AM404</f>
        <v>0</v>
      </c>
      <c r="AT404" s="11">
        <v>100</v>
      </c>
      <c r="AV404" s="64">
        <f>L404+U404+AD404</f>
        <v>4300</v>
      </c>
      <c r="AW404" s="73">
        <f>AT404+AV404+AU404</f>
        <v>4400</v>
      </c>
      <c r="AY404" s="74">
        <f>AZ404+BA404+BB404+BC404+BD404+BE404</f>
        <v>4400</v>
      </c>
      <c r="BA404" s="15">
        <v>4400</v>
      </c>
      <c r="BL404" s="18">
        <v>2</v>
      </c>
      <c r="BM404" s="90" t="s">
        <v>196</v>
      </c>
    </row>
    <row r="405" customHeight="1" spans="1:65">
      <c r="A405" s="1" t="s">
        <v>283</v>
      </c>
      <c r="B405" s="33">
        <v>10059969</v>
      </c>
      <c r="C405" s="3">
        <v>307</v>
      </c>
      <c r="L405" s="5">
        <f>E405+F405+H405+I405+J405+G405+K405</f>
        <v>0</v>
      </c>
      <c r="M405" s="3" t="s">
        <v>289</v>
      </c>
      <c r="N405" s="3">
        <v>980</v>
      </c>
      <c r="R405" s="3">
        <v>2856</v>
      </c>
      <c r="T405" s="6">
        <v>764</v>
      </c>
      <c r="U405" s="7">
        <f>N405+O405+P405+Q405+S405+R405+T405</f>
        <v>4600</v>
      </c>
      <c r="AD405" s="9">
        <f>W405+X405+Y405+Z405+AA405+AB405+AC405</f>
        <v>0</v>
      </c>
      <c r="AF405" s="34"/>
      <c r="AG405" s="34"/>
      <c r="AH405" s="34"/>
      <c r="AN405" s="9">
        <f>AG405+AH405+AI405+AJ405+AK405+AL405+AM405</f>
        <v>0</v>
      </c>
      <c r="AT405" s="11">
        <v>100</v>
      </c>
      <c r="AV405" s="64">
        <f>L405+U405+AD405</f>
        <v>4600</v>
      </c>
      <c r="AW405" s="73">
        <f>AT405+AV405+AU405</f>
        <v>4700</v>
      </c>
      <c r="AY405" s="74">
        <f>AZ405+BA405+BB405+BC405+BD405+BE405</f>
        <v>4700</v>
      </c>
      <c r="BA405" s="15">
        <v>4700</v>
      </c>
      <c r="BL405" s="18">
        <v>7</v>
      </c>
      <c r="BM405" s="90" t="s">
        <v>140</v>
      </c>
    </row>
    <row r="406" customHeight="1" spans="1:64">
      <c r="A406" s="1" t="s">
        <v>283</v>
      </c>
      <c r="B406" s="33">
        <v>10059970</v>
      </c>
      <c r="C406" s="3" t="s">
        <v>120</v>
      </c>
      <c r="D406" s="3" t="s">
        <v>181</v>
      </c>
      <c r="E406" s="3">
        <v>1880</v>
      </c>
      <c r="G406" s="3">
        <v>9380</v>
      </c>
      <c r="K406" s="4">
        <f>14380-12155</f>
        <v>2225</v>
      </c>
      <c r="L406" s="5">
        <f>E406+F406+H406+I406+J406+G406+K406</f>
        <v>13485</v>
      </c>
      <c r="U406" s="7">
        <f>N406+O406+P406+Q406+S406+R406+T406</f>
        <v>0</v>
      </c>
      <c r="AD406" s="9">
        <f>W406+X406+Y406+Z406+AA406+AB406+AC406</f>
        <v>0</v>
      </c>
      <c r="AF406" s="34"/>
      <c r="AG406" s="34"/>
      <c r="AH406" s="34"/>
      <c r="AN406" s="9">
        <f>AG406+AH406+AI406+AJ406+AK406+AL406+AM406</f>
        <v>0</v>
      </c>
      <c r="AT406" s="11">
        <f>100+795</f>
        <v>895</v>
      </c>
      <c r="AV406" s="64">
        <f>L406+U406+AD406</f>
        <v>13485</v>
      </c>
      <c r="AW406" s="73">
        <f>AT406+AV406+AU406</f>
        <v>14380</v>
      </c>
      <c r="AY406" s="74">
        <f>AZ406+BA406+BB406+BC406+BD406+BE406</f>
        <v>14380</v>
      </c>
      <c r="AZ406" s="14">
        <v>14380</v>
      </c>
      <c r="BL406" s="18">
        <v>4</v>
      </c>
    </row>
    <row r="407" customHeight="1" spans="1:65">
      <c r="A407" s="1" t="s">
        <v>283</v>
      </c>
      <c r="B407" s="33">
        <v>10059971</v>
      </c>
      <c r="C407" s="34" t="s">
        <v>78</v>
      </c>
      <c r="D407" s="3" t="s">
        <v>179</v>
      </c>
      <c r="E407" s="3">
        <v>2580</v>
      </c>
      <c r="G407" s="3">
        <v>9190</v>
      </c>
      <c r="I407" s="3">
        <v>1908</v>
      </c>
      <c r="J407" s="3">
        <f>1176+169+169+169</f>
        <v>1683</v>
      </c>
      <c r="K407" s="4">
        <f>19600-16475</f>
        <v>3125</v>
      </c>
      <c r="L407" s="5">
        <f>E407+F407+H407+I407+J407+G407+K407</f>
        <v>18486</v>
      </c>
      <c r="U407" s="7">
        <f>N407+O407+P407+Q407+S407+R407+T407</f>
        <v>0</v>
      </c>
      <c r="AD407" s="9">
        <f>W407+X407+Y407+Z407+AA407+AB407+AC407</f>
        <v>0</v>
      </c>
      <c r="AF407" s="34"/>
      <c r="AG407" s="34"/>
      <c r="AH407" s="34"/>
      <c r="AN407" s="9">
        <f>AG407+AH407+AI407+AJ407+AK407+AL407+AM407</f>
        <v>0</v>
      </c>
      <c r="AT407" s="11">
        <f>100+1014</f>
        <v>1114</v>
      </c>
      <c r="AV407" s="64">
        <f>L407+U407+AD407</f>
        <v>18486</v>
      </c>
      <c r="AW407" s="73">
        <f>AT407+AV407+AU407</f>
        <v>19600</v>
      </c>
      <c r="AY407" s="74">
        <f>AZ407+BA407+BB407+BC407+BD407+BE407</f>
        <v>19600</v>
      </c>
      <c r="BA407" s="15">
        <v>19600</v>
      </c>
      <c r="BL407" s="18">
        <v>5</v>
      </c>
      <c r="BM407" s="90" t="s">
        <v>196</v>
      </c>
    </row>
    <row r="408" customHeight="1" spans="1:64">
      <c r="A408" s="1" t="s">
        <v>283</v>
      </c>
      <c r="B408" s="33">
        <v>10059972</v>
      </c>
      <c r="C408" s="3">
        <v>303</v>
      </c>
      <c r="L408" s="5">
        <f>E408+F408+H408+I408+J408+G408+K408</f>
        <v>0</v>
      </c>
      <c r="M408" s="3" t="s">
        <v>290</v>
      </c>
      <c r="N408" s="3">
        <v>980</v>
      </c>
      <c r="R408" s="3">
        <v>1788</v>
      </c>
      <c r="T408" s="6">
        <v>532</v>
      </c>
      <c r="U408" s="7">
        <f>N408+O408+P408+Q408+S408+R408+T408</f>
        <v>3300</v>
      </c>
      <c r="AD408" s="9">
        <f>W408+X408+Y408+Z408+AA408+AB408+AC408</f>
        <v>0</v>
      </c>
      <c r="AF408" s="34"/>
      <c r="AG408" s="34"/>
      <c r="AH408" s="34"/>
      <c r="AN408" s="9">
        <f>AG408+AH408+AI408+AJ408+AK408+AL408+AM408</f>
        <v>0</v>
      </c>
      <c r="AT408" s="11">
        <v>100</v>
      </c>
      <c r="AV408" s="64">
        <f>L408+U408+AD408</f>
        <v>3300</v>
      </c>
      <c r="AW408" s="73">
        <f>AT408+AV408+AU408</f>
        <v>3400</v>
      </c>
      <c r="AY408" s="74">
        <f>AZ408+BA408+BB408+BC408+BD408+BE408</f>
        <v>3400</v>
      </c>
      <c r="AZ408" s="14">
        <v>3400</v>
      </c>
      <c r="BL408" s="18">
        <v>1</v>
      </c>
    </row>
    <row r="409" customHeight="1" spans="1:65">
      <c r="A409" s="1" t="s">
        <v>283</v>
      </c>
      <c r="B409" s="33">
        <v>10059973</v>
      </c>
      <c r="C409" s="34" t="s">
        <v>65</v>
      </c>
      <c r="D409" s="3" t="s">
        <v>81</v>
      </c>
      <c r="E409" s="3">
        <v>2180</v>
      </c>
      <c r="G409" s="3">
        <v>5990</v>
      </c>
      <c r="J409" s="3">
        <v>645</v>
      </c>
      <c r="K409" s="4">
        <f>11800-9760</f>
        <v>2040</v>
      </c>
      <c r="L409" s="5">
        <f>E409+F409+H409+I409+J409+G409+K409</f>
        <v>10855</v>
      </c>
      <c r="U409" s="7">
        <f>N409+O409+P409+Q409+S409+R409+T409</f>
        <v>0</v>
      </c>
      <c r="AD409" s="9">
        <f>W409+X409+Y409+Z409+AA409+AB409+AC409</f>
        <v>0</v>
      </c>
      <c r="AF409" s="34"/>
      <c r="AG409" s="34"/>
      <c r="AH409" s="34"/>
      <c r="AN409" s="9">
        <f>AG409+AH409+AI409+AJ409+AK409+AL409+AM409</f>
        <v>0</v>
      </c>
      <c r="AT409" s="11">
        <f>100+169+676</f>
        <v>945</v>
      </c>
      <c r="AV409" s="64">
        <f>L409+U409+AD409</f>
        <v>10855</v>
      </c>
      <c r="AW409" s="73">
        <f>AT409+AV409+AU409</f>
        <v>11800</v>
      </c>
      <c r="AY409" s="74">
        <f>AZ409+BA409+BB409+BC409+BD409+BE409</f>
        <v>11800</v>
      </c>
      <c r="BA409" s="15">
        <v>11800</v>
      </c>
      <c r="BL409" s="18">
        <v>5</v>
      </c>
      <c r="BM409" s="90" t="s">
        <v>140</v>
      </c>
    </row>
    <row r="410" customHeight="1" spans="1:65">
      <c r="A410" s="1" t="s">
        <v>283</v>
      </c>
      <c r="B410" s="33">
        <v>10059974</v>
      </c>
      <c r="C410" s="34" t="s">
        <v>59</v>
      </c>
      <c r="L410" s="5">
        <f>E410+F410+H410+I410+J410+G410+K410</f>
        <v>0</v>
      </c>
      <c r="M410" s="3" t="s">
        <v>291</v>
      </c>
      <c r="N410" s="3">
        <v>2180</v>
      </c>
      <c r="P410" s="3">
        <v>9190</v>
      </c>
      <c r="S410" s="3">
        <v>605</v>
      </c>
      <c r="T410" s="6">
        <v>2025</v>
      </c>
      <c r="U410" s="7">
        <f>N410+O410+P410+Q410+S410+R410+T410</f>
        <v>14000</v>
      </c>
      <c r="AD410" s="9">
        <f>W410+X410+Y410+Z410+AA410+AB410+AC410</f>
        <v>0</v>
      </c>
      <c r="AF410" s="34"/>
      <c r="AG410" s="34"/>
      <c r="AH410" s="34"/>
      <c r="AN410" s="9">
        <f>AG410+AH410+AI410+AJ410+AK410+AL410+AM410</f>
        <v>0</v>
      </c>
      <c r="AT410" s="11">
        <f>100</f>
        <v>100</v>
      </c>
      <c r="AV410" s="64">
        <f>L410+U410+AD410</f>
        <v>14000</v>
      </c>
      <c r="AW410" s="73">
        <f>AT410+AV410+AU410</f>
        <v>14100</v>
      </c>
      <c r="AY410" s="74">
        <f>AZ410+BA410+BB410+BC410+BD410+BE410</f>
        <v>14100</v>
      </c>
      <c r="BA410" s="15">
        <v>14100</v>
      </c>
      <c r="BL410" s="18">
        <v>3</v>
      </c>
      <c r="BM410" s="90" t="s">
        <v>140</v>
      </c>
    </row>
    <row r="411" customHeight="1" spans="1:64">
      <c r="A411" s="1" t="s">
        <v>283</v>
      </c>
      <c r="B411" s="33">
        <v>10059975</v>
      </c>
      <c r="C411" s="34" t="s">
        <v>67</v>
      </c>
      <c r="D411" s="3" t="s">
        <v>285</v>
      </c>
      <c r="E411" s="3">
        <v>2180</v>
      </c>
      <c r="G411" s="3">
        <f>4890+9190</f>
        <v>14080</v>
      </c>
      <c r="K411" s="4">
        <f>20900-16956</f>
        <v>3944</v>
      </c>
      <c r="L411" s="5">
        <f>E411+F411+H411+I411+J411+G411+K411</f>
        <v>20204</v>
      </c>
      <c r="U411" s="7">
        <f>N411+O411+P411+Q411+S411+R411+T411</f>
        <v>0</v>
      </c>
      <c r="AD411" s="9">
        <f>W411+X411+Y411+Z411+AA411+AB411+AC411</f>
        <v>0</v>
      </c>
      <c r="AF411" s="34"/>
      <c r="AG411" s="34"/>
      <c r="AH411" s="34"/>
      <c r="AN411" s="9">
        <f>AG411+AH411+AI411+AJ411+AK411+AL411+AM411</f>
        <v>0</v>
      </c>
      <c r="AT411" s="11">
        <f>100+40+49+507</f>
        <v>696</v>
      </c>
      <c r="AV411" s="64">
        <f>L411+U411+AD411</f>
        <v>20204</v>
      </c>
      <c r="AW411" s="73">
        <f>AT411+AV411+AU411</f>
        <v>20900</v>
      </c>
      <c r="AY411" s="74">
        <f>AZ411+BA411+BB411+BC411+BD411+BE411</f>
        <v>21950</v>
      </c>
      <c r="BA411" s="15">
        <v>20900</v>
      </c>
      <c r="BE411" s="17">
        <v>1050</v>
      </c>
      <c r="BL411" s="18">
        <v>3</v>
      </c>
    </row>
    <row r="412" customHeight="1" spans="1:65">
      <c r="A412" s="1" t="s">
        <v>283</v>
      </c>
      <c r="B412" s="33">
        <v>10059976</v>
      </c>
      <c r="C412" s="34" t="s">
        <v>94</v>
      </c>
      <c r="L412" s="5">
        <f>E412+F412+H412+I412+J412+G412+K412</f>
        <v>0</v>
      </c>
      <c r="M412" s="3" t="s">
        <v>292</v>
      </c>
      <c r="N412" s="3">
        <v>1680</v>
      </c>
      <c r="P412" s="3">
        <v>4690</v>
      </c>
      <c r="T412" s="6">
        <v>1744</v>
      </c>
      <c r="U412" s="7">
        <f>N412+O412+P412+Q412+S412+R412+T412</f>
        <v>8114</v>
      </c>
      <c r="AD412" s="9">
        <f>W412+X412+Y412+Z412+AA412+AB412+AC412</f>
        <v>0</v>
      </c>
      <c r="AF412" s="34"/>
      <c r="AG412" s="34"/>
      <c r="AH412" s="34"/>
      <c r="AN412" s="9">
        <f>AG412+AH412+AI412+AJ412+AK412+AL412+AM412</f>
        <v>0</v>
      </c>
      <c r="AT412" s="11">
        <f>100+507+29</f>
        <v>636</v>
      </c>
      <c r="AV412" s="64">
        <f>L412+U412+AD412</f>
        <v>8114</v>
      </c>
      <c r="AW412" s="73">
        <f>AT412+AV412+AU412</f>
        <v>8750</v>
      </c>
      <c r="AY412" s="74">
        <f>AZ412+BA412+BB412+BC412+BD412+BE412</f>
        <v>9500</v>
      </c>
      <c r="BA412" s="15">
        <v>8750</v>
      </c>
      <c r="BC412" s="17">
        <v>730</v>
      </c>
      <c r="BD412" s="17">
        <v>20</v>
      </c>
      <c r="BL412" s="18">
        <v>2</v>
      </c>
      <c r="BM412" s="90" t="s">
        <v>140</v>
      </c>
    </row>
    <row r="413" customHeight="1" spans="1:65">
      <c r="A413" s="1" t="s">
        <v>283</v>
      </c>
      <c r="B413" s="33">
        <v>10059977</v>
      </c>
      <c r="C413" s="34" t="s">
        <v>89</v>
      </c>
      <c r="D413" s="3" t="s">
        <v>231</v>
      </c>
      <c r="E413" s="3">
        <v>2180</v>
      </c>
      <c r="I413" s="3">
        <v>4284</v>
      </c>
      <c r="J413" s="3">
        <f>98+168+129+138</f>
        <v>533</v>
      </c>
      <c r="K413" s="4">
        <f>8200-7266</f>
        <v>934</v>
      </c>
      <c r="L413" s="5">
        <f>E413+F413+H413+I413+J413+G413+K413</f>
        <v>7931</v>
      </c>
      <c r="U413" s="7">
        <f>N413+O413+P413+Q413+S413+R413+T413</f>
        <v>0</v>
      </c>
      <c r="AD413" s="9">
        <f>W413+X413+Y413+Z413+AA413+AB413+AC413</f>
        <v>0</v>
      </c>
      <c r="AF413" s="34"/>
      <c r="AG413" s="34"/>
      <c r="AH413" s="34"/>
      <c r="AN413" s="9">
        <f>AG413+AH413+AI413+AJ413+AK413+AL413+AM413</f>
        <v>0</v>
      </c>
      <c r="AT413" s="11">
        <f>100+169</f>
        <v>269</v>
      </c>
      <c r="AV413" s="64">
        <f>L413+U413+AD413</f>
        <v>7931</v>
      </c>
      <c r="AW413" s="73">
        <f>AT413+AV413+AU413</f>
        <v>8200</v>
      </c>
      <c r="AX413" s="75" t="s">
        <v>149</v>
      </c>
      <c r="AY413" s="74">
        <f>AZ413+BA413+BB413+BC413+BD413+BE413</f>
        <v>8200</v>
      </c>
      <c r="BB413" s="16">
        <v>8200</v>
      </c>
      <c r="BL413" s="18">
        <v>2</v>
      </c>
      <c r="BM413" s="90" t="s">
        <v>196</v>
      </c>
    </row>
    <row r="414" customHeight="1" spans="1:65">
      <c r="A414" s="1" t="s">
        <v>283</v>
      </c>
      <c r="B414" s="33">
        <v>10059978</v>
      </c>
      <c r="C414" s="34" t="s">
        <v>54</v>
      </c>
      <c r="D414" s="3" t="s">
        <v>218</v>
      </c>
      <c r="E414" s="3">
        <v>2180</v>
      </c>
      <c r="G414" s="3">
        <v>3990</v>
      </c>
      <c r="I414" s="3">
        <f>1908+8568</f>
        <v>10476</v>
      </c>
      <c r="K414" s="4">
        <f>19700-17302</f>
        <v>2398</v>
      </c>
      <c r="L414" s="5">
        <f>E414+F414+H414+I414+J414+G414+K414</f>
        <v>19044</v>
      </c>
      <c r="U414" s="7">
        <f>N414+O414+P414+Q414+S414+R414+T414</f>
        <v>0</v>
      </c>
      <c r="AD414" s="9">
        <f>W414+X414+Y414+Z414+AA414+AB414+AC414</f>
        <v>0</v>
      </c>
      <c r="AF414" s="34"/>
      <c r="AG414" s="34"/>
      <c r="AH414" s="34"/>
      <c r="AN414" s="9">
        <f>AG414+AH414+AI414+AJ414+AK414+AL414+AM414</f>
        <v>0</v>
      </c>
      <c r="AT414" s="11">
        <f>100+507+49</f>
        <v>656</v>
      </c>
      <c r="AV414" s="64">
        <f>L414+U414+AD414</f>
        <v>19044</v>
      </c>
      <c r="AW414" s="73">
        <f>AT414+AV414+AU414</f>
        <v>19700</v>
      </c>
      <c r="AY414" s="74">
        <f>AZ414+BA414+BB414+BC414+BD414+BE414</f>
        <v>19700</v>
      </c>
      <c r="BA414" s="15">
        <v>19700</v>
      </c>
      <c r="BL414" s="18">
        <v>5</v>
      </c>
      <c r="BM414" s="90" t="s">
        <v>271</v>
      </c>
    </row>
    <row r="415" customHeight="1" spans="1:64">
      <c r="A415" s="1" t="s">
        <v>293</v>
      </c>
      <c r="B415" s="33">
        <v>10059979</v>
      </c>
      <c r="C415" s="3">
        <v>309</v>
      </c>
      <c r="D415" s="3" t="s">
        <v>82</v>
      </c>
      <c r="E415" s="3">
        <v>980</v>
      </c>
      <c r="I415" s="3">
        <f>1547+714</f>
        <v>2261</v>
      </c>
      <c r="K415" s="4">
        <f>4450-3818</f>
        <v>632</v>
      </c>
      <c r="L415" s="5">
        <f>E415+F415+H415+I415+J415+G415+K415</f>
        <v>3873</v>
      </c>
      <c r="U415" s="7">
        <f>N415+O415+P415+Q415+S415+R415+T415</f>
        <v>0</v>
      </c>
      <c r="AD415" s="9">
        <f>W415+X415+Y415+Z415+AA415+AB415+AC415</f>
        <v>0</v>
      </c>
      <c r="AF415" s="34"/>
      <c r="AG415" s="34"/>
      <c r="AH415" s="34"/>
      <c r="AN415" s="9">
        <f>AG415+AH415+AI415+AJ415+AK415+AL415+AM415</f>
        <v>0</v>
      </c>
      <c r="AT415" s="11">
        <f>100+477</f>
        <v>577</v>
      </c>
      <c r="AV415" s="64">
        <f>L415+U415+AD415</f>
        <v>3873</v>
      </c>
      <c r="AW415" s="73">
        <f>AT415+AV415+AU415</f>
        <v>4450</v>
      </c>
      <c r="AY415" s="74">
        <f>AZ415+BA415+BB415+BC415+BD415+BE415</f>
        <v>4450</v>
      </c>
      <c r="BA415" s="15">
        <v>4450</v>
      </c>
      <c r="BL415" s="18">
        <v>2</v>
      </c>
    </row>
    <row r="416" customHeight="1" spans="1:65">
      <c r="A416" s="1" t="s">
        <v>293</v>
      </c>
      <c r="B416" s="33">
        <v>10059980</v>
      </c>
      <c r="C416" s="3">
        <v>302</v>
      </c>
      <c r="D416" s="3" t="s">
        <v>179</v>
      </c>
      <c r="E416" s="3">
        <v>980</v>
      </c>
      <c r="I416" s="3">
        <v>1272</v>
      </c>
      <c r="J416" s="3">
        <v>169</v>
      </c>
      <c r="K416" s="4">
        <f>3350-2839</f>
        <v>511</v>
      </c>
      <c r="L416" s="5">
        <f>E416+F416+H416+I416+J416+G416+K416</f>
        <v>2932</v>
      </c>
      <c r="U416" s="7">
        <f>N416+O416+P416+Q416+S416+R416+T416</f>
        <v>0</v>
      </c>
      <c r="AD416" s="9">
        <f>W416+X416+Y416+Z416+AA416+AB416+AC416</f>
        <v>0</v>
      </c>
      <c r="AF416" s="34"/>
      <c r="AG416" s="34"/>
      <c r="AH416" s="34"/>
      <c r="AN416" s="9">
        <f>AG416+AH416+AI416+AJ416+AK416+AL416+AM416</f>
        <v>0</v>
      </c>
      <c r="AT416" s="11">
        <f>100+318</f>
        <v>418</v>
      </c>
      <c r="AV416" s="64">
        <f>L416+U416+AD416</f>
        <v>2932</v>
      </c>
      <c r="AW416" s="73">
        <f>AT416+AV416+AU416</f>
        <v>3350</v>
      </c>
      <c r="AY416" s="74">
        <f>AZ416+BA416+BB416+BC416+BD416+BE416</f>
        <v>3350</v>
      </c>
      <c r="AZ416" s="14">
        <v>3350</v>
      </c>
      <c r="BL416" s="18">
        <v>2</v>
      </c>
      <c r="BM416" s="90" t="s">
        <v>212</v>
      </c>
    </row>
    <row r="417" customHeight="1" spans="1:64">
      <c r="A417" s="1" t="s">
        <v>293</v>
      </c>
      <c r="B417" s="33">
        <v>10059981</v>
      </c>
      <c r="C417" s="34" t="s">
        <v>107</v>
      </c>
      <c r="D417" s="3" t="s">
        <v>202</v>
      </c>
      <c r="E417" s="3">
        <v>1299</v>
      </c>
      <c r="G417" s="3">
        <v>6690</v>
      </c>
      <c r="K417" s="4">
        <f>10400-8456</f>
        <v>1944</v>
      </c>
      <c r="L417" s="5">
        <f>E417+F417+H417+I417+J417+G417+K417</f>
        <v>9933</v>
      </c>
      <c r="U417" s="7">
        <f>N417+O417+P417+Q417+S417+R417+T417</f>
        <v>0</v>
      </c>
      <c r="AD417" s="9">
        <f>W417+X417+Y417+Z417+AA417+AB417+AC417</f>
        <v>0</v>
      </c>
      <c r="AF417" s="34"/>
      <c r="AG417" s="34"/>
      <c r="AH417" s="34"/>
      <c r="AN417" s="9">
        <f>AG417+AH417+AI417+AJ417+AK417+AL417+AM417</f>
        <v>0</v>
      </c>
      <c r="AT417" s="11">
        <f>100+318+49</f>
        <v>467</v>
      </c>
      <c r="AV417" s="64">
        <f>L417+U417+AD417</f>
        <v>9933</v>
      </c>
      <c r="AW417" s="73">
        <f>AT417+AV417+AU417</f>
        <v>10400</v>
      </c>
      <c r="AX417" s="13" t="s">
        <v>142</v>
      </c>
      <c r="AY417" s="74">
        <f>AZ417+BA417+BB417+BC417+BD417+BE417</f>
        <v>10400</v>
      </c>
      <c r="AZ417" s="14">
        <v>10400</v>
      </c>
      <c r="BL417" s="18">
        <v>2</v>
      </c>
    </row>
    <row r="418" customHeight="1" spans="1:65">
      <c r="A418" s="1" t="s">
        <v>293</v>
      </c>
      <c r="B418" s="33">
        <v>10059982</v>
      </c>
      <c r="C418" s="3">
        <v>307</v>
      </c>
      <c r="D418" s="3" t="s">
        <v>193</v>
      </c>
      <c r="E418" s="3">
        <v>980</v>
      </c>
      <c r="I418" s="3">
        <f>2856+595</f>
        <v>3451</v>
      </c>
      <c r="K418" s="4">
        <f>6060-5186</f>
        <v>874</v>
      </c>
      <c r="L418" s="5">
        <f>E418+F418+H418+I418+J418+G418+K418</f>
        <v>5305</v>
      </c>
      <c r="U418" s="7">
        <f>N418+O418+P418+Q418+S418+R418+T418</f>
        <v>0</v>
      </c>
      <c r="AD418" s="9">
        <f>W418+X418+Y418+Z418+AA418+AB418+AC418</f>
        <v>0</v>
      </c>
      <c r="AF418" s="34"/>
      <c r="AG418" s="34"/>
      <c r="AH418" s="34"/>
      <c r="AN418" s="9">
        <f>AG418+AH418+AI418+AJ418+AK418+AL418+AM418</f>
        <v>0</v>
      </c>
      <c r="AT418" s="11">
        <f>100+159+98</f>
        <v>357</v>
      </c>
      <c r="AU418" s="11">
        <v>398</v>
      </c>
      <c r="AV418" s="64">
        <f>L418+U418+AD418</f>
        <v>5305</v>
      </c>
      <c r="AW418" s="73">
        <f>AT418+AV418+AU418</f>
        <v>6060</v>
      </c>
      <c r="AX418" s="75" t="s">
        <v>294</v>
      </c>
      <c r="AY418" s="74">
        <f>AZ418+BA418+BB418+BC418+BD418+BE418</f>
        <v>6060</v>
      </c>
      <c r="BB418" s="16">
        <v>6060</v>
      </c>
      <c r="BL418" s="18">
        <v>3</v>
      </c>
      <c r="BM418" s="90" t="s">
        <v>212</v>
      </c>
    </row>
    <row r="419" customHeight="1" spans="1:64">
      <c r="A419" s="1" t="s">
        <v>293</v>
      </c>
      <c r="B419" s="33">
        <v>10059983</v>
      </c>
      <c r="C419" s="3">
        <v>301</v>
      </c>
      <c r="D419" s="34"/>
      <c r="L419" s="5">
        <f>E419+F419+H419+I419+J419+G419+K419</f>
        <v>0</v>
      </c>
      <c r="U419" s="7">
        <f>N419+O419+P419+Q419+S419+R419+T419</f>
        <v>0</v>
      </c>
      <c r="V419" s="91" t="s">
        <v>266</v>
      </c>
      <c r="AC419" s="8">
        <v>6494</v>
      </c>
      <c r="AD419" s="9">
        <f>W419+X419+Y419+Z419+AA419+AB419+AC419</f>
        <v>6494</v>
      </c>
      <c r="AF419" s="34"/>
      <c r="AG419" s="34"/>
      <c r="AH419" s="34"/>
      <c r="AN419" s="9">
        <f>AG419+AH419+AI419+AJ419+AK419+AL419+AM419</f>
        <v>0</v>
      </c>
      <c r="AT419" s="11">
        <f>100+954</f>
        <v>1054</v>
      </c>
      <c r="AV419" s="64">
        <f>L419+U419+AD419</f>
        <v>6494</v>
      </c>
      <c r="AW419" s="73">
        <f>AT419+AV419+AU419</f>
        <v>7548</v>
      </c>
      <c r="AY419" s="74">
        <f>AZ419+BA419+BB419+BC419+BD419+BE419</f>
        <v>7548</v>
      </c>
      <c r="BB419" s="16">
        <v>7548</v>
      </c>
      <c r="BL419" s="18">
        <v>8</v>
      </c>
    </row>
    <row r="420" customHeight="1" spans="1:65">
      <c r="A420" s="1" t="s">
        <v>293</v>
      </c>
      <c r="B420" s="33">
        <v>10059984</v>
      </c>
      <c r="C420" s="3">
        <v>310</v>
      </c>
      <c r="L420" s="5">
        <f>E420+F420+H420+I420+J420+G420+K420</f>
        <v>0</v>
      </c>
      <c r="M420" s="3" t="s">
        <v>295</v>
      </c>
      <c r="N420" s="3">
        <v>980</v>
      </c>
      <c r="R420" s="3">
        <v>4284</v>
      </c>
      <c r="S420" s="3">
        <v>168</v>
      </c>
      <c r="T420" s="6">
        <v>661</v>
      </c>
      <c r="U420" s="7">
        <f>N420+O420+P420+Q420+S420+R420+T420</f>
        <v>6093</v>
      </c>
      <c r="AD420" s="9">
        <f>W420+X420+Y420+Z420+AA420+AB420+AC420</f>
        <v>0</v>
      </c>
      <c r="AF420" s="34"/>
      <c r="AG420" s="34"/>
      <c r="AH420" s="34"/>
      <c r="AN420" s="9">
        <f>AG420+AH420+AI420+AJ420+AK420+AL420+AM420</f>
        <v>0</v>
      </c>
      <c r="AT420" s="11">
        <f>100+318+40+49</f>
        <v>507</v>
      </c>
      <c r="AV420" s="64">
        <f>L420+U420+AD420</f>
        <v>6093</v>
      </c>
      <c r="AW420" s="73">
        <f>AT420+AV420+AU420</f>
        <v>6600</v>
      </c>
      <c r="AY420" s="74">
        <f>AZ420+BA420+BB420+BC420+BD420+BE420</f>
        <v>6700</v>
      </c>
      <c r="BA420" s="15">
        <v>6600</v>
      </c>
      <c r="BC420" s="17">
        <v>100</v>
      </c>
      <c r="BL420" s="18">
        <v>4</v>
      </c>
      <c r="BM420" s="90" t="s">
        <v>196</v>
      </c>
    </row>
    <row r="421" customHeight="1" spans="1:65">
      <c r="A421" s="1" t="s">
        <v>293</v>
      </c>
      <c r="B421" s="33">
        <v>10059985</v>
      </c>
      <c r="C421" s="34" t="s">
        <v>175</v>
      </c>
      <c r="D421" s="3" t="s">
        <v>229</v>
      </c>
      <c r="E421" s="3">
        <v>1880</v>
      </c>
      <c r="I421" s="3">
        <v>5712</v>
      </c>
      <c r="K421" s="4">
        <f>8900-7692</f>
        <v>1208</v>
      </c>
      <c r="L421" s="5">
        <f>E421+F421+H421+I421+J421+G421+K421</f>
        <v>8800</v>
      </c>
      <c r="U421" s="7">
        <f>N421+O421+P421+Q421+S421+R421+T421</f>
        <v>0</v>
      </c>
      <c r="AD421" s="9">
        <f>W421+X421+Y421+Z421+AA421+AB421+AC421</f>
        <v>0</v>
      </c>
      <c r="AF421" s="34"/>
      <c r="AG421" s="34"/>
      <c r="AH421" s="34"/>
      <c r="AN421" s="9">
        <f>AG421+AH421+AI421+AJ421+AK421+AL421+AM421</f>
        <v>0</v>
      </c>
      <c r="AT421" s="11">
        <v>100</v>
      </c>
      <c r="AV421" s="64">
        <f>L421+U421+AD421</f>
        <v>8800</v>
      </c>
      <c r="AW421" s="73">
        <f>AT421+AV421+AU421</f>
        <v>8900</v>
      </c>
      <c r="AY421" s="74">
        <f>AZ421+BA421+BB421+BC421+BD421+BE421</f>
        <v>9500</v>
      </c>
      <c r="BA421" s="15">
        <v>8900</v>
      </c>
      <c r="BC421" s="17">
        <v>580</v>
      </c>
      <c r="BD421" s="17">
        <v>20</v>
      </c>
      <c r="BL421" s="18">
        <v>11</v>
      </c>
      <c r="BM421" s="90" t="s">
        <v>254</v>
      </c>
    </row>
    <row r="422" customHeight="1" spans="1:65">
      <c r="A422" s="1" t="s">
        <v>293</v>
      </c>
      <c r="B422" s="33">
        <v>10059986</v>
      </c>
      <c r="C422" s="3">
        <v>312</v>
      </c>
      <c r="D422" s="3" t="s">
        <v>186</v>
      </c>
      <c r="E422" s="3">
        <v>980</v>
      </c>
      <c r="I422" s="3">
        <v>2856</v>
      </c>
      <c r="K422" s="4">
        <f>4700-4095</f>
        <v>605</v>
      </c>
      <c r="L422" s="5">
        <f>E422+F422+H422+I422+J422+G422+K422</f>
        <v>4441</v>
      </c>
      <c r="U422" s="7">
        <f>N422+O422+P422+Q422+S422+R422+T422</f>
        <v>0</v>
      </c>
      <c r="AD422" s="9">
        <f>W422+X422+Y422+Z422+AA422+AB422+AC422</f>
        <v>0</v>
      </c>
      <c r="AF422" s="34"/>
      <c r="AG422" s="34"/>
      <c r="AH422" s="34"/>
      <c r="AN422" s="9">
        <f>AG422+AH422+AI422+AJ422+AK422+AL422+AM422</f>
        <v>0</v>
      </c>
      <c r="AT422" s="11">
        <f>100+159</f>
        <v>259</v>
      </c>
      <c r="AV422" s="64">
        <f>L422+U422+AD422</f>
        <v>4441</v>
      </c>
      <c r="AW422" s="73">
        <f>AT422+AV422+AU422</f>
        <v>4700</v>
      </c>
      <c r="AY422" s="74">
        <f>AZ422+BA422+BB422+BC422+BD422+BE422</f>
        <v>4700</v>
      </c>
      <c r="BA422" s="15">
        <v>4700</v>
      </c>
      <c r="BL422" s="18">
        <v>2</v>
      </c>
      <c r="BM422" s="90" t="s">
        <v>271</v>
      </c>
    </row>
    <row r="423" customHeight="1" spans="1:65">
      <c r="A423" s="1" t="s">
        <v>293</v>
      </c>
      <c r="B423" s="33">
        <v>10059987</v>
      </c>
      <c r="C423" s="34" t="s">
        <v>62</v>
      </c>
      <c r="L423" s="5">
        <f>E423+F423+H423+I423+J423+G423+K423</f>
        <v>0</v>
      </c>
      <c r="M423" s="3" t="s">
        <v>296</v>
      </c>
      <c r="N423" s="3">
        <v>2180</v>
      </c>
      <c r="P423" s="3">
        <v>8890</v>
      </c>
      <c r="T423" s="6">
        <v>306</v>
      </c>
      <c r="U423" s="7">
        <f>N423+O423+P423+Q423+S423+R423+T423</f>
        <v>11376</v>
      </c>
      <c r="AD423" s="9">
        <f>W423+X423+Y423+Z423+AA423+AB423+AC423</f>
        <v>0</v>
      </c>
      <c r="AF423" s="34"/>
      <c r="AG423" s="34"/>
      <c r="AH423" s="34"/>
      <c r="AN423" s="9">
        <f>AG423+AH423+AI423+AJ423+AK423+AL423+AM423</f>
        <v>0</v>
      </c>
      <c r="AT423" s="11">
        <f>100+845+49</f>
        <v>994</v>
      </c>
      <c r="AV423" s="64">
        <f>L423+U423+AD423</f>
        <v>11376</v>
      </c>
      <c r="AW423" s="73">
        <f>AT423+AV423+AU423</f>
        <v>12370</v>
      </c>
      <c r="AY423" s="74">
        <f>AZ423+BA423+BB423+BC423+BD423+BE423</f>
        <v>12370</v>
      </c>
      <c r="BB423" s="16">
        <v>12370</v>
      </c>
      <c r="BL423" s="18">
        <v>2</v>
      </c>
      <c r="BM423" s="90" t="s">
        <v>174</v>
      </c>
    </row>
    <row r="424" customHeight="1" spans="1:64">
      <c r="A424" s="1" t="s">
        <v>293</v>
      </c>
      <c r="B424" s="33">
        <v>10059988</v>
      </c>
      <c r="C424" s="34" t="s">
        <v>94</v>
      </c>
      <c r="D424" s="3" t="s">
        <v>75</v>
      </c>
      <c r="E424" s="3">
        <v>1680</v>
      </c>
      <c r="I424" s="3">
        <f>3336+1785</f>
        <v>5121</v>
      </c>
      <c r="K424" s="4">
        <f>8400-7408</f>
        <v>992</v>
      </c>
      <c r="L424" s="5">
        <f>E424+F424+H424+I424+J424+G424+K424</f>
        <v>7793</v>
      </c>
      <c r="U424" s="7">
        <f>N424+O424+P424+Q424+S424+R424+T424</f>
        <v>0</v>
      </c>
      <c r="AD424" s="9">
        <f>W424+X424+Y424+Z424+AA424+AB424+AC424</f>
        <v>0</v>
      </c>
      <c r="AF424" s="34"/>
      <c r="AG424" s="34"/>
      <c r="AH424" s="34"/>
      <c r="AN424" s="9">
        <f>AG424+AH424+AI424+AJ424+AK424+AL424+AM424</f>
        <v>0</v>
      </c>
      <c r="AT424" s="11">
        <f>100+507</f>
        <v>607</v>
      </c>
      <c r="AV424" s="64">
        <f>L424+U424+AD424</f>
        <v>7793</v>
      </c>
      <c r="AW424" s="73">
        <f>AT424+AV424+AU424</f>
        <v>8400</v>
      </c>
      <c r="AY424" s="74">
        <f>AZ424+BA424+BB424+BC424+BD424+BE424</f>
        <v>9100</v>
      </c>
      <c r="BA424" s="15">
        <v>8400</v>
      </c>
      <c r="BC424" s="17">
        <v>680</v>
      </c>
      <c r="BD424" s="17">
        <v>20</v>
      </c>
      <c r="BL424" s="18">
        <v>3</v>
      </c>
    </row>
    <row r="425" customHeight="1" spans="1:65">
      <c r="A425" s="1" t="s">
        <v>293</v>
      </c>
      <c r="B425" s="33">
        <v>10059989</v>
      </c>
      <c r="C425" s="34" t="s">
        <v>59</v>
      </c>
      <c r="D425" s="3" t="s">
        <v>202</v>
      </c>
      <c r="E425" s="3">
        <v>2180</v>
      </c>
      <c r="G425" s="3">
        <v>3990</v>
      </c>
      <c r="I425" s="3">
        <v>5712</v>
      </c>
      <c r="J425" s="3">
        <f>276+30+129+276+168+169</f>
        <v>1048</v>
      </c>
      <c r="K425" s="4">
        <f>18000-14791</f>
        <v>3209</v>
      </c>
      <c r="L425" s="5">
        <f>E425+F425+H425+I425+J425+G425+K425</f>
        <v>16139</v>
      </c>
      <c r="U425" s="7">
        <f>N425+O425+P425+Q425+S425+R425+T425</f>
        <v>0</v>
      </c>
      <c r="AD425" s="9">
        <f>W425+X425+Y425+Z425+AA425+AB425+AC425</f>
        <v>0</v>
      </c>
      <c r="AF425" s="34"/>
      <c r="AG425" s="34"/>
      <c r="AH425" s="34"/>
      <c r="AN425" s="9">
        <f>AG425+AH425+AI425+AJ425+AK425+AL425+AM425</f>
        <v>0</v>
      </c>
      <c r="AT425" s="11">
        <f>100+1183+49+29+200+300</f>
        <v>1861</v>
      </c>
      <c r="AV425" s="64">
        <f>L425+U425+AD425</f>
        <v>16139</v>
      </c>
      <c r="AW425" s="73">
        <f>AT425+AV425+AU425</f>
        <v>18000</v>
      </c>
      <c r="AY425" s="74">
        <f>AZ425+BA425+BB425+BC425+BD425+BE425</f>
        <v>18000</v>
      </c>
      <c r="BA425" s="15">
        <v>18000</v>
      </c>
      <c r="BL425" s="18">
        <v>7</v>
      </c>
      <c r="BM425" s="90" t="s">
        <v>174</v>
      </c>
    </row>
    <row r="426" customHeight="1" spans="1:65">
      <c r="A426" s="1" t="s">
        <v>293</v>
      </c>
      <c r="B426" s="33">
        <v>10059990</v>
      </c>
      <c r="C426" s="34" t="s">
        <v>84</v>
      </c>
      <c r="D426" s="3" t="s">
        <v>208</v>
      </c>
      <c r="E426" s="3">
        <f>2580</f>
        <v>2580</v>
      </c>
      <c r="G426" s="3">
        <f>4690+17780-4690+8890</f>
        <v>26670</v>
      </c>
      <c r="J426" s="3">
        <f>414+30</f>
        <v>444</v>
      </c>
      <c r="K426" s="4">
        <f>39900-31353</f>
        <v>8547</v>
      </c>
      <c r="L426" s="5">
        <f>E426+F426+H426+I426+J426+G426+K426</f>
        <v>38241</v>
      </c>
      <c r="U426" s="7">
        <f>N426+O426+P426+Q426+S426+R426+T426</f>
        <v>0</v>
      </c>
      <c r="AD426" s="9">
        <f>W426+X426+Y426+Z426+AA426+AB426+AC426</f>
        <v>0</v>
      </c>
      <c r="AF426" s="34"/>
      <c r="AG426" s="34"/>
      <c r="AH426" s="34"/>
      <c r="AN426" s="9">
        <f>AG426+AH426+AI426+AJ426+AK426+AL426+AM426</f>
        <v>0</v>
      </c>
      <c r="AT426" s="11">
        <f>100+1352+49+58+100</f>
        <v>1659</v>
      </c>
      <c r="AV426" s="64">
        <f>L426+U426+AD426</f>
        <v>38241</v>
      </c>
      <c r="AW426" s="73">
        <f>AT426+AV426+AU426</f>
        <v>39900</v>
      </c>
      <c r="AX426" s="13" t="s">
        <v>142</v>
      </c>
      <c r="AY426" s="74">
        <f>AZ426+BA426+BB426+BC426+BD426+BE426</f>
        <v>40400</v>
      </c>
      <c r="BA426" s="15">
        <v>39900</v>
      </c>
      <c r="BC426" s="17">
        <v>490</v>
      </c>
      <c r="BD426" s="17">
        <v>10</v>
      </c>
      <c r="BL426" s="18">
        <v>4</v>
      </c>
      <c r="BM426" s="90" t="s">
        <v>196</v>
      </c>
    </row>
    <row r="427" customHeight="1" spans="1:64">
      <c r="A427" s="1" t="s">
        <v>293</v>
      </c>
      <c r="B427" s="33">
        <v>10059991</v>
      </c>
      <c r="C427" s="34" t="s">
        <v>65</v>
      </c>
      <c r="D427" s="3" t="s">
        <v>176</v>
      </c>
      <c r="E427" s="3">
        <v>2180</v>
      </c>
      <c r="G427" s="3">
        <v>12900</v>
      </c>
      <c r="K427" s="4">
        <f>17900-15736</f>
        <v>2164</v>
      </c>
      <c r="L427" s="5">
        <f>E427+F427+H427+I427+J427+G427+K427</f>
        <v>17244</v>
      </c>
      <c r="U427" s="7">
        <f>N427+O427+P427+Q427+S427+R427+T427</f>
        <v>0</v>
      </c>
      <c r="AD427" s="9">
        <f>W427+X427+Y427+Z427+AA427+AB427+AC427</f>
        <v>0</v>
      </c>
      <c r="AF427" s="34"/>
      <c r="AG427" s="34"/>
      <c r="AH427" s="34"/>
      <c r="AN427" s="9">
        <f>AG427+AH427+AI427+AJ427+AK427+AL427+AM427</f>
        <v>0</v>
      </c>
      <c r="AT427" s="11">
        <f>100+507+49</f>
        <v>656</v>
      </c>
      <c r="AV427" s="64">
        <f>L427+U427+AD427</f>
        <v>17244</v>
      </c>
      <c r="AW427" s="73">
        <f>AT427+AV427+AU427</f>
        <v>17900</v>
      </c>
      <c r="AY427" s="74">
        <f>AZ427+BA427+BB427+BC427+BD427+BE427</f>
        <v>18785</v>
      </c>
      <c r="BA427" s="15">
        <v>17900</v>
      </c>
      <c r="BC427" s="17">
        <v>860</v>
      </c>
      <c r="BD427" s="17">
        <v>25</v>
      </c>
      <c r="BL427" s="18">
        <v>3</v>
      </c>
    </row>
    <row r="428" customHeight="1" spans="1:65">
      <c r="A428" s="1" t="s">
        <v>293</v>
      </c>
      <c r="B428" s="33">
        <v>10059992</v>
      </c>
      <c r="C428" s="34" t="s">
        <v>84</v>
      </c>
      <c r="D428" s="3" t="s">
        <v>208</v>
      </c>
      <c r="L428" s="5">
        <f>E428+F428+H428+I428+J428+G428+K428</f>
        <v>0</v>
      </c>
      <c r="U428" s="7">
        <f>N428+O428+P428+Q428+S428+R428+T428</f>
        <v>0</v>
      </c>
      <c r="AD428" s="9">
        <f>W428+X428+Y428+Z428+AA428+AB428+AC428</f>
        <v>0</v>
      </c>
      <c r="AF428" s="34"/>
      <c r="AG428" s="34"/>
      <c r="AH428" s="34"/>
      <c r="AN428" s="9">
        <f>AG428+AH428+AI428+AJ428+AK428+AL428+AM428</f>
        <v>0</v>
      </c>
      <c r="AV428" s="64">
        <f>L428+U428+AD428</f>
        <v>0</v>
      </c>
      <c r="AW428" s="73">
        <f>AT428+AV428+AU428</f>
        <v>0</v>
      </c>
      <c r="AY428" s="74">
        <f>AZ428+BA428+BB428+BC428+BD428+BE428</f>
        <v>0</v>
      </c>
      <c r="BL428" s="92" t="s">
        <v>297</v>
      </c>
      <c r="BM428" s="90" t="s">
        <v>196</v>
      </c>
    </row>
    <row r="429" customHeight="1" spans="1:65">
      <c r="A429" s="1" t="s">
        <v>298</v>
      </c>
      <c r="B429" s="33">
        <v>10059993</v>
      </c>
      <c r="C429" s="3">
        <v>309</v>
      </c>
      <c r="D429" s="3" t="s">
        <v>211</v>
      </c>
      <c r="E429" s="3">
        <v>980</v>
      </c>
      <c r="I429" s="3">
        <v>2380</v>
      </c>
      <c r="K429" s="4">
        <f>3900-3460</f>
        <v>440</v>
      </c>
      <c r="L429" s="5">
        <f>E429+F429+H429+I429+J429+G429+K429</f>
        <v>3800</v>
      </c>
      <c r="U429" s="7">
        <f>N429+O429+P429+Q429+S429+R429+T429</f>
        <v>0</v>
      </c>
      <c r="AD429" s="9">
        <f>W429+X429+Y429+Z429+AA429+AB429+AC429</f>
        <v>0</v>
      </c>
      <c r="AF429" s="34"/>
      <c r="AG429" s="34"/>
      <c r="AH429" s="34"/>
      <c r="AN429" s="9">
        <f>AG429+AH429+AI429+AJ429+AK429+AL429+AM429</f>
        <v>0</v>
      </c>
      <c r="AT429" s="11">
        <v>100</v>
      </c>
      <c r="AV429" s="64">
        <f>L429+U429+AD429</f>
        <v>3800</v>
      </c>
      <c r="AW429" s="73">
        <f>AT429+AV429+AU429</f>
        <v>3900</v>
      </c>
      <c r="AY429" s="74">
        <f>AZ429+BA429+BB429+BC429+BD429+BE429</f>
        <v>3900</v>
      </c>
      <c r="BA429" s="15">
        <v>3900</v>
      </c>
      <c r="BL429" s="18">
        <v>6</v>
      </c>
      <c r="BM429" s="90" t="s">
        <v>196</v>
      </c>
    </row>
    <row r="430" customHeight="1" spans="1:65">
      <c r="A430" s="1" t="s">
        <v>298</v>
      </c>
      <c r="B430" s="33">
        <v>10059994</v>
      </c>
      <c r="C430" s="3">
        <v>318</v>
      </c>
      <c r="L430" s="5">
        <f>E430+F430+H430+I430+J430+G430+K430</f>
        <v>0</v>
      </c>
      <c r="M430" s="3" t="s">
        <v>299</v>
      </c>
      <c r="N430" s="3">
        <v>980</v>
      </c>
      <c r="R430" s="3">
        <v>2856</v>
      </c>
      <c r="T430" s="6">
        <v>546</v>
      </c>
      <c r="U430" s="7">
        <f>N430+O430+P430+Q430+S430+R430+T430</f>
        <v>4382</v>
      </c>
      <c r="AD430" s="9">
        <f>W430+X430+Y430+Z430+AA430+AB430+AC430</f>
        <v>0</v>
      </c>
      <c r="AF430" s="34"/>
      <c r="AG430" s="34"/>
      <c r="AH430" s="34"/>
      <c r="AN430" s="9">
        <f>AG430+AH430+AI430+AJ430+AK430+AL430+AM430</f>
        <v>0</v>
      </c>
      <c r="AT430" s="11">
        <f>100+318</f>
        <v>418</v>
      </c>
      <c r="AV430" s="64">
        <f>L430+U430+AD430</f>
        <v>4382</v>
      </c>
      <c r="AW430" s="73">
        <f>AT430+AV430+AU430</f>
        <v>4800</v>
      </c>
      <c r="AY430" s="74">
        <f>AZ430+BA430+BB430+BC430+BD430+BE430</f>
        <v>4800</v>
      </c>
      <c r="BA430" s="15">
        <v>4800</v>
      </c>
      <c r="BL430" s="18">
        <v>2</v>
      </c>
      <c r="BM430" s="90" t="s">
        <v>196</v>
      </c>
    </row>
    <row r="431" customHeight="1" spans="1:64">
      <c r="A431" s="1" t="s">
        <v>298</v>
      </c>
      <c r="B431" s="33">
        <v>10059995</v>
      </c>
      <c r="C431" s="3">
        <v>312</v>
      </c>
      <c r="D431" s="3" t="s">
        <v>137</v>
      </c>
      <c r="E431" s="3">
        <v>980</v>
      </c>
      <c r="J431" s="3">
        <f>69+1032</f>
        <v>1101</v>
      </c>
      <c r="K431" s="4">
        <f>4150-2389</f>
        <v>1761</v>
      </c>
      <c r="L431" s="5">
        <f>E431+F431+H431+I431+J431+G431+K431</f>
        <v>3842</v>
      </c>
      <c r="U431" s="7">
        <f>N431+O431+P431+Q431+S431+R431+T431</f>
        <v>0</v>
      </c>
      <c r="AD431" s="9">
        <f>W431+X431+Y431+Z431+AA431+AB431+AC431</f>
        <v>0</v>
      </c>
      <c r="AF431" s="34"/>
      <c r="AG431" s="34"/>
      <c r="AH431" s="34"/>
      <c r="AN431" s="9">
        <f>AG431+AH431+AI431+AJ431+AK431+AL431+AM431</f>
        <v>0</v>
      </c>
      <c r="AT431" s="11">
        <f>100+159+49</f>
        <v>308</v>
      </c>
      <c r="AV431" s="64">
        <f>L431+U431+AD431</f>
        <v>3842</v>
      </c>
      <c r="AW431" s="73">
        <f>AT431+AV431+AU431</f>
        <v>4150</v>
      </c>
      <c r="AY431" s="74">
        <f>AZ431+BA431+BB431+BC431+BD431+BE431</f>
        <v>4150</v>
      </c>
      <c r="BA431" s="15">
        <v>4150</v>
      </c>
      <c r="BL431" s="18">
        <v>3</v>
      </c>
    </row>
    <row r="432" customHeight="1" spans="1:65">
      <c r="A432" s="1" t="s">
        <v>298</v>
      </c>
      <c r="B432" s="33">
        <v>10059996</v>
      </c>
      <c r="C432" s="3">
        <v>302</v>
      </c>
      <c r="D432" s="3" t="s">
        <v>133</v>
      </c>
      <c r="E432" s="3">
        <v>980</v>
      </c>
      <c r="I432" s="3">
        <v>1419</v>
      </c>
      <c r="K432" s="4">
        <f>3400-2976</f>
        <v>424</v>
      </c>
      <c r="L432" s="5">
        <f>E432+F432+H432+I432+J432+G432+K432</f>
        <v>2823</v>
      </c>
      <c r="U432" s="7">
        <f>N432+O432+P432+Q432+S432+R432+T432</f>
        <v>0</v>
      </c>
      <c r="AD432" s="9">
        <f>W432+X432+Y432+Z432+AA432+AB432+AC432</f>
        <v>0</v>
      </c>
      <c r="AF432" s="34"/>
      <c r="AG432" s="34"/>
      <c r="AH432" s="34"/>
      <c r="AN432" s="9">
        <f>AG432+AH432+AI432+AJ432+AK432+AL432+AM432</f>
        <v>0</v>
      </c>
      <c r="AT432" s="11">
        <f>100+477</f>
        <v>577</v>
      </c>
      <c r="AV432" s="64">
        <f>L432+U432+AD432</f>
        <v>2823</v>
      </c>
      <c r="AW432" s="73">
        <f>AT432+AV432+AU432</f>
        <v>3400</v>
      </c>
      <c r="AY432" s="74">
        <f>AZ432+BA432+BB432+BC432+BD432+BE432</f>
        <v>3400</v>
      </c>
      <c r="BA432" s="15">
        <v>3400</v>
      </c>
      <c r="BL432" s="18">
        <v>2</v>
      </c>
      <c r="BM432" s="90" t="s">
        <v>271</v>
      </c>
    </row>
    <row r="433" customHeight="1" spans="1:65">
      <c r="A433" s="1" t="s">
        <v>298</v>
      </c>
      <c r="B433" s="33">
        <v>10059997</v>
      </c>
      <c r="C433" s="3">
        <v>311</v>
      </c>
      <c r="D433" s="3" t="s">
        <v>51</v>
      </c>
      <c r="E433" s="3">
        <v>980</v>
      </c>
      <c r="I433" s="3">
        <v>2856</v>
      </c>
      <c r="K433" s="4">
        <f>5000-4303</f>
        <v>697</v>
      </c>
      <c r="L433" s="5">
        <f>E433+F433+H433+I433+J433+G433+K433</f>
        <v>4533</v>
      </c>
      <c r="U433" s="7">
        <f>N433+O433+P433+Q433+S433+R433+T433</f>
        <v>0</v>
      </c>
      <c r="AD433" s="9">
        <f>W433+X433+Y433+Z433+AA433+AB433+AC433</f>
        <v>0</v>
      </c>
      <c r="AF433" s="34"/>
      <c r="AG433" s="34"/>
      <c r="AH433" s="34"/>
      <c r="AN433" s="9">
        <f>AG433+AH433+AI433+AJ433+AK433+AL433+AM433</f>
        <v>0</v>
      </c>
      <c r="AT433" s="11">
        <f>100+318+49</f>
        <v>467</v>
      </c>
      <c r="AV433" s="64">
        <f>L433+U433+AD433</f>
        <v>4533</v>
      </c>
      <c r="AW433" s="73">
        <f>AT433+AV433+AU433</f>
        <v>5000</v>
      </c>
      <c r="AY433" s="74">
        <f>AZ433+BA433+BB433+BC433+BD433+BE433</f>
        <v>5000</v>
      </c>
      <c r="BA433" s="15">
        <v>5000</v>
      </c>
      <c r="BL433" s="18">
        <v>3</v>
      </c>
      <c r="BM433" s="90" t="s">
        <v>130</v>
      </c>
    </row>
    <row r="434" customHeight="1" spans="1:64">
      <c r="A434" s="1" t="s">
        <v>298</v>
      </c>
      <c r="B434" s="33">
        <v>10059998</v>
      </c>
      <c r="C434" s="3">
        <v>307</v>
      </c>
      <c r="D434" s="3" t="s">
        <v>232</v>
      </c>
      <c r="E434" s="3">
        <v>980</v>
      </c>
      <c r="I434" s="3">
        <v>3816</v>
      </c>
      <c r="K434" s="4">
        <f>6100-5373</f>
        <v>727</v>
      </c>
      <c r="L434" s="5">
        <f>E434+F434+H434+I434+J434+G434+K434</f>
        <v>5523</v>
      </c>
      <c r="U434" s="7">
        <f>N434+O434+P434+Q434+S434+R434+T434</f>
        <v>0</v>
      </c>
      <c r="AD434" s="9">
        <f>W434+X434+Y434+Z434+AA434+AB434+AC434</f>
        <v>0</v>
      </c>
      <c r="AF434" s="34"/>
      <c r="AG434" s="34"/>
      <c r="AH434" s="34"/>
      <c r="AN434" s="9">
        <f>AG434+AH434+AI434+AJ434+AK434+AL434+AM434</f>
        <v>0</v>
      </c>
      <c r="AT434" s="11">
        <f>100+477</f>
        <v>577</v>
      </c>
      <c r="AV434" s="64">
        <f>L434+U434+AD434</f>
        <v>5523</v>
      </c>
      <c r="AW434" s="73">
        <f>AT434+AV434+AU434</f>
        <v>6100</v>
      </c>
      <c r="AY434" s="74">
        <f>AZ434+BA434+BB434+BC434+BD434+BE434</f>
        <v>6100</v>
      </c>
      <c r="BA434" s="15">
        <v>6100</v>
      </c>
      <c r="BL434" s="18">
        <v>3</v>
      </c>
    </row>
    <row r="435" customHeight="1" spans="1:65">
      <c r="A435" s="1" t="s">
        <v>298</v>
      </c>
      <c r="B435" s="33">
        <v>10059999</v>
      </c>
      <c r="C435" s="3" t="s">
        <v>70</v>
      </c>
      <c r="L435" s="5">
        <f>E435+F435+H435+I435+J435+G435+K435</f>
        <v>0</v>
      </c>
      <c r="M435" s="3" t="s">
        <v>240</v>
      </c>
      <c r="N435" s="3">
        <v>1880</v>
      </c>
      <c r="P435" s="3">
        <v>8690</v>
      </c>
      <c r="S435" s="3">
        <v>1161</v>
      </c>
      <c r="T435" s="6">
        <v>1451</v>
      </c>
      <c r="U435" s="7">
        <f>N435+O435+P435+Q435+S435+R435+T435</f>
        <v>13182</v>
      </c>
      <c r="AD435" s="9">
        <f>W435+X435+Y435+Z435+AA435+AB435+AC435</f>
        <v>0</v>
      </c>
      <c r="AF435" s="34"/>
      <c r="AG435" s="34"/>
      <c r="AH435" s="34"/>
      <c r="AN435" s="9">
        <f>AG435+AH435+AI435+AJ435+AK435+AL435+AM435</f>
        <v>0</v>
      </c>
      <c r="AT435" s="11">
        <f>100+318</f>
        <v>418</v>
      </c>
      <c r="AV435" s="64">
        <f>L435+U435+AD435</f>
        <v>13182</v>
      </c>
      <c r="AW435" s="73">
        <f>AT435+AV435+AU435</f>
        <v>13600</v>
      </c>
      <c r="AY435" s="74">
        <f>AZ435+BA435+BB435+BC435+BD435+BE435</f>
        <v>13600</v>
      </c>
      <c r="BA435" s="15">
        <v>13600</v>
      </c>
      <c r="BL435" s="18">
        <v>3</v>
      </c>
      <c r="BM435" s="90" t="s">
        <v>174</v>
      </c>
    </row>
    <row r="436" customHeight="1" spans="1:65">
      <c r="A436" s="1" t="s">
        <v>298</v>
      </c>
      <c r="B436" s="33">
        <v>10060000</v>
      </c>
      <c r="C436" s="34" t="s">
        <v>48</v>
      </c>
      <c r="D436" s="3" t="s">
        <v>235</v>
      </c>
      <c r="E436" s="3">
        <v>1880</v>
      </c>
      <c r="G436" s="3">
        <v>3290</v>
      </c>
      <c r="I436" s="3">
        <v>3576</v>
      </c>
      <c r="K436" s="4">
        <f>12540-9900</f>
        <v>2640</v>
      </c>
      <c r="L436" s="5">
        <f>E436+F436+H436+I436+J436+G436+K436</f>
        <v>11386</v>
      </c>
      <c r="U436" s="7">
        <f>N436+O436+P436+Q436+S436+R436+T436</f>
        <v>0</v>
      </c>
      <c r="AD436" s="9">
        <f>W436+X436+Y436+Z436+AA436+AB436+AC436</f>
        <v>0</v>
      </c>
      <c r="AF436" s="34"/>
      <c r="AG436" s="34"/>
      <c r="AH436" s="34"/>
      <c r="AN436" s="9">
        <f>AG436+AH436+AI436+AJ436+AK436+AL436+AM436</f>
        <v>0</v>
      </c>
      <c r="AT436" s="11">
        <f>100+954+100</f>
        <v>1154</v>
      </c>
      <c r="AV436" s="64">
        <f>L436+U436+AD436</f>
        <v>11386</v>
      </c>
      <c r="AW436" s="73">
        <f>AT436+AV436+AU436</f>
        <v>12540</v>
      </c>
      <c r="AY436" s="74">
        <f>AZ436+BA436+BB436+BC436+BD436+BE436</f>
        <v>12540</v>
      </c>
      <c r="AZ436" s="14">
        <v>12540</v>
      </c>
      <c r="BL436" s="18">
        <v>7</v>
      </c>
      <c r="BM436" s="90" t="s">
        <v>196</v>
      </c>
    </row>
    <row r="437" customHeight="1" spans="1:64">
      <c r="A437" s="1" t="s">
        <v>298</v>
      </c>
      <c r="B437" s="33">
        <v>10060001</v>
      </c>
      <c r="C437" s="3">
        <v>316</v>
      </c>
      <c r="D437" s="3" t="s">
        <v>181</v>
      </c>
      <c r="E437" s="3">
        <v>980</v>
      </c>
      <c r="G437" s="3">
        <v>4690</v>
      </c>
      <c r="I437" s="3">
        <v>1908</v>
      </c>
      <c r="K437" s="4">
        <f>9340-7996</f>
        <v>1344</v>
      </c>
      <c r="L437" s="5">
        <f>E437+F437+H437+I437+J437+G437+K437</f>
        <v>8922</v>
      </c>
      <c r="U437" s="7">
        <f>N437+O437+P437+Q437+S437+R437+T437</f>
        <v>0</v>
      </c>
      <c r="AD437" s="9">
        <f>W437+X437+Y437+Z437+AA437+AB437+AC437</f>
        <v>0</v>
      </c>
      <c r="AF437" s="34"/>
      <c r="AG437" s="34"/>
      <c r="AH437" s="34"/>
      <c r="AN437" s="9">
        <f>AG437+AH437+AI437+AJ437+AK437+AL437+AM437</f>
        <v>0</v>
      </c>
      <c r="AT437" s="11">
        <f>100+318</f>
        <v>418</v>
      </c>
      <c r="AV437" s="64">
        <f>L437+U437+AD437</f>
        <v>8922</v>
      </c>
      <c r="AW437" s="73">
        <f>AT437+AV437+AU437</f>
        <v>9340</v>
      </c>
      <c r="AY437" s="74">
        <f>AZ437+BA437+BB437+BC437+BD437+BE437</f>
        <v>9340</v>
      </c>
      <c r="AZ437" s="14">
        <v>9340</v>
      </c>
      <c r="BL437" s="18">
        <v>2</v>
      </c>
    </row>
    <row r="438" customHeight="1" spans="1:65">
      <c r="A438" s="1" t="s">
        <v>298</v>
      </c>
      <c r="B438" s="33">
        <v>10060002</v>
      </c>
      <c r="C438" s="3">
        <v>313</v>
      </c>
      <c r="L438" s="5">
        <f>E438+F438+H438+I438+J438+G438+K438</f>
        <v>0</v>
      </c>
      <c r="M438" s="3" t="s">
        <v>183</v>
      </c>
      <c r="T438" s="6">
        <v>4641</v>
      </c>
      <c r="U438" s="7">
        <f>N438+O438+P438+Q438+S438+R438+T438</f>
        <v>4641</v>
      </c>
      <c r="AD438" s="9">
        <f>W438+X438+Y438+Z438+AA438+AB438+AC438</f>
        <v>0</v>
      </c>
      <c r="AF438" s="34"/>
      <c r="AG438" s="34"/>
      <c r="AH438" s="34"/>
      <c r="AN438" s="9">
        <f>AG438+AH438+AI438+AJ438+AK438+AL438+AM438</f>
        <v>0</v>
      </c>
      <c r="AT438" s="11">
        <f>100+159</f>
        <v>259</v>
      </c>
      <c r="AV438" s="64">
        <f>L438+U438+AD438</f>
        <v>4641</v>
      </c>
      <c r="AW438" s="73">
        <f>AT438+AV438+AU438</f>
        <v>4900</v>
      </c>
      <c r="AX438" s="13" t="s">
        <v>209</v>
      </c>
      <c r="AY438" s="74">
        <f>AZ438+BA438+BB438+BC438+BD438+BE438</f>
        <v>4900</v>
      </c>
      <c r="BB438" s="16">
        <v>4900</v>
      </c>
      <c r="BL438" s="18">
        <v>2</v>
      </c>
      <c r="BM438" s="90" t="s">
        <v>244</v>
      </c>
    </row>
    <row r="439" customHeight="1" spans="1:65">
      <c r="A439" s="1" t="s">
        <v>298</v>
      </c>
      <c r="B439" s="33">
        <v>10060003</v>
      </c>
      <c r="C439" s="3">
        <v>310</v>
      </c>
      <c r="L439" s="5">
        <f>E439+F439+H439+I439+J439+G439+K439</f>
        <v>0</v>
      </c>
      <c r="M439" s="3" t="s">
        <v>300</v>
      </c>
      <c r="N439" s="3">
        <v>980</v>
      </c>
      <c r="P439" s="3">
        <v>7990</v>
      </c>
      <c r="T439" s="6">
        <v>1453</v>
      </c>
      <c r="U439" s="7">
        <f>N439+O439+P439+Q439+S439+R439+T439</f>
        <v>10423</v>
      </c>
      <c r="AD439" s="9">
        <f>W439+X439+Y439+Z439+AA439+AB439+AC439</f>
        <v>0</v>
      </c>
      <c r="AF439" s="34"/>
      <c r="AG439" s="34"/>
      <c r="AH439" s="34"/>
      <c r="AN439" s="9">
        <f>AG439+AH439+AI439+AJ439+AK439+AL439+AM439</f>
        <v>0</v>
      </c>
      <c r="AT439" s="11">
        <f>100+477</f>
        <v>577</v>
      </c>
      <c r="AV439" s="64">
        <f>L439+U439+AD439</f>
        <v>10423</v>
      </c>
      <c r="AW439" s="73">
        <f>AT439+AV439+AU439</f>
        <v>11000</v>
      </c>
      <c r="AY439" s="74">
        <f>AZ439+BA439+BB439+BC439+BD439+BE439</f>
        <v>11400</v>
      </c>
      <c r="BA439" s="15">
        <v>11000</v>
      </c>
      <c r="BC439" s="17">
        <v>390</v>
      </c>
      <c r="BD439" s="17">
        <v>10</v>
      </c>
      <c r="BL439" s="18">
        <v>3</v>
      </c>
      <c r="BM439" s="90" t="s">
        <v>244</v>
      </c>
    </row>
    <row r="440" customHeight="1" spans="1:65">
      <c r="A440" s="1" t="s">
        <v>298</v>
      </c>
      <c r="B440" s="33">
        <v>10060004</v>
      </c>
      <c r="C440" s="3">
        <v>308</v>
      </c>
      <c r="D440" s="3" t="s">
        <v>82</v>
      </c>
      <c r="E440" s="3">
        <v>980</v>
      </c>
      <c r="I440" s="3">
        <v>2856</v>
      </c>
      <c r="K440" s="4">
        <f>5000-4453</f>
        <v>547</v>
      </c>
      <c r="L440" s="5">
        <f>E440+F440+H440+I440+J440+G440+K440</f>
        <v>4383</v>
      </c>
      <c r="U440" s="7">
        <f>N440+O440+P440+Q440+S440+R440+T440</f>
        <v>0</v>
      </c>
      <c r="AD440" s="9">
        <f>W440+X440+Y440+Z440+AA440+AB440+AC440</f>
        <v>0</v>
      </c>
      <c r="AF440" s="34"/>
      <c r="AG440" s="34"/>
      <c r="AH440" s="34"/>
      <c r="AN440" s="9">
        <f>AG440+AH440+AI440+AJ440+AK440+AL440+AM440</f>
        <v>0</v>
      </c>
      <c r="AT440" s="11">
        <f>100+477+40</f>
        <v>617</v>
      </c>
      <c r="AV440" s="64">
        <f>L440+U440+AD440</f>
        <v>4383</v>
      </c>
      <c r="AW440" s="73">
        <f>AT440+AV440+AU440</f>
        <v>5000</v>
      </c>
      <c r="AY440" s="74">
        <f>AZ440+BA440+BB440+BC440+BD440+BE440</f>
        <v>5000</v>
      </c>
      <c r="BA440" s="15">
        <v>5000</v>
      </c>
      <c r="BL440" s="18">
        <v>3</v>
      </c>
      <c r="BM440" s="90" t="s">
        <v>239</v>
      </c>
    </row>
    <row r="441" customHeight="1" spans="1:65">
      <c r="A441" s="1" t="s">
        <v>298</v>
      </c>
      <c r="B441" s="33">
        <v>10060005</v>
      </c>
      <c r="C441" s="34" t="s">
        <v>65</v>
      </c>
      <c r="D441" s="3" t="s">
        <v>301</v>
      </c>
      <c r="E441" s="3">
        <v>2180</v>
      </c>
      <c r="I441" s="3">
        <v>4284</v>
      </c>
      <c r="J441" s="3">
        <f>49+99+168+49+2064+169+169</f>
        <v>2767</v>
      </c>
      <c r="K441" s="4">
        <f>11400-10056+189</f>
        <v>1533</v>
      </c>
      <c r="L441" s="5">
        <f>E441+F441+H441+I441+J441+G441+K441</f>
        <v>10764</v>
      </c>
      <c r="U441" s="7">
        <f>N441+O441+P441+Q441+S441+R441+T441</f>
        <v>0</v>
      </c>
      <c r="AD441" s="9">
        <f>W441+X441+Y441+Z441+AA441+AB441+AC441</f>
        <v>0</v>
      </c>
      <c r="AF441" s="34"/>
      <c r="AG441" s="34"/>
      <c r="AH441" s="34"/>
      <c r="AN441" s="9">
        <f>AG441+AH441+AI441+AJ441+AK441+AL441+AM441</f>
        <v>0</v>
      </c>
      <c r="AT441" s="11">
        <f>100+507+29</f>
        <v>636</v>
      </c>
      <c r="AV441" s="64">
        <f>L441+U441+AD441</f>
        <v>10764</v>
      </c>
      <c r="AW441" s="73">
        <f>AT441+AV441+AU441</f>
        <v>11400</v>
      </c>
      <c r="AY441" s="74">
        <f>AZ441+BA441+BB441+BC441+BD441+BE441</f>
        <v>11400</v>
      </c>
      <c r="BA441" s="15">
        <v>11400</v>
      </c>
      <c r="BL441" s="18">
        <v>3</v>
      </c>
      <c r="BM441" s="90" t="s">
        <v>196</v>
      </c>
    </row>
    <row r="442" customHeight="1" spans="1:65">
      <c r="A442" s="1" t="s">
        <v>298</v>
      </c>
      <c r="B442" s="33">
        <v>10060006</v>
      </c>
      <c r="C442" s="34" t="s">
        <v>78</v>
      </c>
      <c r="L442" s="5">
        <f>E442+F442+H442+I442+J442+G442+K442</f>
        <v>0</v>
      </c>
      <c r="M442" s="3" t="s">
        <v>296</v>
      </c>
      <c r="N442" s="3">
        <v>2580</v>
      </c>
      <c r="P442" s="3">
        <v>13580</v>
      </c>
      <c r="T442" s="6">
        <v>2526</v>
      </c>
      <c r="U442" s="7">
        <f>N442+O442+P442+Q442+S442+R442+T442</f>
        <v>18686</v>
      </c>
      <c r="AD442" s="9">
        <f>W442+X442+Y442+Z442+AA442+AB442+AC442</f>
        <v>0</v>
      </c>
      <c r="AF442" s="34"/>
      <c r="AG442" s="34"/>
      <c r="AH442" s="34"/>
      <c r="AN442" s="9">
        <f>AG442+AH442+AI442+AJ442+AK442+AL442+AM442</f>
        <v>0</v>
      </c>
      <c r="AT442" s="11">
        <f>100+1014</f>
        <v>1114</v>
      </c>
      <c r="AV442" s="64">
        <f>L442+U442+AD442</f>
        <v>18686</v>
      </c>
      <c r="AW442" s="73">
        <f>AT442+AV442+AU442</f>
        <v>19800</v>
      </c>
      <c r="AY442" s="74">
        <f>AZ442+BA442+BB442+BC442+BD442+BE442</f>
        <v>19800</v>
      </c>
      <c r="BA442" s="15">
        <v>19800</v>
      </c>
      <c r="BL442" s="18">
        <v>6</v>
      </c>
      <c r="BM442" s="90" t="s">
        <v>174</v>
      </c>
    </row>
    <row r="443" customHeight="1" spans="1:64">
      <c r="A443" s="1" t="s">
        <v>298</v>
      </c>
      <c r="B443" s="33">
        <v>10060007</v>
      </c>
      <c r="C443" s="3" t="s">
        <v>97</v>
      </c>
      <c r="D443" s="3" t="s">
        <v>232</v>
      </c>
      <c r="E443" s="3">
        <v>2180</v>
      </c>
      <c r="G443" s="3">
        <v>8890</v>
      </c>
      <c r="K443" s="4">
        <f>13900-12413</f>
        <v>1487</v>
      </c>
      <c r="L443" s="5">
        <f>E443+F443+H443+I443+J443+G443+K443</f>
        <v>12557</v>
      </c>
      <c r="U443" s="7">
        <f>N443+O443+P443+Q443+S443+R443+T443</f>
        <v>0</v>
      </c>
      <c r="AD443" s="9">
        <f>W443+X443+Y443+Z443+AA443+AB443+AC443</f>
        <v>0</v>
      </c>
      <c r="AF443" s="34"/>
      <c r="AG443" s="34"/>
      <c r="AH443" s="34"/>
      <c r="AN443" s="9">
        <f>AG443+AH443+AI443+AJ443+AK443+AL443+AM443</f>
        <v>0</v>
      </c>
      <c r="AT443" s="11">
        <f>100+1183+60</f>
        <v>1343</v>
      </c>
      <c r="AV443" s="64">
        <f>L443+U443+AD443</f>
        <v>12557</v>
      </c>
      <c r="AW443" s="73">
        <f>AT443+AV443+AU443</f>
        <v>13900</v>
      </c>
      <c r="AY443" s="74">
        <f>AZ443+BA443+BB443+BC443+BD443+BE443</f>
        <v>20700</v>
      </c>
      <c r="BA443" s="15">
        <v>13900</v>
      </c>
      <c r="BE443" s="17">
        <v>6800</v>
      </c>
      <c r="BL443" s="18">
        <v>11</v>
      </c>
    </row>
    <row r="444" customHeight="1" spans="1:65">
      <c r="A444" s="1" t="s">
        <v>298</v>
      </c>
      <c r="B444" s="33">
        <v>10060008</v>
      </c>
      <c r="C444" s="3">
        <v>315</v>
      </c>
      <c r="L444" s="5">
        <f>E444+F444+H444+I444+J444+G444+K444</f>
        <v>0</v>
      </c>
      <c r="U444" s="7">
        <f>N444+O444+P444+Q444+S444+R444+T444</f>
        <v>0</v>
      </c>
      <c r="V444" s="3" t="s">
        <v>188</v>
      </c>
      <c r="W444" s="3">
        <v>980</v>
      </c>
      <c r="AA444" s="3">
        <v>2380</v>
      </c>
      <c r="AC444" s="8">
        <v>640</v>
      </c>
      <c r="AD444" s="9">
        <f>W444+X444+Y444+Z444+AA444+AB444+AC444</f>
        <v>4000</v>
      </c>
      <c r="AF444" s="34"/>
      <c r="AG444" s="34"/>
      <c r="AH444" s="34"/>
      <c r="AN444" s="9">
        <f>AG444+AH444+AI444+AJ444+AK444+AL444+AM444</f>
        <v>0</v>
      </c>
      <c r="AT444" s="11">
        <v>100</v>
      </c>
      <c r="AV444" s="64">
        <f>L444+U444+AD444</f>
        <v>4000</v>
      </c>
      <c r="AW444" s="73">
        <f>AT444+AV444+AU444</f>
        <v>4100</v>
      </c>
      <c r="AY444" s="74">
        <f>AZ444+BA444+BB444+BC444+BD444+BE444</f>
        <v>4100</v>
      </c>
      <c r="BA444" s="15">
        <v>4100</v>
      </c>
      <c r="BL444" s="18">
        <v>3</v>
      </c>
      <c r="BM444" s="90" t="s">
        <v>174</v>
      </c>
    </row>
    <row r="445" customHeight="1" spans="1:65">
      <c r="A445" s="1" t="s">
        <v>298</v>
      </c>
      <c r="B445" s="33">
        <v>10060009</v>
      </c>
      <c r="C445" s="34" t="s">
        <v>67</v>
      </c>
      <c r="L445" s="5">
        <f>E445+F445+H445+I445+J445+G445+K445</f>
        <v>0</v>
      </c>
      <c r="M445" s="3" t="s">
        <v>288</v>
      </c>
      <c r="N445" s="3">
        <v>2180</v>
      </c>
      <c r="R445" s="3">
        <v>5724</v>
      </c>
      <c r="S445" s="3">
        <v>1240</v>
      </c>
      <c r="T445" s="6">
        <v>1642</v>
      </c>
      <c r="U445" s="7">
        <f>N445+O445+P445+Q445+S445+R445+T445</f>
        <v>10786</v>
      </c>
      <c r="AD445" s="9">
        <f>W445+X445+Y445+Z445+AA445+AB445+AC445</f>
        <v>0</v>
      </c>
      <c r="AF445" s="34"/>
      <c r="AG445" s="34"/>
      <c r="AH445" s="34"/>
      <c r="AN445" s="9">
        <f>AG445+AH445+AI445+AJ445+AK445+AL445+AM445</f>
        <v>0</v>
      </c>
      <c r="AT445" s="11">
        <f>100+507+49+58</f>
        <v>714</v>
      </c>
      <c r="AV445" s="64">
        <f>L445+U445+AD445</f>
        <v>10786</v>
      </c>
      <c r="AW445" s="73">
        <f>AT445+AV445+AU445</f>
        <v>11500</v>
      </c>
      <c r="AY445" s="74">
        <f>AZ445+BA445+BB445+BC445+BD445+BE445</f>
        <v>11500</v>
      </c>
      <c r="BA445" s="15">
        <v>11500</v>
      </c>
      <c r="BL445" s="18">
        <v>3</v>
      </c>
      <c r="BM445" s="90" t="s">
        <v>130</v>
      </c>
    </row>
    <row r="446" customHeight="1" spans="1:65">
      <c r="A446" s="1" t="s">
        <v>298</v>
      </c>
      <c r="B446" s="33">
        <v>10060010</v>
      </c>
      <c r="C446" s="34" t="s">
        <v>62</v>
      </c>
      <c r="D446" s="3" t="s">
        <v>229</v>
      </c>
      <c r="E446" s="3">
        <v>2180</v>
      </c>
      <c r="G446" s="3">
        <v>17780</v>
      </c>
      <c r="K446" s="4">
        <f>25400-20616</f>
        <v>4784</v>
      </c>
      <c r="L446" s="5">
        <f>E446+F446+H446+I446+J446+G446+K446</f>
        <v>24744</v>
      </c>
      <c r="U446" s="7">
        <f>N446+O446+P446+Q446+S446+R446+T446</f>
        <v>0</v>
      </c>
      <c r="AD446" s="9">
        <f>W446+X446+Y446+Z446+AA446+AB446+AC446</f>
        <v>0</v>
      </c>
      <c r="AF446" s="34"/>
      <c r="AG446" s="34"/>
      <c r="AH446" s="34"/>
      <c r="AN446" s="9">
        <f>AG446+AH446+AI446+AJ446+AK446+AL446+AM446</f>
        <v>0</v>
      </c>
      <c r="AT446" s="11">
        <f>100+507+49</f>
        <v>656</v>
      </c>
      <c r="AV446" s="64">
        <f>L446+U446+AD446</f>
        <v>24744</v>
      </c>
      <c r="AW446" s="73">
        <f>AT446+AV446+AU446</f>
        <v>25400</v>
      </c>
      <c r="AY446" s="74">
        <f>AZ446+BA446+BB446+BC446+BD446+BE446</f>
        <v>25400</v>
      </c>
      <c r="BA446" s="15">
        <v>25400</v>
      </c>
      <c r="BL446" s="18">
        <v>3</v>
      </c>
      <c r="BM446" s="90" t="s">
        <v>254</v>
      </c>
    </row>
    <row r="447" customHeight="1" spans="1:65">
      <c r="A447" s="1" t="s">
        <v>298</v>
      </c>
      <c r="B447" s="33">
        <v>10060011</v>
      </c>
      <c r="C447" s="34" t="s">
        <v>54</v>
      </c>
      <c r="D447" s="3" t="s">
        <v>302</v>
      </c>
      <c r="E447" s="3">
        <v>2180</v>
      </c>
      <c r="G447" s="3">
        <v>18380</v>
      </c>
      <c r="K447" s="4">
        <f>24900-21416</f>
        <v>3484</v>
      </c>
      <c r="L447" s="5">
        <f>E447+F447+H447+I447+J447+G447+K447</f>
        <v>24044</v>
      </c>
      <c r="U447" s="7">
        <f>N447+O447+P447+Q447+S447+R447+T447</f>
        <v>0</v>
      </c>
      <c r="AD447" s="9">
        <f>W447+X447+Y447+Z447+AA447+AB447+AC447</f>
        <v>0</v>
      </c>
      <c r="AF447" s="34"/>
      <c r="AG447" s="34"/>
      <c r="AH447" s="34"/>
      <c r="AN447" s="9">
        <f>AG447+AH447+AI447+AJ447+AK447+AL447+AM447</f>
        <v>0</v>
      </c>
      <c r="AT447" s="11">
        <f>100+676+80</f>
        <v>856</v>
      </c>
      <c r="AV447" s="64">
        <f>L447+U447+AD447</f>
        <v>24044</v>
      </c>
      <c r="AW447" s="73">
        <f>AT447+AV447+AU447</f>
        <v>24900</v>
      </c>
      <c r="AY447" s="74">
        <f>AZ447+BA447+BB447+BC447+BD447+BE447</f>
        <v>24900</v>
      </c>
      <c r="BA447" s="15">
        <v>24900</v>
      </c>
      <c r="BL447" s="18">
        <v>5</v>
      </c>
      <c r="BM447" s="90" t="s">
        <v>239</v>
      </c>
    </row>
    <row r="448" customHeight="1" spans="1:65">
      <c r="A448" s="1" t="s">
        <v>298</v>
      </c>
      <c r="B448" s="33">
        <v>10060012</v>
      </c>
      <c r="C448" s="34" t="s">
        <v>89</v>
      </c>
      <c r="D448" s="3" t="s">
        <v>208</v>
      </c>
      <c r="E448" s="3">
        <v>2180</v>
      </c>
      <c r="G448" s="3">
        <f>4690+8890</f>
        <v>13580</v>
      </c>
      <c r="J448" s="3">
        <f>207</f>
        <v>207</v>
      </c>
      <c r="K448" s="4">
        <f>21700-16652</f>
        <v>5048</v>
      </c>
      <c r="L448" s="5">
        <f>E448+F448+H448+I448+J448+G448+K448</f>
        <v>21015</v>
      </c>
      <c r="U448" s="7">
        <f>N448+O448+P448+Q448+S448+R448+T448</f>
        <v>0</v>
      </c>
      <c r="AD448" s="9">
        <f>W448+X448+Y448+Z448+AA448+AB448+AC448</f>
        <v>0</v>
      </c>
      <c r="AF448" s="34"/>
      <c r="AG448" s="34"/>
      <c r="AH448" s="34"/>
      <c r="AN448" s="9">
        <f>AG448+AH448+AI448+AJ448+AK448+AL448+AM448</f>
        <v>0</v>
      </c>
      <c r="AT448" s="11">
        <f>100+507+49+29</f>
        <v>685</v>
      </c>
      <c r="AV448" s="64">
        <f>L448+U448+AD448</f>
        <v>21015</v>
      </c>
      <c r="AW448" s="73">
        <f>AT448+AV448+AU448</f>
        <v>21700</v>
      </c>
      <c r="AY448" s="74">
        <f>AZ448+BA448+BB448+BC448+BD448+BE448</f>
        <v>21900</v>
      </c>
      <c r="BA448" s="15">
        <v>21700</v>
      </c>
      <c r="BB448" s="16">
        <v>200</v>
      </c>
      <c r="BL448" s="18">
        <v>3</v>
      </c>
      <c r="BM448" s="90" t="s">
        <v>271</v>
      </c>
    </row>
    <row r="449" customHeight="1" spans="1:64">
      <c r="A449" s="1" t="s">
        <v>303</v>
      </c>
      <c r="B449" s="33">
        <v>10060013</v>
      </c>
      <c r="C449" s="3">
        <v>308</v>
      </c>
      <c r="D449" s="3" t="s">
        <v>235</v>
      </c>
      <c r="E449" s="3">
        <v>980</v>
      </c>
      <c r="G449" s="3">
        <v>3290</v>
      </c>
      <c r="K449" s="4">
        <f>5700-4737</f>
        <v>963</v>
      </c>
      <c r="L449" s="5">
        <f>E449+F449+H449+I449+J449+G449+K449</f>
        <v>5233</v>
      </c>
      <c r="U449" s="7">
        <f>N449+O449+P449+Q449+S449+R449+T449</f>
        <v>0</v>
      </c>
      <c r="AD449" s="9">
        <f>W449+X449+Y449+Z449+AA449+AB449+AC449</f>
        <v>0</v>
      </c>
      <c r="AF449" s="34"/>
      <c r="AG449" s="34"/>
      <c r="AH449" s="34"/>
      <c r="AN449" s="9">
        <f>AG449+AH449+AI449+AJ449+AK449+AL449+AM449</f>
        <v>0</v>
      </c>
      <c r="AT449" s="11">
        <f>100+318+49</f>
        <v>467</v>
      </c>
      <c r="AV449" s="64">
        <f>L449+U449+AD449</f>
        <v>5233</v>
      </c>
      <c r="AW449" s="73">
        <f>AT449+AV449+AU449</f>
        <v>5700</v>
      </c>
      <c r="AY449" s="74">
        <f>AZ449+BA449+BB449+BC449+BD449+BE449</f>
        <v>5700</v>
      </c>
      <c r="BA449" s="15">
        <v>5700</v>
      </c>
      <c r="BL449" s="18">
        <v>2</v>
      </c>
    </row>
    <row r="450" customHeight="1" spans="1:65">
      <c r="A450" s="1" t="s">
        <v>303</v>
      </c>
      <c r="B450" s="33">
        <v>10060014</v>
      </c>
      <c r="C450" s="34" t="s">
        <v>107</v>
      </c>
      <c r="D450" s="3" t="s">
        <v>179</v>
      </c>
      <c r="E450" s="3">
        <v>1299</v>
      </c>
      <c r="I450" s="3">
        <f>3816+477</f>
        <v>4293</v>
      </c>
      <c r="K450" s="4">
        <f>7900-6487</f>
        <v>1413</v>
      </c>
      <c r="L450" s="5">
        <f>E450+F450+H450+I450+J450+G450+K450</f>
        <v>7005</v>
      </c>
      <c r="U450" s="7">
        <f>N450+O450+P450+Q450+S450+R450+T450</f>
        <v>0</v>
      </c>
      <c r="AD450" s="9">
        <f>W450+X450+Y450+Z450+AA450+AB450+AC450</f>
        <v>0</v>
      </c>
      <c r="AF450" s="34"/>
      <c r="AG450" s="34"/>
      <c r="AH450" s="34"/>
      <c r="AN450" s="9">
        <f>AG450+AH450+AI450+AJ450+AK450+AL450+AM450</f>
        <v>0</v>
      </c>
      <c r="AT450" s="11">
        <f>100+795</f>
        <v>895</v>
      </c>
      <c r="AV450" s="64">
        <f>L450+U450+AD450</f>
        <v>7005</v>
      </c>
      <c r="AW450" s="73">
        <f>AT450+AV450+AU450</f>
        <v>7900</v>
      </c>
      <c r="AY450" s="74">
        <f>AZ450+BA450+BB450+BC450+BD450+BE450</f>
        <v>7900</v>
      </c>
      <c r="AZ450" s="14">
        <v>7900</v>
      </c>
      <c r="BL450" s="18">
        <v>5</v>
      </c>
      <c r="BM450" s="90" t="s">
        <v>239</v>
      </c>
    </row>
    <row r="451" customHeight="1" spans="1:65">
      <c r="A451" s="1" t="s">
        <v>303</v>
      </c>
      <c r="B451" s="33">
        <v>10060015</v>
      </c>
      <c r="C451" s="34" t="s">
        <v>48</v>
      </c>
      <c r="D451" s="3" t="s">
        <v>186</v>
      </c>
      <c r="E451" s="3">
        <v>1880</v>
      </c>
      <c r="I451" s="3">
        <v>7632</v>
      </c>
      <c r="K451" s="4">
        <f>12400-10666</f>
        <v>1734</v>
      </c>
      <c r="L451" s="5">
        <f>E451+F451+H451+I451+J451+G451+K451</f>
        <v>11246</v>
      </c>
      <c r="U451" s="7">
        <f>N451+O451+P451+Q451+S451+R451+T451</f>
        <v>0</v>
      </c>
      <c r="AD451" s="9">
        <f>W451+X451+Y451+Z451+AA451+AB451+AC451</f>
        <v>0</v>
      </c>
      <c r="AF451" s="34"/>
      <c r="AG451" s="34"/>
      <c r="AH451" s="34"/>
      <c r="AN451" s="9">
        <f>AG451+AH451+AI451+AJ451+AK451+AL451+AM451</f>
        <v>0</v>
      </c>
      <c r="AT451" s="11">
        <f>100+954+100</f>
        <v>1154</v>
      </c>
      <c r="AV451" s="64">
        <f>L451+U451+AD451</f>
        <v>11246</v>
      </c>
      <c r="AW451" s="73">
        <f>AT451+AV451+AU451</f>
        <v>12400</v>
      </c>
      <c r="AY451" s="74">
        <f>AZ451+BA451+BB451+BC451+BD451+BE451</f>
        <v>12400</v>
      </c>
      <c r="BA451" s="15">
        <v>12400</v>
      </c>
      <c r="BL451" s="18">
        <v>7</v>
      </c>
      <c r="BM451" s="90" t="s">
        <v>271</v>
      </c>
    </row>
    <row r="452" customHeight="1" spans="1:65">
      <c r="A452" s="1" t="s">
        <v>303</v>
      </c>
      <c r="B452" s="33">
        <v>10060016</v>
      </c>
      <c r="C452" s="34" t="s">
        <v>175</v>
      </c>
      <c r="D452" s="3" t="s">
        <v>213</v>
      </c>
      <c r="E452" s="3">
        <v>1880</v>
      </c>
      <c r="G452" s="3">
        <v>11800</v>
      </c>
      <c r="J452" s="3">
        <v>138</v>
      </c>
      <c r="K452" s="4">
        <f>18000-14762</f>
        <v>3238</v>
      </c>
      <c r="L452" s="5">
        <f>E452+F452+H452+I452+J452+G452+K452</f>
        <v>17056</v>
      </c>
      <c r="U452" s="7">
        <f>N452+O452+P452+Q452+S452+R452+T452</f>
        <v>0</v>
      </c>
      <c r="AD452" s="9">
        <f>W452+X452+Y452+Z452+AA452+AB452+AC452</f>
        <v>0</v>
      </c>
      <c r="AF452" s="34"/>
      <c r="AG452" s="34"/>
      <c r="AH452" s="34"/>
      <c r="AN452" s="9">
        <f>AG452+AH452+AI452+AJ452+AK452+AL452+AM452</f>
        <v>0</v>
      </c>
      <c r="AT452" s="11">
        <f>100+795+49</f>
        <v>944</v>
      </c>
      <c r="AV452" s="64">
        <f>L452+U452+AD452</f>
        <v>17056</v>
      </c>
      <c r="AW452" s="73">
        <f>AT452+AV452+AU452</f>
        <v>18000</v>
      </c>
      <c r="AY452" s="74">
        <f>AZ452+BA452+BB452+BC452+BD452+BE452</f>
        <v>19300</v>
      </c>
      <c r="BA452" s="15">
        <v>18000</v>
      </c>
      <c r="BC452" s="17">
        <v>1260</v>
      </c>
      <c r="BD452" s="17">
        <v>40</v>
      </c>
      <c r="BL452" s="18">
        <v>8</v>
      </c>
      <c r="BM452" s="90" t="s">
        <v>130</v>
      </c>
    </row>
    <row r="453" customHeight="1" spans="1:65">
      <c r="A453" s="1" t="s">
        <v>303</v>
      </c>
      <c r="B453" s="33">
        <v>10060017</v>
      </c>
      <c r="C453" s="3">
        <v>310</v>
      </c>
      <c r="D453" s="3" t="s">
        <v>119</v>
      </c>
      <c r="E453" s="3">
        <v>980</v>
      </c>
      <c r="I453" s="3">
        <v>2380</v>
      </c>
      <c r="K453" s="4">
        <f>4250-3778</f>
        <v>472</v>
      </c>
      <c r="L453" s="5">
        <f>E453+F453+H453+I453+J453+G453+K453</f>
        <v>3832</v>
      </c>
      <c r="U453" s="7">
        <f>N453+O453+P453+Q453+S453+R453+T453</f>
        <v>0</v>
      </c>
      <c r="AD453" s="9">
        <f>W453+X453+Y453+Z453+AA453+AB453+AC453</f>
        <v>0</v>
      </c>
      <c r="AF453" s="34"/>
      <c r="AG453" s="34"/>
      <c r="AH453" s="34"/>
      <c r="AN453" s="9">
        <f>AG453+AH453+AI453+AJ453+AK453+AL453+AM453</f>
        <v>0</v>
      </c>
      <c r="AT453" s="11">
        <f>100+318</f>
        <v>418</v>
      </c>
      <c r="AV453" s="64">
        <f>L453+U453+AD453</f>
        <v>3832</v>
      </c>
      <c r="AW453" s="73">
        <f>AT453+AV453+AU453</f>
        <v>4250</v>
      </c>
      <c r="AY453" s="74">
        <f>AZ453+BA453+BB453+BC453+BD453+BE453</f>
        <v>4250</v>
      </c>
      <c r="BA453" s="15">
        <v>4250</v>
      </c>
      <c r="BL453" s="18">
        <v>2</v>
      </c>
      <c r="BM453" s="90" t="s">
        <v>130</v>
      </c>
    </row>
    <row r="454" customHeight="1" spans="1:64">
      <c r="A454" s="1" t="s">
        <v>303</v>
      </c>
      <c r="B454" s="33">
        <v>10060018</v>
      </c>
      <c r="C454" s="3">
        <v>311</v>
      </c>
      <c r="D454" s="3" t="s">
        <v>181</v>
      </c>
      <c r="E454" s="3">
        <v>980</v>
      </c>
      <c r="I454" s="3">
        <v>3576</v>
      </c>
      <c r="K454" s="4">
        <f>6070-5133</f>
        <v>937</v>
      </c>
      <c r="L454" s="5">
        <f>E454+F454+H454+I454+J454+G454+K454</f>
        <v>5493</v>
      </c>
      <c r="U454" s="7">
        <f>N454+O454+P454+Q454+S454+R454+T454</f>
        <v>0</v>
      </c>
      <c r="AD454" s="9">
        <f>W454+X454+Y454+Z454+AA454+AB454+AC454</f>
        <v>0</v>
      </c>
      <c r="AF454" s="34"/>
      <c r="AG454" s="34"/>
      <c r="AH454" s="34"/>
      <c r="AN454" s="9">
        <f>AG454+AH454+AI454+AJ454+AK454+AL454+AM454</f>
        <v>0</v>
      </c>
      <c r="AT454" s="11">
        <f>100+477</f>
        <v>577</v>
      </c>
      <c r="AV454" s="64">
        <f>L454+U454+AD454</f>
        <v>5493</v>
      </c>
      <c r="AW454" s="73">
        <f>AT454+AV454+AU454</f>
        <v>6070</v>
      </c>
      <c r="AY454" s="74">
        <f>AZ454+BA454+BB454+BC454+BD454+BE454</f>
        <v>6070</v>
      </c>
      <c r="AZ454" s="14">
        <v>6070</v>
      </c>
      <c r="BL454" s="18">
        <v>4</v>
      </c>
    </row>
    <row r="455" customHeight="1" spans="1:64">
      <c r="A455" s="1" t="s">
        <v>303</v>
      </c>
      <c r="B455" s="33">
        <v>10060019</v>
      </c>
      <c r="C455" s="34" t="s">
        <v>54</v>
      </c>
      <c r="D455" s="3" t="s">
        <v>85</v>
      </c>
      <c r="E455" s="3">
        <v>2180</v>
      </c>
      <c r="G455" s="3">
        <v>4890</v>
      </c>
      <c r="I455" s="3">
        <f>3816+1788</f>
        <v>5604</v>
      </c>
      <c r="K455" s="4">
        <f>16600-14633</f>
        <v>1967</v>
      </c>
      <c r="L455" s="5">
        <f>E455+F455+H455+I455+J455+G455+K455</f>
        <v>14641</v>
      </c>
      <c r="U455" s="7">
        <f>N455+O455+P455+Q455+S455+R455+T455</f>
        <v>0</v>
      </c>
      <c r="AD455" s="9">
        <f>W455+X455+Y455+Z455+AA455+AB455+AC455</f>
        <v>0</v>
      </c>
      <c r="AF455" s="34"/>
      <c r="AG455" s="34"/>
      <c r="AH455" s="34"/>
      <c r="AN455" s="9">
        <f>AG455+AH455+AI455+AJ455+AK455+AL455+AM455</f>
        <v>0</v>
      </c>
      <c r="AT455" s="11">
        <f>100+676+1183</f>
        <v>1959</v>
      </c>
      <c r="AV455" s="64">
        <f>L455+U455+AD455</f>
        <v>14641</v>
      </c>
      <c r="AW455" s="73">
        <f>AT455+AV455+AU455</f>
        <v>16600</v>
      </c>
      <c r="AY455" s="74">
        <f>AZ455+BA455+BB455+BC455+BD455+BE455</f>
        <v>16600</v>
      </c>
      <c r="BA455" s="15">
        <v>16600</v>
      </c>
      <c r="BL455" s="18">
        <v>6</v>
      </c>
    </row>
    <row r="456" customHeight="1" spans="1:65">
      <c r="A456" s="1" t="s">
        <v>303</v>
      </c>
      <c r="B456" s="33">
        <v>10060020</v>
      </c>
      <c r="C456" s="3">
        <v>309</v>
      </c>
      <c r="D456" s="3" t="s">
        <v>122</v>
      </c>
      <c r="E456" s="3">
        <v>980</v>
      </c>
      <c r="I456" s="3">
        <v>2856</v>
      </c>
      <c r="K456" s="4">
        <f>5000-4254</f>
        <v>746</v>
      </c>
      <c r="L456" s="5">
        <f>E456+F456+H456+I456+J456+G456+K456</f>
        <v>4582</v>
      </c>
      <c r="U456" s="7">
        <f>N456+O456+P456+Q456+S456+R456+T456</f>
        <v>0</v>
      </c>
      <c r="AD456" s="9">
        <f>W456+X456+Y456+Z456+AA456+AB456+AC456</f>
        <v>0</v>
      </c>
      <c r="AF456" s="34"/>
      <c r="AG456" s="34"/>
      <c r="AH456" s="34"/>
      <c r="AN456" s="9">
        <f>AG456+AH456+AI456+AJ456+AK456+AL456+AM456</f>
        <v>0</v>
      </c>
      <c r="AT456" s="11">
        <f>100+318</f>
        <v>418</v>
      </c>
      <c r="AV456" s="64">
        <f>L456+U456+AD456</f>
        <v>4582</v>
      </c>
      <c r="AW456" s="73">
        <f>AT456+AV456+AU456</f>
        <v>5000</v>
      </c>
      <c r="AY456" s="74">
        <f>AZ456+BA456+BB456+BC456+BD456+BE456</f>
        <v>5000</v>
      </c>
      <c r="AZ456" s="14">
        <v>5000</v>
      </c>
      <c r="BL456" s="18">
        <v>2</v>
      </c>
      <c r="BM456" s="90" t="s">
        <v>224</v>
      </c>
    </row>
    <row r="457" customHeight="1" spans="1:64">
      <c r="A457" s="1" t="s">
        <v>303</v>
      </c>
      <c r="B457" s="33">
        <v>10060021</v>
      </c>
      <c r="C457" s="3">
        <v>313</v>
      </c>
      <c r="D457" s="3" t="s">
        <v>181</v>
      </c>
      <c r="E457" s="3">
        <v>980</v>
      </c>
      <c r="I457" s="3">
        <v>2856</v>
      </c>
      <c r="K457" s="4">
        <f>5430-4572</f>
        <v>858</v>
      </c>
      <c r="L457" s="5">
        <f>E457+F457+H457+I457+J457+G457+K457</f>
        <v>4694</v>
      </c>
      <c r="U457" s="7">
        <f>N457+O457+P457+Q457+S457+R457+T457</f>
        <v>0</v>
      </c>
      <c r="AD457" s="9">
        <f>W457+X457+Y457+Z457+AA457+AB457+AC457</f>
        <v>0</v>
      </c>
      <c r="AF457" s="34"/>
      <c r="AG457" s="34"/>
      <c r="AH457" s="34"/>
      <c r="AN457" s="9">
        <f>AG457+AH457+AI457+AJ457+AK457+AL457+AM457</f>
        <v>0</v>
      </c>
      <c r="AT457" s="11">
        <f>100+636</f>
        <v>736</v>
      </c>
      <c r="AV457" s="64">
        <f>L457+U457+AD457</f>
        <v>4694</v>
      </c>
      <c r="AW457" s="73">
        <f>AT457+AV457+AU457</f>
        <v>5430</v>
      </c>
      <c r="AY457" s="74">
        <f>AZ457+BA457+BB457+BC457+BD457+BE457</f>
        <v>5430</v>
      </c>
      <c r="AZ457" s="14">
        <v>5430</v>
      </c>
      <c r="BL457" s="18">
        <v>6</v>
      </c>
    </row>
    <row r="458" customHeight="1" spans="1:65">
      <c r="A458" s="1" t="s">
        <v>303</v>
      </c>
      <c r="B458" s="33">
        <v>10060022</v>
      </c>
      <c r="C458" s="3">
        <v>316</v>
      </c>
      <c r="D458" s="3" t="s">
        <v>176</v>
      </c>
      <c r="E458" s="3">
        <v>980</v>
      </c>
      <c r="I458" s="3">
        <v>1785</v>
      </c>
      <c r="J458" s="3">
        <v>645</v>
      </c>
      <c r="K458" s="4">
        <f>4560-4088</f>
        <v>472</v>
      </c>
      <c r="L458" s="5">
        <f>E458+F458+H458+I458+J458+G458+K458</f>
        <v>3882</v>
      </c>
      <c r="U458" s="7">
        <f>N458+O458+P458+Q458+S458+R458+T458</f>
        <v>0</v>
      </c>
      <c r="AD458" s="9">
        <f>W458+X458+Y458+Z458+AA458+AB458+AC458</f>
        <v>0</v>
      </c>
      <c r="AF458" s="34"/>
      <c r="AG458" s="34"/>
      <c r="AH458" s="34"/>
      <c r="AN458" s="9">
        <f>AG458+AH458+AI458+AJ458+AK458+AL458+AM458</f>
        <v>0</v>
      </c>
      <c r="AT458" s="11">
        <f>100+260+318</f>
        <v>678</v>
      </c>
      <c r="AV458" s="64">
        <f>L458+U458+AD458</f>
        <v>3882</v>
      </c>
      <c r="AW458" s="73">
        <f>AT458+AV458+AU458</f>
        <v>4560</v>
      </c>
      <c r="AY458" s="74">
        <f>AZ458+BA458+BB458+BC458+BD458+BE458</f>
        <v>4560</v>
      </c>
      <c r="BA458" s="15">
        <v>4560</v>
      </c>
      <c r="BL458" s="18">
        <v>2</v>
      </c>
      <c r="BM458" s="90" t="s">
        <v>224</v>
      </c>
    </row>
    <row r="459" customHeight="1" spans="1:64">
      <c r="A459" s="1" t="s">
        <v>303</v>
      </c>
      <c r="B459" s="33">
        <v>10060023</v>
      </c>
      <c r="C459" s="34" t="s">
        <v>59</v>
      </c>
      <c r="D459" s="3" t="s">
        <v>304</v>
      </c>
      <c r="E459" s="3">
        <v>2180</v>
      </c>
      <c r="I459" s="3">
        <v>8586</v>
      </c>
      <c r="J459" s="3">
        <f>169+169+169+1008</f>
        <v>1515</v>
      </c>
      <c r="K459" s="4">
        <f>14700-12819</f>
        <v>1881</v>
      </c>
      <c r="L459" s="5">
        <f>E459+F459+H459+I459+J459+G459+K459</f>
        <v>14162</v>
      </c>
      <c r="U459" s="7">
        <f>N459+O459+P459+Q459+S459+R459+T459</f>
        <v>0</v>
      </c>
      <c r="AD459" s="9">
        <f>W459+X459+Y459+Z459+AA459+AB459+AC459</f>
        <v>0</v>
      </c>
      <c r="AF459" s="34"/>
      <c r="AG459" s="34"/>
      <c r="AH459" s="34"/>
      <c r="AN459" s="9">
        <f>AG459+AH459+AI459+AJ459+AK459+AL459+AM459</f>
        <v>0</v>
      </c>
      <c r="AT459" s="11">
        <f>100+100+338</f>
        <v>538</v>
      </c>
      <c r="AV459" s="64">
        <f>L459+U459+AD459</f>
        <v>14162</v>
      </c>
      <c r="AW459" s="73">
        <f>AT459+AV459+AU459</f>
        <v>14700</v>
      </c>
      <c r="AY459" s="74">
        <f>AZ459+BA459+BB459+BC459+BD459+BE459</f>
        <v>14700</v>
      </c>
      <c r="BA459" s="15">
        <v>14700</v>
      </c>
      <c r="BL459" s="18">
        <v>6</v>
      </c>
    </row>
    <row r="460" customHeight="1" spans="1:65">
      <c r="A460" s="1" t="s">
        <v>303</v>
      </c>
      <c r="B460" s="33">
        <v>10060024</v>
      </c>
      <c r="C460" s="34" t="s">
        <v>65</v>
      </c>
      <c r="D460" s="3" t="s">
        <v>285</v>
      </c>
      <c r="E460" s="3">
        <v>2180</v>
      </c>
      <c r="G460" s="3">
        <f>4390+9990</f>
        <v>14380</v>
      </c>
      <c r="K460" s="4">
        <f>20400-17585</f>
        <v>2815</v>
      </c>
      <c r="L460" s="5">
        <f>E460+F460+H460+I460+J460+G460+K460</f>
        <v>19375</v>
      </c>
      <c r="U460" s="7">
        <f>N460+O460+P460+Q460+S460+R460+T460</f>
        <v>0</v>
      </c>
      <c r="AD460" s="9">
        <f>W460+X460+Y460+Z460+AA460+AB460+AC460</f>
        <v>0</v>
      </c>
      <c r="AF460" s="34"/>
      <c r="AG460" s="34"/>
      <c r="AH460" s="34"/>
      <c r="AN460" s="9">
        <f>AG460+AH460+AI460+AJ460+AK460+AL460+AM460</f>
        <v>0</v>
      </c>
      <c r="AT460" s="11">
        <f>100+100+49+676+100</f>
        <v>1025</v>
      </c>
      <c r="AV460" s="64">
        <f>L460+U460+AD460</f>
        <v>19375</v>
      </c>
      <c r="AW460" s="73">
        <f>AT460+AV460+AU460</f>
        <v>20400</v>
      </c>
      <c r="AY460" s="74">
        <f>AZ460+BA460+BB460+BC460+BD460+BE460</f>
        <v>20400</v>
      </c>
      <c r="BA460" s="15">
        <v>20400</v>
      </c>
      <c r="BL460" s="18">
        <v>4</v>
      </c>
      <c r="BM460" s="90" t="s">
        <v>271</v>
      </c>
    </row>
    <row r="461" customHeight="1" spans="1:65">
      <c r="A461" s="1" t="s">
        <v>303</v>
      </c>
      <c r="B461" s="33">
        <v>10060025</v>
      </c>
      <c r="C461" s="34" t="s">
        <v>159</v>
      </c>
      <c r="D461" s="3" t="s">
        <v>60</v>
      </c>
      <c r="E461" s="3">
        <v>1880</v>
      </c>
      <c r="I461" s="3">
        <f>1785+2856</f>
        <v>4641</v>
      </c>
      <c r="J461" s="3">
        <v>49</v>
      </c>
      <c r="K461" s="4">
        <f>8500-7147</f>
        <v>1353</v>
      </c>
      <c r="L461" s="5">
        <f>E461+F461+H461+I461+J461+G461+K461</f>
        <v>7923</v>
      </c>
      <c r="U461" s="7">
        <f>N461+O461+P461+Q461+S461+R461+T461</f>
        <v>0</v>
      </c>
      <c r="AD461" s="9">
        <f>W461+X461+Y461+Z461+AA461+AB461+AC461</f>
        <v>0</v>
      </c>
      <c r="AF461" s="34"/>
      <c r="AG461" s="34"/>
      <c r="AH461" s="34"/>
      <c r="AN461" s="9">
        <f>AG461+AH461+AI461+AJ461+AK461+AL461+AM461</f>
        <v>0</v>
      </c>
      <c r="AT461" s="11">
        <f>100+477</f>
        <v>577</v>
      </c>
      <c r="AV461" s="64">
        <f>L461+U461+AD461</f>
        <v>7923</v>
      </c>
      <c r="AW461" s="73">
        <f>AT461+AV461+AU461</f>
        <v>8500</v>
      </c>
      <c r="AY461" s="74">
        <f>AZ461+BA461+BB461+BC461+BD461+BE461</f>
        <v>8500</v>
      </c>
      <c r="AZ461" s="14">
        <v>8500</v>
      </c>
      <c r="BL461" s="18">
        <v>3</v>
      </c>
      <c r="BM461" s="90" t="s">
        <v>271</v>
      </c>
    </row>
    <row r="462" customHeight="1" spans="1:64">
      <c r="A462" s="1" t="s">
        <v>303</v>
      </c>
      <c r="B462" s="33">
        <v>10060026</v>
      </c>
      <c r="C462" s="34" t="s">
        <v>78</v>
      </c>
      <c r="L462" s="5">
        <f>E462+F462+H462+I462+J462+G462+K462</f>
        <v>0</v>
      </c>
      <c r="M462" s="3" t="s">
        <v>305</v>
      </c>
      <c r="N462" s="3">
        <v>2580</v>
      </c>
      <c r="R462" s="3">
        <v>13674</v>
      </c>
      <c r="S462" s="3">
        <v>338</v>
      </c>
      <c r="T462" s="6">
        <v>1914</v>
      </c>
      <c r="U462" s="7">
        <f>N462+O462+P462+Q462+S462+R462+T462</f>
        <v>18506</v>
      </c>
      <c r="AD462" s="9">
        <f>W462+X462+Y462+Z462+AA462+AB462+AC462</f>
        <v>0</v>
      </c>
      <c r="AF462" s="34"/>
      <c r="AG462" s="34"/>
      <c r="AH462" s="34"/>
      <c r="AN462" s="9">
        <f>AG462+AH462+AI462+AJ462+AK462+AL462+AM462</f>
        <v>0</v>
      </c>
      <c r="AT462" s="11">
        <f>100+845+49</f>
        <v>994</v>
      </c>
      <c r="AV462" s="64">
        <f>L462+U462+AD462</f>
        <v>18506</v>
      </c>
      <c r="AW462" s="73">
        <f>AT462+AV462+AU462</f>
        <v>19500</v>
      </c>
      <c r="AY462" s="74">
        <f>AZ462+BA462+BB462+BC462+BD462+BE462</f>
        <v>19500</v>
      </c>
      <c r="BA462" s="15">
        <v>19500</v>
      </c>
      <c r="BL462" s="18">
        <v>5</v>
      </c>
    </row>
    <row r="463" customHeight="1" spans="1:64">
      <c r="A463" s="1" t="s">
        <v>303</v>
      </c>
      <c r="B463" s="33">
        <v>10060027</v>
      </c>
      <c r="C463" s="34" t="s">
        <v>56</v>
      </c>
      <c r="D463" s="3" t="s">
        <v>232</v>
      </c>
      <c r="E463" s="3">
        <v>3180</v>
      </c>
      <c r="G463" s="3">
        <v>17780</v>
      </c>
      <c r="H463" s="3">
        <v>4160</v>
      </c>
      <c r="K463" s="4">
        <f>30100-26123</f>
        <v>3977</v>
      </c>
      <c r="L463" s="5">
        <f>E463+F463+H463+I463+J463+G463+K463</f>
        <v>29097</v>
      </c>
      <c r="U463" s="7">
        <f>N463+O463+P463+Q463+S463+R463+T463</f>
        <v>0</v>
      </c>
      <c r="AD463" s="9">
        <f>W463+X463+Y463+Z463+AA463+AB463+AC463</f>
        <v>0</v>
      </c>
      <c r="AF463" s="34"/>
      <c r="AG463" s="34"/>
      <c r="AH463" s="34"/>
      <c r="AN463" s="9">
        <f>AG463+AH463+AI463+AJ463+AK463+AL463+AM463</f>
        <v>0</v>
      </c>
      <c r="AT463" s="11">
        <f>100+845+58</f>
        <v>1003</v>
      </c>
      <c r="AV463" s="64">
        <f>L463+U463+AD463</f>
        <v>29097</v>
      </c>
      <c r="AW463" s="73">
        <f>AT463+AV463+AU463</f>
        <v>30100</v>
      </c>
      <c r="AY463" s="74">
        <f>AZ463+BA463+BB463+BC463+BD463+BE463</f>
        <v>31700</v>
      </c>
      <c r="BA463" s="15">
        <v>30100</v>
      </c>
      <c r="BC463" s="17">
        <v>1600</v>
      </c>
      <c r="BL463" s="18">
        <v>13</v>
      </c>
    </row>
    <row r="464" customHeight="1" spans="1:65">
      <c r="A464" s="1" t="s">
        <v>303</v>
      </c>
      <c r="B464" s="33">
        <v>10060028</v>
      </c>
      <c r="C464" s="34" t="s">
        <v>84</v>
      </c>
      <c r="D464" s="3" t="s">
        <v>213</v>
      </c>
      <c r="E464" s="3">
        <v>2580</v>
      </c>
      <c r="G464" s="3">
        <v>12900</v>
      </c>
      <c r="J464" s="3">
        <f>138+69</f>
        <v>207</v>
      </c>
      <c r="K464" s="4">
        <f>22800-17307</f>
        <v>5493</v>
      </c>
      <c r="L464" s="5">
        <f>E464+F464+H464+I464+J464+G464+K464</f>
        <v>21180</v>
      </c>
      <c r="U464" s="7">
        <f>N464+O464+P464+Q464+S464+R464+T464</f>
        <v>0</v>
      </c>
      <c r="AD464" s="9">
        <f>W464+X464+Y464+Z464+AA464+AB464+AC464</f>
        <v>0</v>
      </c>
      <c r="AF464" s="34"/>
      <c r="AG464" s="34"/>
      <c r="AH464" s="34"/>
      <c r="AN464" s="9">
        <f>AG464+AH464+AI464+AJ464+AK464+AL464+AM464</f>
        <v>0</v>
      </c>
      <c r="AT464" s="11">
        <f>100+1014+49+29</f>
        <v>1192</v>
      </c>
      <c r="AU464" s="11">
        <v>428</v>
      </c>
      <c r="AV464" s="64">
        <f>L464+U464+AD464</f>
        <v>21180</v>
      </c>
      <c r="AW464" s="73">
        <f>AT464+AV464+AU464</f>
        <v>22800</v>
      </c>
      <c r="AY464" s="74">
        <f>AZ464+BA464+BB464+BC464+BD464+BE464</f>
        <v>22800</v>
      </c>
      <c r="BA464" s="15">
        <v>22800</v>
      </c>
      <c r="BL464" s="18">
        <v>9</v>
      </c>
      <c r="BM464" s="90" t="s">
        <v>130</v>
      </c>
    </row>
    <row r="465" customHeight="1" spans="1:64">
      <c r="A465" s="1" t="s">
        <v>303</v>
      </c>
      <c r="B465" s="33">
        <v>10060029</v>
      </c>
      <c r="C465" s="34" t="s">
        <v>62</v>
      </c>
      <c r="D465" s="3" t="s">
        <v>51</v>
      </c>
      <c r="E465" s="3">
        <v>2180</v>
      </c>
      <c r="G465" s="3">
        <v>14670</v>
      </c>
      <c r="K465" s="4">
        <f>19500-17535</f>
        <v>1965</v>
      </c>
      <c r="L465" s="5">
        <f>E465+F465+H465+I465+J465+G465+K465</f>
        <v>18815</v>
      </c>
      <c r="U465" s="7">
        <f>N465+O465+P465+Q465+S465+R465+T465</f>
        <v>0</v>
      </c>
      <c r="AD465" s="9">
        <f>W465+X465+Y465+Z465+AA465+AB465+AC465</f>
        <v>0</v>
      </c>
      <c r="AF465" s="34"/>
      <c r="AG465" s="34"/>
      <c r="AH465" s="34"/>
      <c r="AN465" s="9">
        <f>AG465+AH465+AI465+AJ465+AK465+AL465+AM465</f>
        <v>0</v>
      </c>
      <c r="AT465" s="11">
        <f>100+100+338+147</f>
        <v>685</v>
      </c>
      <c r="AV465" s="64">
        <f>L465+U465+AD465</f>
        <v>18815</v>
      </c>
      <c r="AW465" s="73">
        <f>AT465+AV465+AU465</f>
        <v>19500</v>
      </c>
      <c r="AY465" s="74">
        <f>AZ465+BA465+BB465+BC465+BD465+BE465</f>
        <v>19600</v>
      </c>
      <c r="BA465" s="15">
        <v>19500</v>
      </c>
      <c r="BE465" s="17">
        <v>100</v>
      </c>
      <c r="BL465" s="18">
        <v>3</v>
      </c>
    </row>
    <row r="466" customHeight="1" spans="1:64">
      <c r="A466" s="1" t="s">
        <v>306</v>
      </c>
      <c r="B466" s="33">
        <v>10060030</v>
      </c>
      <c r="C466" s="3" t="s">
        <v>70</v>
      </c>
      <c r="D466" s="3" t="s">
        <v>193</v>
      </c>
      <c r="E466" s="3">
        <v>1880</v>
      </c>
      <c r="I466" s="3">
        <v>3816</v>
      </c>
      <c r="J466" s="3">
        <f>129+129+169+169</f>
        <v>596</v>
      </c>
      <c r="K466" s="4">
        <f>8200-6947</f>
        <v>1253</v>
      </c>
      <c r="L466" s="5">
        <f>E466+F466+H466+I466+J466+G466+K466</f>
        <v>7545</v>
      </c>
      <c r="U466" s="7">
        <f>N466+O466+P466+Q466+S466+R466+T466</f>
        <v>0</v>
      </c>
      <c r="AD466" s="9">
        <f>W466+X466+Y466+Z466+AA466+AB466+AC466</f>
        <v>0</v>
      </c>
      <c r="AF466" s="34"/>
      <c r="AG466" s="34"/>
      <c r="AH466" s="34"/>
      <c r="AN466" s="9">
        <f>AG466+AH466+AI466+AJ466+AK466+AL466+AM466</f>
        <v>0</v>
      </c>
      <c r="AT466" s="11">
        <f>100+49+29+477</f>
        <v>655</v>
      </c>
      <c r="AV466" s="64">
        <f>L466+U466+AD466</f>
        <v>7545</v>
      </c>
      <c r="AW466" s="73">
        <f>AT466+AV466+AU466</f>
        <v>8200</v>
      </c>
      <c r="AY466" s="74">
        <f>AZ466+BA466+BB466+BC466+BD466+BE466</f>
        <v>8200</v>
      </c>
      <c r="BA466" s="15">
        <v>8200</v>
      </c>
      <c r="BL466" s="18">
        <v>3</v>
      </c>
    </row>
    <row r="467" customHeight="1" spans="1:64">
      <c r="A467" s="1" t="s">
        <v>306</v>
      </c>
      <c r="B467" s="33">
        <v>10060031</v>
      </c>
      <c r="C467" s="3">
        <v>302</v>
      </c>
      <c r="D467" s="3" t="s">
        <v>42</v>
      </c>
      <c r="E467" s="3">
        <v>980</v>
      </c>
      <c r="J467" s="3">
        <f>676+417+387</f>
        <v>1480</v>
      </c>
      <c r="K467" s="4">
        <f>2980-2719</f>
        <v>261</v>
      </c>
      <c r="L467" s="5">
        <f>E467+F467+H467+I467+J467+G467+K467</f>
        <v>2721</v>
      </c>
      <c r="U467" s="7">
        <f>N467+O467+P467+Q467+S467+R467+T467</f>
        <v>0</v>
      </c>
      <c r="AD467" s="9">
        <f>W467+X467+Y467+Z467+AA467+AB467+AC467</f>
        <v>0</v>
      </c>
      <c r="AF467" s="34"/>
      <c r="AG467" s="34"/>
      <c r="AH467" s="34"/>
      <c r="AN467" s="9">
        <f>AG467+AH467+AI467+AJ467+AK467+AL467+AM467</f>
        <v>0</v>
      </c>
      <c r="AT467" s="11">
        <f>100+159</f>
        <v>259</v>
      </c>
      <c r="AV467" s="64">
        <f>L467+U467+AD467</f>
        <v>2721</v>
      </c>
      <c r="AW467" s="73">
        <f>AT467+AV467+AU467</f>
        <v>2980</v>
      </c>
      <c r="AY467" s="74">
        <f>AZ467+BA467+BB467+BC467+BD467+BE467</f>
        <v>2980</v>
      </c>
      <c r="BA467" s="15">
        <v>2980</v>
      </c>
      <c r="BL467" s="18">
        <v>2</v>
      </c>
    </row>
    <row r="468" customHeight="1" spans="1:65">
      <c r="A468" s="1" t="s">
        <v>306</v>
      </c>
      <c r="B468" s="33">
        <v>10060032</v>
      </c>
      <c r="C468" s="3">
        <v>312</v>
      </c>
      <c r="D468" s="3" t="s">
        <v>170</v>
      </c>
      <c r="E468" s="3">
        <v>980</v>
      </c>
      <c r="I468" s="3">
        <v>3816</v>
      </c>
      <c r="K468" s="4">
        <f>5900-5214</f>
        <v>686</v>
      </c>
      <c r="L468" s="5">
        <f>E468+F468+H468+I468+J468+G468+K468</f>
        <v>5482</v>
      </c>
      <c r="U468" s="7">
        <f>N468+O468+P468+Q468+S468+R468+T468</f>
        <v>0</v>
      </c>
      <c r="AD468" s="9">
        <f>W468+X468+Y468+Z468+AA468+AB468+AC468</f>
        <v>0</v>
      </c>
      <c r="AF468" s="34"/>
      <c r="AG468" s="34"/>
      <c r="AH468" s="34"/>
      <c r="AN468" s="9">
        <f>AG468+AH468+AI468+AJ468+AK468+AL468+AM468</f>
        <v>0</v>
      </c>
      <c r="AT468" s="11">
        <f>100+318</f>
        <v>418</v>
      </c>
      <c r="AV468" s="64">
        <f>L468+U468+AD468</f>
        <v>5482</v>
      </c>
      <c r="AW468" s="73">
        <f>AT468+AV468+AU468</f>
        <v>5900</v>
      </c>
      <c r="AY468" s="74">
        <f>AZ468+BA468+BB468+BC468+BD468+BE468</f>
        <v>5900</v>
      </c>
      <c r="BA468" s="15">
        <v>5900</v>
      </c>
      <c r="BL468" s="18">
        <v>4</v>
      </c>
      <c r="BM468" s="90" t="s">
        <v>130</v>
      </c>
    </row>
    <row r="469" customHeight="1" spans="1:64">
      <c r="A469" s="1" t="s">
        <v>306</v>
      </c>
      <c r="B469" s="33">
        <v>10060033</v>
      </c>
      <c r="C469" s="3">
        <v>316</v>
      </c>
      <c r="L469" s="5">
        <f>E469+F469+H469+I469+J469+G469+K469</f>
        <v>0</v>
      </c>
      <c r="M469" s="3" t="s">
        <v>264</v>
      </c>
      <c r="N469" s="3">
        <v>980</v>
      </c>
      <c r="R469" s="3">
        <v>2856</v>
      </c>
      <c r="T469" s="6">
        <v>705</v>
      </c>
      <c r="U469" s="7">
        <f>N469+O469+P469+Q469+S469+R469+T469</f>
        <v>4541</v>
      </c>
      <c r="AD469" s="9">
        <f>W469+X469+Y469+Z469+AA469+AB469+AC469</f>
        <v>0</v>
      </c>
      <c r="AF469" s="34"/>
      <c r="AG469" s="34"/>
      <c r="AH469" s="34"/>
      <c r="AN469" s="9">
        <f>AG469+AH469+AI469+AJ469+AK469+AL469+AM469</f>
        <v>0</v>
      </c>
      <c r="AT469" s="11">
        <f>100+159</f>
        <v>259</v>
      </c>
      <c r="AV469" s="64">
        <f>L469+U469+AD469</f>
        <v>4541</v>
      </c>
      <c r="AW469" s="73">
        <f>AT469+AV469+AU469</f>
        <v>4800</v>
      </c>
      <c r="AY469" s="74">
        <f>AZ469+BA469+BB469+BC469+BD469+BE469</f>
        <v>4800</v>
      </c>
      <c r="AZ469" s="14">
        <v>4800</v>
      </c>
      <c r="BL469" s="18">
        <v>1</v>
      </c>
    </row>
    <row r="470" customHeight="1" spans="1:64">
      <c r="A470" s="1" t="s">
        <v>306</v>
      </c>
      <c r="B470" s="33">
        <v>10060034</v>
      </c>
      <c r="C470" s="34" t="s">
        <v>175</v>
      </c>
      <c r="D470" s="3" t="s">
        <v>170</v>
      </c>
      <c r="E470" s="3">
        <v>1880</v>
      </c>
      <c r="I470" s="3">
        <v>11448</v>
      </c>
      <c r="K470" s="4">
        <f>17870-15177</f>
        <v>2693</v>
      </c>
      <c r="L470" s="5">
        <f>E470+F470+H470+I470+J470+G470+K470</f>
        <v>16021</v>
      </c>
      <c r="U470" s="7">
        <f>N470+O470+P470+Q470+S470+R470+T470</f>
        <v>0</v>
      </c>
      <c r="AD470" s="9">
        <f>W470+X470+Y470+Z470+AA470+AB470+AC470</f>
        <v>0</v>
      </c>
      <c r="AF470" s="34"/>
      <c r="AG470" s="34"/>
      <c r="AH470" s="34"/>
      <c r="AN470" s="9">
        <f>AG470+AH470+AI470+AJ470+AK470+AL470+AM470</f>
        <v>0</v>
      </c>
      <c r="AT470" s="11">
        <f>100+1749</f>
        <v>1849</v>
      </c>
      <c r="AV470" s="64">
        <f>L470+U470+AD470</f>
        <v>16021</v>
      </c>
      <c r="AW470" s="73">
        <f>AT470+AV470+AU470</f>
        <v>17870</v>
      </c>
      <c r="AY470" s="74">
        <f>AZ470+BA470+BB470+BC470+BD470+BE470</f>
        <v>17870</v>
      </c>
      <c r="AZ470" s="14">
        <v>17870</v>
      </c>
      <c r="BL470" s="18">
        <v>11</v>
      </c>
    </row>
    <row r="471" customHeight="1" spans="1:65">
      <c r="A471" s="1" t="s">
        <v>306</v>
      </c>
      <c r="B471" s="33">
        <v>10060035</v>
      </c>
      <c r="C471" s="34" t="s">
        <v>107</v>
      </c>
      <c r="D471" s="3" t="s">
        <v>179</v>
      </c>
      <c r="E471" s="3">
        <v>1299</v>
      </c>
      <c r="I471" s="3">
        <v>3816</v>
      </c>
      <c r="J471" s="3">
        <f>168+99+169</f>
        <v>436</v>
      </c>
      <c r="K471" s="4">
        <f>8000-6615</f>
        <v>1385</v>
      </c>
      <c r="L471" s="5">
        <f>E471+F471+H471+I471+J471+G471+K471</f>
        <v>6936</v>
      </c>
      <c r="U471" s="7">
        <f>N471+O471+P471+Q471+S471+R471+T471</f>
        <v>0</v>
      </c>
      <c r="AD471" s="9">
        <f>W471+X471+Y471+Z471+AA471+AB471+AC471</f>
        <v>0</v>
      </c>
      <c r="AF471" s="34"/>
      <c r="AG471" s="34"/>
      <c r="AH471" s="34"/>
      <c r="AN471" s="9">
        <f>AG471+AH471+AI471+AJ471+AK471+AL471+AM471</f>
        <v>0</v>
      </c>
      <c r="AT471" s="11">
        <f>100+169+795</f>
        <v>1064</v>
      </c>
      <c r="AV471" s="64">
        <f>L471+U471+AD471</f>
        <v>6936</v>
      </c>
      <c r="AW471" s="73">
        <f>AT471+AV471+AU471</f>
        <v>8000</v>
      </c>
      <c r="AY471" s="74">
        <f>AZ471+BA471+BB471+BC471+BD471+BE471</f>
        <v>8000</v>
      </c>
      <c r="AZ471" s="14">
        <v>8000</v>
      </c>
      <c r="BL471" s="18">
        <v>6</v>
      </c>
      <c r="BM471" s="90" t="s">
        <v>239</v>
      </c>
    </row>
    <row r="472" customHeight="1" spans="1:64">
      <c r="A472" s="1" t="s">
        <v>306</v>
      </c>
      <c r="B472" s="33">
        <v>10060036</v>
      </c>
      <c r="C472" s="34" t="s">
        <v>48</v>
      </c>
      <c r="D472" s="34" t="s">
        <v>286</v>
      </c>
      <c r="E472" s="3">
        <v>1880</v>
      </c>
      <c r="G472" s="3">
        <v>8990</v>
      </c>
      <c r="K472" s="4">
        <f>14500-12888+700</f>
        <v>2312</v>
      </c>
      <c r="L472" s="5">
        <f>E472+F472+H472+I472+J472+G472+K472</f>
        <v>13182</v>
      </c>
      <c r="U472" s="7">
        <f>N472+O472+P472+Q472+S472+R472+T472</f>
        <v>0</v>
      </c>
      <c r="AD472" s="9">
        <f>W472+X472+Y472+Z472+AA472+AB472+AC472</f>
        <v>0</v>
      </c>
      <c r="AF472" s="34"/>
      <c r="AG472" s="34"/>
      <c r="AH472" s="34"/>
      <c r="AN472" s="9">
        <f>AG472+AH472+AI472+AJ472+AK472+AL472+AM472</f>
        <v>0</v>
      </c>
      <c r="AT472" s="11">
        <f>100+100+29+1113+676</f>
        <v>2018</v>
      </c>
      <c r="AV472" s="64">
        <f>L472+U472+AD472</f>
        <v>13182</v>
      </c>
      <c r="AW472" s="73">
        <f>AT472+AV472+AU472</f>
        <v>15200</v>
      </c>
      <c r="AY472" s="74">
        <f>AZ472+BA472+BB472+BC472+BD472+BE472</f>
        <v>16000</v>
      </c>
      <c r="AZ472" s="14">
        <v>15200</v>
      </c>
      <c r="BC472" s="17">
        <v>780</v>
      </c>
      <c r="BD472" s="17">
        <v>20</v>
      </c>
      <c r="BL472" s="18">
        <v>6</v>
      </c>
    </row>
    <row r="473" customHeight="1" spans="1:64">
      <c r="A473" s="1" t="s">
        <v>306</v>
      </c>
      <c r="B473" s="33">
        <v>10060037</v>
      </c>
      <c r="C473" s="3">
        <v>320</v>
      </c>
      <c r="D473" s="3" t="s">
        <v>232</v>
      </c>
      <c r="E473" s="3">
        <v>1299</v>
      </c>
      <c r="I473" s="3">
        <f>2856+2142</f>
        <v>4998</v>
      </c>
      <c r="J473" s="3">
        <v>69</v>
      </c>
      <c r="K473" s="4">
        <f>8700-7102</f>
        <v>1598</v>
      </c>
      <c r="L473" s="5">
        <f>E473+F473+H473+I473+J473+G473+K473</f>
        <v>7964</v>
      </c>
      <c r="U473" s="7">
        <f>N473+O473+P473+Q473+S473+R473+T473</f>
        <v>0</v>
      </c>
      <c r="AD473" s="9">
        <f>W473+X473+Y473+Z473+AA473+AB473+AC473</f>
        <v>0</v>
      </c>
      <c r="AF473" s="34"/>
      <c r="AG473" s="34"/>
      <c r="AH473" s="34"/>
      <c r="AN473" s="9">
        <f>AG473+AH473+AI473+AJ473+AK473+AL473+AM473</f>
        <v>0</v>
      </c>
      <c r="AT473" s="11">
        <f>100+636</f>
        <v>736</v>
      </c>
      <c r="AV473" s="64">
        <f>L473+U473+AD473</f>
        <v>7964</v>
      </c>
      <c r="AW473" s="73">
        <f>AT473+AV473+AU473</f>
        <v>8700</v>
      </c>
      <c r="AY473" s="74">
        <f>AZ473+BA473+BB473+BC473+BD473+BE473</f>
        <v>8700</v>
      </c>
      <c r="BA473" s="15">
        <v>8700</v>
      </c>
      <c r="BL473" s="18">
        <v>5</v>
      </c>
    </row>
    <row r="474" customHeight="1" spans="1:65">
      <c r="A474" s="1" t="s">
        <v>306</v>
      </c>
      <c r="B474" s="33">
        <v>10060038</v>
      </c>
      <c r="C474" s="3">
        <v>318</v>
      </c>
      <c r="L474" s="5">
        <f>E474+F474+H474+I474+J474+G474+K474</f>
        <v>0</v>
      </c>
      <c r="M474" s="3" t="s">
        <v>307</v>
      </c>
      <c r="N474" s="3">
        <v>980</v>
      </c>
      <c r="R474" s="3">
        <v>1428</v>
      </c>
      <c r="T474" s="6">
        <v>724</v>
      </c>
      <c r="U474" s="7">
        <f>N474+O474+P474+Q474+S474+R474+T474</f>
        <v>3132</v>
      </c>
      <c r="AD474" s="9">
        <f>W474+X474+Y474+Z474+AA474+AB474+AC474</f>
        <v>0</v>
      </c>
      <c r="AF474" s="34"/>
      <c r="AG474" s="34"/>
      <c r="AH474" s="34"/>
      <c r="AN474" s="9">
        <f>AG474+AH474+AI474+AJ474+AK474+AL474+AM474</f>
        <v>0</v>
      </c>
      <c r="AT474" s="11">
        <f>100+318</f>
        <v>418</v>
      </c>
      <c r="AV474" s="64">
        <f>L474+U474+AD474</f>
        <v>3132</v>
      </c>
      <c r="AW474" s="73">
        <f>AT474+AV474+AU474</f>
        <v>3550</v>
      </c>
      <c r="AY474" s="74">
        <f>AZ474+BA474+BB474+BC474+BD474+BE474</f>
        <v>3550</v>
      </c>
      <c r="BA474" s="15">
        <v>3550</v>
      </c>
      <c r="BL474" s="18">
        <v>2</v>
      </c>
      <c r="BM474" s="90" t="s">
        <v>130</v>
      </c>
    </row>
    <row r="475" customHeight="1" spans="1:65">
      <c r="A475" s="1" t="s">
        <v>306</v>
      </c>
      <c r="B475" s="33">
        <v>10060039</v>
      </c>
      <c r="C475" s="3">
        <v>310</v>
      </c>
      <c r="D475" s="3" t="s">
        <v>285</v>
      </c>
      <c r="E475" s="3">
        <v>980</v>
      </c>
      <c r="G475" s="3">
        <v>5990</v>
      </c>
      <c r="J475" s="3">
        <v>169</v>
      </c>
      <c r="K475" s="4">
        <f>9200-7905</f>
        <v>1295</v>
      </c>
      <c r="L475" s="5">
        <f>E475+F475+H475+I475+J475+G475+K475</f>
        <v>8434</v>
      </c>
      <c r="U475" s="7">
        <f>N475+O475+P475+Q475+S475+R475+T475</f>
        <v>0</v>
      </c>
      <c r="AD475" s="9">
        <f>W475+X475+Y475+Z475+AA475+AB475+AC475</f>
        <v>0</v>
      </c>
      <c r="AF475" s="34"/>
      <c r="AG475" s="34"/>
      <c r="AH475" s="34"/>
      <c r="AN475" s="9">
        <f>AG475+AH475+AI475+AJ475+AK475+AL475+AM475</f>
        <v>0</v>
      </c>
      <c r="AT475" s="11">
        <f>100+318+49+169+120+10</f>
        <v>766</v>
      </c>
      <c r="AV475" s="64">
        <f>L475+U475+AD475</f>
        <v>8434</v>
      </c>
      <c r="AW475" s="73">
        <f>AT475+AV475+AU475</f>
        <v>9200</v>
      </c>
      <c r="AY475" s="74">
        <f>AZ475+BA475+BB475+BC475+BD475+BE475</f>
        <v>9200</v>
      </c>
      <c r="BA475" s="15">
        <v>9200</v>
      </c>
      <c r="BL475" s="18">
        <v>2</v>
      </c>
      <c r="BM475" s="90" t="s">
        <v>239</v>
      </c>
    </row>
    <row r="476" customHeight="1" spans="1:64">
      <c r="A476" s="1" t="s">
        <v>306</v>
      </c>
      <c r="B476" s="33">
        <v>10060040</v>
      </c>
      <c r="C476" s="3" t="s">
        <v>159</v>
      </c>
      <c r="D476" s="3" t="s">
        <v>308</v>
      </c>
      <c r="E476" s="3">
        <v>1880</v>
      </c>
      <c r="G476" s="3">
        <v>8690</v>
      </c>
      <c r="I476" s="3">
        <v>714</v>
      </c>
      <c r="K476" s="4">
        <f>15800-12120</f>
        <v>3680</v>
      </c>
      <c r="L476" s="5">
        <f>E476+F476+H476+I476+J476+G476+K476</f>
        <v>14964</v>
      </c>
      <c r="U476" s="7">
        <f>N476+O476+P476+Q476+S476+R476+T476</f>
        <v>0</v>
      </c>
      <c r="AD476" s="9">
        <f>W476+X476+Y476+Z476+AA476+AB476+AC476</f>
        <v>0</v>
      </c>
      <c r="AF476" s="34"/>
      <c r="AG476" s="34"/>
      <c r="AH476" s="34"/>
      <c r="AN476" s="9">
        <f>AG476+AH476+AI476+AJ476+AK476+AL476+AM476</f>
        <v>0</v>
      </c>
      <c r="AT476" s="11">
        <f>100+100+636</f>
        <v>836</v>
      </c>
      <c r="AV476" s="64">
        <f>L476+U476+AD476</f>
        <v>14964</v>
      </c>
      <c r="AW476" s="73">
        <f>AT476+AV476+AU476</f>
        <v>15800</v>
      </c>
      <c r="AY476" s="74">
        <f>AZ476+BA476+BB476+BC476+BD476+BE476</f>
        <v>17300</v>
      </c>
      <c r="BA476" s="15">
        <v>15800</v>
      </c>
      <c r="BC476" s="17">
        <v>1460</v>
      </c>
      <c r="BD476" s="17">
        <v>40</v>
      </c>
      <c r="BL476" s="18">
        <v>4</v>
      </c>
    </row>
    <row r="477" customHeight="1" spans="1:65">
      <c r="A477" s="1" t="s">
        <v>306</v>
      </c>
      <c r="B477" s="33">
        <v>10060041</v>
      </c>
      <c r="C477" s="3">
        <v>309</v>
      </c>
      <c r="L477" s="5">
        <f>E477+F477+H477+I477+J477+G477+K477</f>
        <v>0</v>
      </c>
      <c r="M477" s="3" t="s">
        <v>245</v>
      </c>
      <c r="N477" s="3">
        <v>980</v>
      </c>
      <c r="R477" s="3">
        <v>4284</v>
      </c>
      <c r="T477" s="6">
        <v>628</v>
      </c>
      <c r="U477" s="7">
        <f>N477+O477+P477+Q477+S477+R477+T477</f>
        <v>5892</v>
      </c>
      <c r="AD477" s="9">
        <f>W477+X477+Y477+Z477+AA477+AB477+AC477</f>
        <v>0</v>
      </c>
      <c r="AF477" s="34"/>
      <c r="AG477" s="34"/>
      <c r="AH477" s="34"/>
      <c r="AN477" s="9">
        <f>AG477+AH477+AI477+AJ477+AK477+AL477+AM477</f>
        <v>0</v>
      </c>
      <c r="AT477" s="11">
        <f>100+49+159</f>
        <v>308</v>
      </c>
      <c r="AV477" s="64">
        <f>L477+U477+AD477</f>
        <v>5892</v>
      </c>
      <c r="AW477" s="73">
        <f>AT477+AV477+AU477</f>
        <v>6200</v>
      </c>
      <c r="AY477" s="74">
        <f>AZ477+BA477+BB477+BC477+BD477+BE477</f>
        <v>6200</v>
      </c>
      <c r="BA477" s="15">
        <v>6200</v>
      </c>
      <c r="BL477" s="18">
        <v>2</v>
      </c>
      <c r="BM477" s="90" t="s">
        <v>130</v>
      </c>
    </row>
    <row r="478" customHeight="1" spans="1:64">
      <c r="A478" s="1" t="s">
        <v>306</v>
      </c>
      <c r="B478" s="33">
        <v>10060042</v>
      </c>
      <c r="C478" s="3" t="s">
        <v>120</v>
      </c>
      <c r="D478" s="3" t="s">
        <v>248</v>
      </c>
      <c r="E478" s="3">
        <v>1880</v>
      </c>
      <c r="I478" s="3">
        <v>7632</v>
      </c>
      <c r="J478" s="3">
        <f>336+139+168</f>
        <v>643</v>
      </c>
      <c r="K478" s="4">
        <f>12700-11209</f>
        <v>1491</v>
      </c>
      <c r="L478" s="5">
        <f>E478+F478+H478+I478+J478+G478+K478</f>
        <v>11646</v>
      </c>
      <c r="U478" s="7">
        <f>N478+O478+P478+Q478+S478+R478+T478</f>
        <v>0</v>
      </c>
      <c r="AD478" s="9">
        <f>W478+X478+Y478+Z478+AA478+AB478+AC478</f>
        <v>0</v>
      </c>
      <c r="AF478" s="34"/>
      <c r="AG478" s="34"/>
      <c r="AH478" s="34"/>
      <c r="AN478" s="9">
        <f>AG478+AH478+AI478+AJ478+AK478+AL478+AM478</f>
        <v>0</v>
      </c>
      <c r="AT478" s="11">
        <f>100+954</f>
        <v>1054</v>
      </c>
      <c r="AV478" s="64">
        <f>L478+U478+AD478</f>
        <v>11646</v>
      </c>
      <c r="AW478" s="73">
        <f>AT478+AV478+AU478</f>
        <v>12700</v>
      </c>
      <c r="AY478" s="74">
        <f>AZ478+BA478+BB478+BC478+BD478+BE478</f>
        <v>13400</v>
      </c>
      <c r="BA478" s="15">
        <v>12700</v>
      </c>
      <c r="BC478" s="17">
        <v>680</v>
      </c>
      <c r="BD478" s="17">
        <v>20</v>
      </c>
      <c r="BL478" s="18">
        <v>5</v>
      </c>
    </row>
    <row r="479" customHeight="1" spans="1:65">
      <c r="A479" s="1" t="s">
        <v>306</v>
      </c>
      <c r="B479" s="33">
        <v>10060043</v>
      </c>
      <c r="C479" s="3">
        <v>315</v>
      </c>
      <c r="D479" s="3" t="s">
        <v>309</v>
      </c>
      <c r="E479" s="3">
        <v>980</v>
      </c>
      <c r="I479" s="3">
        <v>2856</v>
      </c>
      <c r="K479" s="4">
        <f>6100-5109</f>
        <v>991</v>
      </c>
      <c r="L479" s="5">
        <f>E479+F479+H479+I479+J479+G479+K479</f>
        <v>4827</v>
      </c>
      <c r="U479" s="7">
        <f>N479+O479+P479+Q479+S479+R479+T479</f>
        <v>0</v>
      </c>
      <c r="AD479" s="9">
        <f>W479+X479+Y479+Z479+AA479+AB479+AC479</f>
        <v>0</v>
      </c>
      <c r="AF479" s="34"/>
      <c r="AG479" s="34"/>
      <c r="AH479" s="34"/>
      <c r="AN479" s="9">
        <f>AG479+AH479+AI479+AJ479+AK479+AL479+AM479</f>
        <v>0</v>
      </c>
      <c r="AT479" s="11">
        <f>100+1113+60</f>
        <v>1273</v>
      </c>
      <c r="AV479" s="64">
        <f>L479+U479+AD479</f>
        <v>4827</v>
      </c>
      <c r="AW479" s="73">
        <f>AT479+AV479+AU479</f>
        <v>6100</v>
      </c>
      <c r="AY479" s="74">
        <f>AZ479+BA479+BB479+BC479+BD479+BE479</f>
        <v>6100</v>
      </c>
      <c r="BA479" s="15">
        <v>6100</v>
      </c>
      <c r="BL479" s="18">
        <v>4</v>
      </c>
      <c r="BM479" s="90" t="s">
        <v>174</v>
      </c>
    </row>
    <row r="480" customHeight="1" spans="1:64">
      <c r="A480" s="1" t="s">
        <v>306</v>
      </c>
      <c r="B480" s="33">
        <v>10060044</v>
      </c>
      <c r="C480" s="3">
        <v>308</v>
      </c>
      <c r="D480" s="3" t="s">
        <v>202</v>
      </c>
      <c r="E480" s="3">
        <v>980</v>
      </c>
      <c r="I480" s="3">
        <v>3096</v>
      </c>
      <c r="K480" s="4">
        <f>5400-4494</f>
        <v>906</v>
      </c>
      <c r="L480" s="5">
        <f>E480+F480+H480+I480+J480+G480+K480</f>
        <v>4982</v>
      </c>
      <c r="U480" s="7">
        <f>N480+O480+P480+Q480+S480+R480+T480</f>
        <v>0</v>
      </c>
      <c r="AD480" s="9">
        <f>W480+X480+Y480+Z480+AA480+AB480+AC480</f>
        <v>0</v>
      </c>
      <c r="AF480" s="34"/>
      <c r="AG480" s="34"/>
      <c r="AH480" s="34"/>
      <c r="AN480" s="9">
        <f>AG480+AH480+AI480+AJ480+AK480+AL480+AM480</f>
        <v>0</v>
      </c>
      <c r="AT480" s="11">
        <f>100+318</f>
        <v>418</v>
      </c>
      <c r="AV480" s="64">
        <f>L480+U480+AD480</f>
        <v>4982</v>
      </c>
      <c r="AW480" s="73">
        <f>AT480+AV480+AU480</f>
        <v>5400</v>
      </c>
      <c r="AY480" s="74">
        <f>AZ480+BA480+BB480+BC480+BD480+BE480</f>
        <v>6400</v>
      </c>
      <c r="AZ480" s="14">
        <v>5400</v>
      </c>
      <c r="BC480" s="17">
        <v>970</v>
      </c>
      <c r="BD480" s="17">
        <v>30</v>
      </c>
      <c r="BL480" s="18">
        <v>2</v>
      </c>
    </row>
    <row r="481" customHeight="1" spans="1:65">
      <c r="A481" s="1" t="s">
        <v>306</v>
      </c>
      <c r="B481" s="33">
        <v>10060045</v>
      </c>
      <c r="C481" s="34" t="s">
        <v>89</v>
      </c>
      <c r="D481" s="3" t="s">
        <v>85</v>
      </c>
      <c r="E481" s="3">
        <v>2180</v>
      </c>
      <c r="I481" s="3">
        <v>7632</v>
      </c>
      <c r="J481" s="3">
        <v>1419</v>
      </c>
      <c r="K481" s="4">
        <f>16650-13738</f>
        <v>2912</v>
      </c>
      <c r="L481" s="5">
        <f>E481+F481+H481+I481+J481+G481+K481</f>
        <v>14143</v>
      </c>
      <c r="U481" s="7">
        <f>N481+O481+P481+Q481+S481+R481+T481</f>
        <v>0</v>
      </c>
      <c r="AD481" s="9">
        <f>W481+X481+Y481+Z481+AA481+AB481+AC481</f>
        <v>0</v>
      </c>
      <c r="AF481" s="34"/>
      <c r="AG481" s="34"/>
      <c r="AH481" s="34"/>
      <c r="AN481" s="9">
        <f>AG481+AH481+AI481+AJ481+AK481+AL481+AM481</f>
        <v>0</v>
      </c>
      <c r="AT481" s="11">
        <f>100+169+1352+60</f>
        <v>1681</v>
      </c>
      <c r="AU481" s="11">
        <f>398+428</f>
        <v>826</v>
      </c>
      <c r="AV481" s="64">
        <f>L481+U481+AD481</f>
        <v>14143</v>
      </c>
      <c r="AW481" s="73">
        <f>AT481+AV481+AU481</f>
        <v>16650</v>
      </c>
      <c r="AY481" s="74">
        <f>AZ481+BA481+BB481+BC481+BD481+BE481</f>
        <v>16650</v>
      </c>
      <c r="AZ481" s="14">
        <v>16650</v>
      </c>
      <c r="BL481" s="18">
        <v>3</v>
      </c>
      <c r="BM481" s="90" t="s">
        <v>244</v>
      </c>
    </row>
    <row r="482" customHeight="1" spans="1:65">
      <c r="A482" s="1" t="s">
        <v>306</v>
      </c>
      <c r="B482" s="33">
        <v>10060046</v>
      </c>
      <c r="C482" s="3">
        <v>311</v>
      </c>
      <c r="L482" s="5">
        <f>E482+F482+H482+I482+J482+G482+K482</f>
        <v>0</v>
      </c>
      <c r="M482" s="3" t="s">
        <v>234</v>
      </c>
      <c r="N482" s="3">
        <v>980</v>
      </c>
      <c r="R482" s="3">
        <v>4611</v>
      </c>
      <c r="T482" s="6">
        <v>632</v>
      </c>
      <c r="U482" s="7">
        <f>N482+O482+P482+Q482+S482+R482+T482</f>
        <v>6223</v>
      </c>
      <c r="AD482" s="9">
        <f>W482+X482+Y482+Z482+AA482+AB482+AC482</f>
        <v>0</v>
      </c>
      <c r="AF482" s="34"/>
      <c r="AG482" s="34"/>
      <c r="AH482" s="34"/>
      <c r="AN482" s="9">
        <f>AG482+AH482+AI482+AJ482+AK482+AL482+AM482</f>
        <v>0</v>
      </c>
      <c r="AT482" s="11">
        <f>100+477</f>
        <v>577</v>
      </c>
      <c r="AV482" s="64">
        <f>L482+U482+AD482</f>
        <v>6223</v>
      </c>
      <c r="AW482" s="73">
        <f>AT482+AV482+AU482</f>
        <v>6800</v>
      </c>
      <c r="AY482" s="74">
        <f>AZ482+BA482+BB482+BC482+BD482+BE482</f>
        <v>6800</v>
      </c>
      <c r="BA482" s="15">
        <v>6800</v>
      </c>
      <c r="BL482" s="18">
        <v>2</v>
      </c>
      <c r="BM482" s="90" t="s">
        <v>174</v>
      </c>
    </row>
    <row r="483" customHeight="1" spans="1:65">
      <c r="A483" s="1" t="s">
        <v>306</v>
      </c>
      <c r="B483" s="33">
        <v>10060047</v>
      </c>
      <c r="C483" s="3" t="s">
        <v>44</v>
      </c>
      <c r="D483" s="3" t="s">
        <v>119</v>
      </c>
      <c r="E483" s="3">
        <v>1880</v>
      </c>
      <c r="G483" s="3">
        <f>17970-3290</f>
        <v>14680</v>
      </c>
      <c r="J483" s="3">
        <f>207+99+168+139+169+336</f>
        <v>1118</v>
      </c>
      <c r="K483" s="4">
        <f>22000-18673</f>
        <v>3327</v>
      </c>
      <c r="L483" s="5">
        <f>E483+F483+H483+I483+J483+G483+K483</f>
        <v>21005</v>
      </c>
      <c r="U483" s="7">
        <f>N483+O483+P483+Q483+S483+R483+T483</f>
        <v>0</v>
      </c>
      <c r="AD483" s="9">
        <f>W483+X483+Y483+Z483+AA483+AB483+AC483</f>
        <v>0</v>
      </c>
      <c r="AF483" s="34"/>
      <c r="AG483" s="34"/>
      <c r="AH483" s="34"/>
      <c r="AN483" s="9">
        <f>AG483+AH483+AI483+AJ483+AK483+AL483+AM483</f>
        <v>0</v>
      </c>
      <c r="AT483" s="11">
        <f>100+49+100+110+636</f>
        <v>995</v>
      </c>
      <c r="AV483" s="64">
        <f>L483+U483+AD483</f>
        <v>21005</v>
      </c>
      <c r="AW483" s="73">
        <f>AT483+AV483+AU483</f>
        <v>22000</v>
      </c>
      <c r="AY483" s="74">
        <f>AZ483+BA483+BB483+BC483+BD483+BE483</f>
        <v>22000</v>
      </c>
      <c r="BA483" s="15">
        <v>22000</v>
      </c>
      <c r="BL483" s="18">
        <v>7</v>
      </c>
      <c r="BM483" s="90" t="s">
        <v>244</v>
      </c>
    </row>
    <row r="484" customHeight="1" spans="1:65">
      <c r="A484" s="1" t="s">
        <v>306</v>
      </c>
      <c r="B484" s="33">
        <v>10060048</v>
      </c>
      <c r="C484" s="34" t="s">
        <v>62</v>
      </c>
      <c r="D484" s="3" t="s">
        <v>51</v>
      </c>
      <c r="E484" s="3">
        <v>2180</v>
      </c>
      <c r="I484" s="3">
        <v>6545</v>
      </c>
      <c r="K484" s="4">
        <f>11000-9839</f>
        <v>1161</v>
      </c>
      <c r="L484" s="5">
        <f>E484+F484+H484+I484+J484+G484+K484</f>
        <v>9886</v>
      </c>
      <c r="U484" s="7">
        <f>N484+O484+P484+Q484+S484+R484+T484</f>
        <v>0</v>
      </c>
      <c r="AD484" s="9">
        <f>W484+X484+Y484+Z484+AA484+AB484+AC484</f>
        <v>0</v>
      </c>
      <c r="AF484" s="34"/>
      <c r="AG484" s="34"/>
      <c r="AH484" s="34"/>
      <c r="AN484" s="9">
        <f>AG484+AH484+AI484+AJ484+AK484+AL484+AM484</f>
        <v>0</v>
      </c>
      <c r="AT484" s="11">
        <f>100+1014</f>
        <v>1114</v>
      </c>
      <c r="AV484" s="64">
        <f>L484+U484+AD484</f>
        <v>9886</v>
      </c>
      <c r="AW484" s="73">
        <f>AT484+AV484+AU484</f>
        <v>11000</v>
      </c>
      <c r="AY484" s="74">
        <f>AZ484+BA484+BB484+BC484+BD484+BE484</f>
        <v>11000</v>
      </c>
      <c r="BA484" s="15">
        <v>11000</v>
      </c>
      <c r="BL484" s="18">
        <v>3</v>
      </c>
      <c r="BM484" s="90" t="s">
        <v>130</v>
      </c>
    </row>
    <row r="485" customHeight="1" spans="1:65">
      <c r="A485" s="1" t="s">
        <v>306</v>
      </c>
      <c r="B485" s="33">
        <v>10060049</v>
      </c>
      <c r="C485" s="34" t="s">
        <v>65</v>
      </c>
      <c r="D485" s="3" t="s">
        <v>198</v>
      </c>
      <c r="E485" s="3">
        <v>2180</v>
      </c>
      <c r="G485" s="3">
        <v>4890</v>
      </c>
      <c r="I485" s="3">
        <v>1908</v>
      </c>
      <c r="K485" s="4">
        <f>11400-9585</f>
        <v>1815</v>
      </c>
      <c r="L485" s="5">
        <f>E485+F485+H485+I485+J485+G485+K485</f>
        <v>10793</v>
      </c>
      <c r="U485" s="7">
        <f>N485+O485+P485+Q485+S485+R485+T485</f>
        <v>0</v>
      </c>
      <c r="AD485" s="9">
        <f>W485+X485+Y485+Z485+AA485+AB485+AC485</f>
        <v>0</v>
      </c>
      <c r="AF485" s="34"/>
      <c r="AG485" s="34"/>
      <c r="AH485" s="34"/>
      <c r="AN485" s="9">
        <f>AG485+AH485+AI485+AJ485+AK485+AL485+AM485</f>
        <v>0</v>
      </c>
      <c r="AT485" s="11">
        <f>100+507</f>
        <v>607</v>
      </c>
      <c r="AV485" s="64">
        <f>L485+U485+AD485</f>
        <v>10793</v>
      </c>
      <c r="AW485" s="73">
        <f>AT485+AV485+AU485</f>
        <v>11400</v>
      </c>
      <c r="AY485" s="74">
        <f>AZ485+BA485+BB485+BC485+BD485+BE485</f>
        <v>11400</v>
      </c>
      <c r="BA485" s="15">
        <v>11400</v>
      </c>
      <c r="BL485" s="18">
        <v>3</v>
      </c>
      <c r="BM485" s="90" t="s">
        <v>130</v>
      </c>
    </row>
    <row r="486" customHeight="1" spans="1:65">
      <c r="A486" s="1" t="s">
        <v>306</v>
      </c>
      <c r="B486" s="33">
        <v>10060050</v>
      </c>
      <c r="C486" s="34" t="s">
        <v>54</v>
      </c>
      <c r="L486" s="5">
        <f>E486+F486+H486+I486+J486+G486+K486</f>
        <v>0</v>
      </c>
      <c r="M486" s="3" t="s">
        <v>310</v>
      </c>
      <c r="T486" s="6">
        <v>10196</v>
      </c>
      <c r="U486" s="7">
        <f>N486+O486+P486+Q486+S486+R486+T486</f>
        <v>10196</v>
      </c>
      <c r="AD486" s="9">
        <f>W486+X486+Y486+Z486+AA486+AB486+AC486</f>
        <v>0</v>
      </c>
      <c r="AF486" s="34"/>
      <c r="AG486" s="34"/>
      <c r="AH486" s="34"/>
      <c r="AN486" s="9">
        <f>AG486+AH486+AI486+AJ486+AK486+AL486+AM486</f>
        <v>0</v>
      </c>
      <c r="AT486" s="11">
        <f>100+130+845+29</f>
        <v>1104</v>
      </c>
      <c r="AV486" s="64">
        <f>L486+U486+AD486</f>
        <v>10196</v>
      </c>
      <c r="AW486" s="73">
        <f>AT486+AV486+AU486</f>
        <v>11300</v>
      </c>
      <c r="AX486" s="13" t="s">
        <v>209</v>
      </c>
      <c r="AY486" s="74">
        <f>AZ486+BA486+BB486+BC486+BD486+BE486</f>
        <v>11300</v>
      </c>
      <c r="BB486" s="16">
        <v>11300</v>
      </c>
      <c r="BL486" s="18">
        <v>7</v>
      </c>
      <c r="BM486" s="90" t="s">
        <v>174</v>
      </c>
    </row>
    <row r="487" customHeight="1" spans="1:65">
      <c r="A487" s="1" t="s">
        <v>306</v>
      </c>
      <c r="B487" s="33">
        <v>10060051</v>
      </c>
      <c r="C487" s="34" t="s">
        <v>67</v>
      </c>
      <c r="L487" s="5">
        <f>E487+F487+H487+I487+J487+G487+K487</f>
        <v>0</v>
      </c>
      <c r="M487" s="3" t="s">
        <v>265</v>
      </c>
      <c r="N487" s="3">
        <v>2180</v>
      </c>
      <c r="P487" s="3">
        <v>17780</v>
      </c>
      <c r="T487" s="6">
        <v>3779</v>
      </c>
      <c r="U487" s="7">
        <f>N487+O487+P487+Q487+S487+R487+T487</f>
        <v>23739</v>
      </c>
      <c r="AD487" s="9">
        <f>W487+X487+Y487+Z487+AA487+AB487+AC487</f>
        <v>0</v>
      </c>
      <c r="AF487" s="34"/>
      <c r="AG487" s="34"/>
      <c r="AH487" s="34"/>
      <c r="AN487" s="9">
        <f>AG487+AH487+AI487+AJ487+AK487+AL487+AM487</f>
        <v>0</v>
      </c>
      <c r="AT487" s="11">
        <f>100+1014+147</f>
        <v>1261</v>
      </c>
      <c r="AV487" s="64">
        <f>L487+U487+AD487</f>
        <v>23739</v>
      </c>
      <c r="AW487" s="73">
        <f>AT487+AV487+AU487</f>
        <v>25000</v>
      </c>
      <c r="AY487" s="74">
        <f>AZ487+BA487+BB487+BC487+BD487+BE487</f>
        <v>25000</v>
      </c>
      <c r="BA487" s="15">
        <v>25000</v>
      </c>
      <c r="BL487" s="18">
        <v>5</v>
      </c>
      <c r="BM487" s="90" t="s">
        <v>174</v>
      </c>
    </row>
    <row r="488" customHeight="1" spans="1:65">
      <c r="A488" s="1" t="s">
        <v>306</v>
      </c>
      <c r="B488" s="33">
        <v>10060052</v>
      </c>
      <c r="C488" s="34" t="s">
        <v>78</v>
      </c>
      <c r="D488" s="3" t="s">
        <v>231</v>
      </c>
      <c r="E488" s="3">
        <v>2580</v>
      </c>
      <c r="I488" s="3">
        <v>13674</v>
      </c>
      <c r="K488" s="4">
        <f>19900-17666</f>
        <v>2234</v>
      </c>
      <c r="L488" s="5">
        <f>E488+F488+H488+I488+J488+G488+K488</f>
        <v>18488</v>
      </c>
      <c r="U488" s="7">
        <f>N488+O488+P488+Q488+S488+R488+T488</f>
        <v>0</v>
      </c>
      <c r="AD488" s="9">
        <f>W488+X488+Y488+Z488+AA488+AB488+AC488</f>
        <v>0</v>
      </c>
      <c r="AF488" s="34"/>
      <c r="AG488" s="34"/>
      <c r="AH488" s="34"/>
      <c r="AN488" s="9">
        <f>AG488+AH488+AI488+AJ488+AK488+AL488+AM488</f>
        <v>0</v>
      </c>
      <c r="AT488" s="11">
        <f>100+1183+29+100</f>
        <v>1412</v>
      </c>
      <c r="AV488" s="64">
        <f>L488+U488+AD488</f>
        <v>18488</v>
      </c>
      <c r="AW488" s="73">
        <f>AT488+AV488+AU488</f>
        <v>19900</v>
      </c>
      <c r="AY488" s="74">
        <f>AZ488+BA488+BB488+BC488+BD488+BE488</f>
        <v>19900</v>
      </c>
      <c r="BA488" s="15">
        <v>19900</v>
      </c>
      <c r="BL488" s="18">
        <v>8</v>
      </c>
      <c r="BM488" s="90" t="s">
        <v>174</v>
      </c>
    </row>
    <row r="489" customHeight="1" spans="1:65">
      <c r="A489" s="1" t="s">
        <v>306</v>
      </c>
      <c r="B489" s="33">
        <v>10060053</v>
      </c>
      <c r="C489" s="34" t="s">
        <v>84</v>
      </c>
      <c r="D489" s="3" t="s">
        <v>51</v>
      </c>
      <c r="E489" s="3">
        <v>2580</v>
      </c>
      <c r="G489" s="3">
        <f>4890+9190</f>
        <v>14080</v>
      </c>
      <c r="K489" s="4">
        <f>20400-17654</f>
        <v>2746</v>
      </c>
      <c r="L489" s="5">
        <f>E489+F489+H489+I489+J489+G489+K489</f>
        <v>19406</v>
      </c>
      <c r="U489" s="7">
        <f>N489+O489+P489+Q489+S489+R489+T489</f>
        <v>0</v>
      </c>
      <c r="AD489" s="9">
        <f>W489+X489+Y489+Z489+AA489+AB489+AC489</f>
        <v>0</v>
      </c>
      <c r="AF489" s="34"/>
      <c r="AG489" s="34"/>
      <c r="AH489" s="34"/>
      <c r="AN489" s="9">
        <f>AG489+AH489+AI489+AJ489+AK489+AL489+AM489</f>
        <v>0</v>
      </c>
      <c r="AT489" s="11">
        <f>100+845+49</f>
        <v>994</v>
      </c>
      <c r="AV489" s="64">
        <f>L489+U489+AD489</f>
        <v>19406</v>
      </c>
      <c r="AW489" s="73">
        <f>AT489+AV489+AU489</f>
        <v>20400</v>
      </c>
      <c r="AY489" s="74">
        <f>AZ489+BA489+BB489+BC489+BD489+BE489</f>
        <v>4450</v>
      </c>
      <c r="BA489" s="15">
        <v>4450</v>
      </c>
      <c r="BG489" s="10">
        <v>15950</v>
      </c>
      <c r="BL489" s="18">
        <v>5</v>
      </c>
      <c r="BM489" s="90" t="s">
        <v>130</v>
      </c>
    </row>
    <row r="490" customHeight="1" spans="1:65">
      <c r="A490" s="1" t="s">
        <v>306</v>
      </c>
      <c r="B490" s="33">
        <v>10060054</v>
      </c>
      <c r="C490" s="34" t="s">
        <v>94</v>
      </c>
      <c r="D490" s="3" t="s">
        <v>75</v>
      </c>
      <c r="E490" s="3">
        <v>1680</v>
      </c>
      <c r="G490" s="3">
        <f>4690+8890</f>
        <v>13580</v>
      </c>
      <c r="J490" s="3">
        <v>129</v>
      </c>
      <c r="K490" s="4">
        <f>18400-15885</f>
        <v>2515</v>
      </c>
      <c r="L490" s="5">
        <f>E490+F490+H490+I490+J490+G490+K490</f>
        <v>17904</v>
      </c>
      <c r="U490" s="7">
        <f>N490+O490+P490+Q490+S490+R490+T490</f>
        <v>0</v>
      </c>
      <c r="AD490" s="9">
        <f>W490+X490+Y490+Z490+AA490+AB490+AC490</f>
        <v>0</v>
      </c>
      <c r="AF490" s="34"/>
      <c r="AG490" s="34"/>
      <c r="AH490" s="34"/>
      <c r="AN490" s="9">
        <f>AG490+AH490+AI490+AJ490+AK490+AL490+AM490</f>
        <v>0</v>
      </c>
      <c r="AT490" s="11">
        <f>100+338+58</f>
        <v>496</v>
      </c>
      <c r="AV490" s="64">
        <f>L490+U490+AD490</f>
        <v>17904</v>
      </c>
      <c r="AW490" s="73">
        <f>AT490+AV490+AU490</f>
        <v>18400</v>
      </c>
      <c r="AY490" s="74">
        <f>AZ490+BA490+BB490+BC490+BD490+BE490</f>
        <v>18400</v>
      </c>
      <c r="BA490" s="15">
        <v>18400</v>
      </c>
      <c r="BL490" s="18">
        <v>3</v>
      </c>
      <c r="BM490" s="90" t="s">
        <v>174</v>
      </c>
    </row>
    <row r="491" customHeight="1" spans="1:65">
      <c r="A491" s="1" t="s">
        <v>306</v>
      </c>
      <c r="B491" s="33">
        <v>10060055</v>
      </c>
      <c r="C491" s="3" t="s">
        <v>56</v>
      </c>
      <c r="D491" s="3" t="s">
        <v>85</v>
      </c>
      <c r="E491" s="3">
        <v>3180</v>
      </c>
      <c r="F491" s="3">
        <v>69500</v>
      </c>
      <c r="I491" s="3">
        <v>3498</v>
      </c>
      <c r="J491" s="3">
        <f>69+129+129+168+169</f>
        <v>664</v>
      </c>
      <c r="K491" s="4">
        <f>94170-79319</f>
        <v>14851</v>
      </c>
      <c r="L491" s="5">
        <f>E491+F491+H491+I491+J491+G491+K491</f>
        <v>91693</v>
      </c>
      <c r="U491" s="7">
        <f>N491+O491+P491+Q491+S491+R491+T491</f>
        <v>0</v>
      </c>
      <c r="AD491" s="9">
        <f>W491+X491+Y491+Z491+AA491+AB491+AC491</f>
        <v>0</v>
      </c>
      <c r="AF491" s="34"/>
      <c r="AG491" s="34"/>
      <c r="AH491" s="34"/>
      <c r="AN491" s="9">
        <f>AG491+AH491+AI491+AJ491+AK491+AL491+AM491</f>
        <v>0</v>
      </c>
      <c r="AT491" s="11">
        <f>100+1183+110+200+58</f>
        <v>1651</v>
      </c>
      <c r="AU491" s="11">
        <f>398+428</f>
        <v>826</v>
      </c>
      <c r="AV491" s="64">
        <f>L491+U491+AD491</f>
        <v>91693</v>
      </c>
      <c r="AW491" s="73">
        <f>AT491+AV491+AU491</f>
        <v>94170</v>
      </c>
      <c r="AY491" s="74">
        <f>AZ491+BA491+BB491+BC491+BD491+BE491</f>
        <v>94570</v>
      </c>
      <c r="AZ491" s="14">
        <v>94170</v>
      </c>
      <c r="BC491" s="17">
        <v>390</v>
      </c>
      <c r="BD491" s="17">
        <v>10</v>
      </c>
      <c r="BL491" s="18">
        <v>20</v>
      </c>
      <c r="BM491" s="90" t="s">
        <v>174</v>
      </c>
    </row>
    <row r="492" customHeight="1" spans="1:64">
      <c r="A492" s="1" t="s">
        <v>306</v>
      </c>
      <c r="B492" s="33">
        <v>10060056</v>
      </c>
      <c r="C492" s="34" t="s">
        <v>59</v>
      </c>
      <c r="D492" s="34" t="s">
        <v>247</v>
      </c>
      <c r="E492" s="3">
        <v>2180</v>
      </c>
      <c r="I492" s="3">
        <v>11607</v>
      </c>
      <c r="J492" s="3">
        <f>129+995+129+129+169+169+169+169</f>
        <v>2058</v>
      </c>
      <c r="K492" s="4">
        <f>21840-17528</f>
        <v>4312</v>
      </c>
      <c r="L492" s="5">
        <f>E492+F492+H492+I492+J492+G492+K492</f>
        <v>20157</v>
      </c>
      <c r="U492" s="7">
        <f>N492+O492+P492+Q492+S492+R492+T492</f>
        <v>0</v>
      </c>
      <c r="AD492" s="9">
        <f>W492+X492+Y492+Z492+AA492+AB492+AC492</f>
        <v>0</v>
      </c>
      <c r="AF492" s="34"/>
      <c r="AG492" s="34"/>
      <c r="AH492" s="34"/>
      <c r="AN492" s="9">
        <f>AG492+AH492+AI492+AJ492+AK492+AL492+AM492</f>
        <v>0</v>
      </c>
      <c r="AT492" s="11">
        <f>100+169+1014+300+100</f>
        <v>1683</v>
      </c>
      <c r="AV492" s="64">
        <f>L492+U492+AD492</f>
        <v>20157</v>
      </c>
      <c r="AW492" s="73">
        <f>AT492+AV492+AU492</f>
        <v>21840</v>
      </c>
      <c r="AY492" s="74">
        <f>AZ492+BA492+BB492+BC492+BD492+BE492</f>
        <v>22105</v>
      </c>
      <c r="AZ492" s="14">
        <v>21840</v>
      </c>
      <c r="BE492" s="17">
        <f>85+160+20</f>
        <v>265</v>
      </c>
      <c r="BL492" s="18">
        <v>8</v>
      </c>
    </row>
    <row r="493" customHeight="1" spans="1:65">
      <c r="A493" s="1" t="s">
        <v>306</v>
      </c>
      <c r="B493" s="33">
        <v>10060057</v>
      </c>
      <c r="C493" s="3" t="s">
        <v>97</v>
      </c>
      <c r="D493" s="3" t="s">
        <v>309</v>
      </c>
      <c r="E493" s="3">
        <v>2180</v>
      </c>
      <c r="G493" s="3">
        <v>18380</v>
      </c>
      <c r="K493" s="4">
        <f>24400-21674</f>
        <v>2726</v>
      </c>
      <c r="L493" s="5">
        <f>E493+F493+H493+I493+J493+G493+K493</f>
        <v>23286</v>
      </c>
      <c r="U493" s="7">
        <f>N493+O493+P493+Q493+S493+R493+T493</f>
        <v>0</v>
      </c>
      <c r="AD493" s="9">
        <f>W493+X493+Y493+Z493+AA493+AB493+AC493</f>
        <v>0</v>
      </c>
      <c r="AF493" s="34"/>
      <c r="AG493" s="34"/>
      <c r="AH493" s="34"/>
      <c r="AN493" s="9">
        <f>AG493+AH493+AI493+AJ493+AK493+AL493+AM493</f>
        <v>0</v>
      </c>
      <c r="AT493" s="11">
        <f>100+1014</f>
        <v>1114</v>
      </c>
      <c r="AV493" s="64">
        <f>L493+U493+AD493</f>
        <v>23286</v>
      </c>
      <c r="AW493" s="73">
        <f>AT493+AV493+AU493</f>
        <v>24400</v>
      </c>
      <c r="AY493" s="74">
        <f>AZ493+BA493+BB493+BC493+BD493+BE493</f>
        <v>24400</v>
      </c>
      <c r="BA493" s="15">
        <v>24400</v>
      </c>
      <c r="BL493" s="18">
        <v>8</v>
      </c>
      <c r="BM493" s="90" t="s">
        <v>174</v>
      </c>
    </row>
    <row r="494" customHeight="1" spans="1:64">
      <c r="A494" s="1" t="s">
        <v>311</v>
      </c>
      <c r="B494" s="33">
        <v>10060058</v>
      </c>
      <c r="C494" s="3">
        <v>307</v>
      </c>
      <c r="D494" s="3" t="s">
        <v>110</v>
      </c>
      <c r="E494" s="3">
        <v>980</v>
      </c>
      <c r="I494" s="3">
        <v>2856</v>
      </c>
      <c r="K494" s="4">
        <f>5300-4572</f>
        <v>728</v>
      </c>
      <c r="L494" s="5">
        <f>E494+F494+H494+I494+J494+G494+K494</f>
        <v>4564</v>
      </c>
      <c r="U494" s="7">
        <f>N494+O494+P494+Q494+S494+R494+T494</f>
        <v>0</v>
      </c>
      <c r="AD494" s="9">
        <f>W494+X494+Y494+Z494+AA494+AB494+AC494</f>
        <v>0</v>
      </c>
      <c r="AF494" s="34"/>
      <c r="AG494" s="34"/>
      <c r="AH494" s="34"/>
      <c r="AN494" s="9">
        <f>AG494+AH494+AI494+AJ494+AK494+AL494+AM494</f>
        <v>0</v>
      </c>
      <c r="AT494" s="11">
        <f>100+318+100+49+169</f>
        <v>736</v>
      </c>
      <c r="AV494" s="64">
        <f>L494+U494+AD494</f>
        <v>4564</v>
      </c>
      <c r="AW494" s="73">
        <f>AT494+AV494+AU494</f>
        <v>5300</v>
      </c>
      <c r="AY494" s="74">
        <f>AZ494+BA494+BB494+BC494+BD494+BE494</f>
        <v>5500</v>
      </c>
      <c r="BA494" s="15">
        <v>5300</v>
      </c>
      <c r="BC494" s="17">
        <v>200</v>
      </c>
      <c r="BL494" s="18">
        <v>2</v>
      </c>
    </row>
    <row r="495" customHeight="1" spans="1:65">
      <c r="A495" s="1" t="s">
        <v>311</v>
      </c>
      <c r="B495" s="33">
        <v>10060059</v>
      </c>
      <c r="C495" s="3">
        <v>318</v>
      </c>
      <c r="D495" s="3" t="s">
        <v>273</v>
      </c>
      <c r="E495" s="3">
        <v>980</v>
      </c>
      <c r="G495" s="3">
        <v>7990</v>
      </c>
      <c r="K495" s="4">
        <f>11850-9795</f>
        <v>2055</v>
      </c>
      <c r="L495" s="5">
        <f>E495+F495+H495+I495+J495+G495+K495</f>
        <v>11025</v>
      </c>
      <c r="U495" s="7">
        <f>N495+O495+P495+Q495+S495+R495+T495</f>
        <v>0</v>
      </c>
      <c r="AD495" s="9">
        <f>W495+X495+Y495+Z495+AA495+AB495+AC495</f>
        <v>0</v>
      </c>
      <c r="AF495" s="34"/>
      <c r="AG495" s="34"/>
      <c r="AH495" s="34"/>
      <c r="AN495" s="9">
        <f>AG495+AH495+AI495+AJ495+AK495+AL495+AM495</f>
        <v>0</v>
      </c>
      <c r="AT495" s="11">
        <f>100+636+49+40</f>
        <v>825</v>
      </c>
      <c r="AV495" s="64">
        <f>L495+U495+AD495</f>
        <v>11025</v>
      </c>
      <c r="AW495" s="73">
        <f>AT495+AV495+AU495</f>
        <v>11850</v>
      </c>
      <c r="AY495" s="74">
        <f>AZ495+BA495+BB495+BC495+BD495+BE495</f>
        <v>11850</v>
      </c>
      <c r="AZ495" s="14">
        <v>11850</v>
      </c>
      <c r="BL495" s="18">
        <v>4</v>
      </c>
      <c r="BM495" s="90" t="s">
        <v>244</v>
      </c>
    </row>
    <row r="496" customHeight="1" spans="1:65">
      <c r="A496" s="1" t="s">
        <v>311</v>
      </c>
      <c r="B496" s="33">
        <v>10060060</v>
      </c>
      <c r="C496" s="34" t="s">
        <v>93</v>
      </c>
      <c r="D496" s="3" t="s">
        <v>309</v>
      </c>
      <c r="E496" s="3">
        <v>2180</v>
      </c>
      <c r="G496" s="3">
        <v>14670</v>
      </c>
      <c r="K496" s="4">
        <f>20800-17535</f>
        <v>3265</v>
      </c>
      <c r="L496" s="5">
        <f>E496+F496+H496+I496+J496+G496+K496</f>
        <v>20115</v>
      </c>
      <c r="U496" s="7">
        <f>N496+O496+P496+Q496+S496+R496+T496</f>
        <v>0</v>
      </c>
      <c r="AD496" s="9">
        <f>W496+X496+Y496+Z496+AA496+AB496+AC496</f>
        <v>0</v>
      </c>
      <c r="AF496" s="34"/>
      <c r="AG496" s="34"/>
      <c r="AH496" s="34"/>
      <c r="AN496" s="9">
        <f>AG496+AH496+AI496+AJ496+AK496+AL496+AM496</f>
        <v>0</v>
      </c>
      <c r="AT496" s="11">
        <f>100+49+29+507</f>
        <v>685</v>
      </c>
      <c r="AV496" s="64">
        <f>L496+U496+AD496</f>
        <v>20115</v>
      </c>
      <c r="AW496" s="73">
        <f>AT496+AV496+AU496</f>
        <v>20800</v>
      </c>
      <c r="AY496" s="74">
        <f>AZ496+BA496+BB496+BC496+BD496+BE496</f>
        <v>20800</v>
      </c>
      <c r="BA496" s="15">
        <v>20800</v>
      </c>
      <c r="BL496" s="18">
        <v>3</v>
      </c>
      <c r="BM496" s="90" t="s">
        <v>174</v>
      </c>
    </row>
    <row r="497" customHeight="1" spans="1:65">
      <c r="A497" s="1" t="s">
        <v>311</v>
      </c>
      <c r="B497" s="33">
        <v>10060061</v>
      </c>
      <c r="C497" s="3" t="s">
        <v>192</v>
      </c>
      <c r="D497" s="3" t="s">
        <v>186</v>
      </c>
      <c r="E497" s="3">
        <v>1880</v>
      </c>
      <c r="I497" s="3">
        <v>7632</v>
      </c>
      <c r="K497" s="4">
        <f>12560-10566</f>
        <v>1994</v>
      </c>
      <c r="L497" s="5">
        <f>E497+F497+H497+I497+J497+G497+K497</f>
        <v>11506</v>
      </c>
      <c r="U497" s="7">
        <f>N497+O497+P497+Q497+S497+R497+T497</f>
        <v>0</v>
      </c>
      <c r="AD497" s="9">
        <f>W497+X497+Y497+Z497+AA497+AB497+AC497</f>
        <v>0</v>
      </c>
      <c r="AF497" s="34"/>
      <c r="AG497" s="34"/>
      <c r="AH497" s="34"/>
      <c r="AN497" s="9">
        <f>AG497+AH497+AI497+AJ497+AK497+AL497+AM497</f>
        <v>0</v>
      </c>
      <c r="AT497" s="11">
        <f>100+954</f>
        <v>1054</v>
      </c>
      <c r="AV497" s="64">
        <f>L497+U497+AD497</f>
        <v>11506</v>
      </c>
      <c r="AW497" s="73">
        <f>AT497+AV497+AU497</f>
        <v>12560</v>
      </c>
      <c r="AY497" s="74">
        <f>AZ497+BA497+BB497+BC497+BD497+BE497</f>
        <v>12560</v>
      </c>
      <c r="AZ497" s="14">
        <v>12560</v>
      </c>
      <c r="BL497" s="18">
        <v>2</v>
      </c>
      <c r="BM497" s="90" t="s">
        <v>174</v>
      </c>
    </row>
    <row r="498" customHeight="1" spans="1:65">
      <c r="A498" s="1" t="s">
        <v>311</v>
      </c>
      <c r="B498" s="33">
        <v>10060062</v>
      </c>
      <c r="C498" s="3">
        <v>308</v>
      </c>
      <c r="D498" s="3" t="s">
        <v>60</v>
      </c>
      <c r="E498" s="3">
        <v>980</v>
      </c>
      <c r="G498" s="3">
        <v>3290</v>
      </c>
      <c r="K498" s="4">
        <f>5200-4529</f>
        <v>671</v>
      </c>
      <c r="L498" s="5">
        <f>E498+F498+H498+I498+J498+G498+K498</f>
        <v>4941</v>
      </c>
      <c r="U498" s="7">
        <f>N498+O498+P498+Q498+S498+R498+T498</f>
        <v>0</v>
      </c>
      <c r="AD498" s="9">
        <f>W498+X498+Y498+Z498+AA498+AB498+AC498</f>
        <v>0</v>
      </c>
      <c r="AF498" s="34"/>
      <c r="AG498" s="34"/>
      <c r="AH498" s="34"/>
      <c r="AN498" s="9">
        <f>AG498+AH498+AI498+AJ498+AK498+AL498+AM498</f>
        <v>0</v>
      </c>
      <c r="AT498" s="11">
        <f>100+159</f>
        <v>259</v>
      </c>
      <c r="AV498" s="64">
        <f>L498+U498+AD498</f>
        <v>4941</v>
      </c>
      <c r="AW498" s="73">
        <f>AT498+AV498+AU498</f>
        <v>5200</v>
      </c>
      <c r="AY498" s="74">
        <f>AZ498+BA498+BB498+BC498+BD498+BE498</f>
        <v>5200</v>
      </c>
      <c r="AZ498" s="14">
        <v>5200</v>
      </c>
      <c r="BL498" s="18">
        <v>1</v>
      </c>
      <c r="BM498" s="90" t="s">
        <v>254</v>
      </c>
    </row>
    <row r="499" customHeight="1" spans="1:65">
      <c r="A499" s="1" t="s">
        <v>311</v>
      </c>
      <c r="B499" s="33">
        <v>10060063</v>
      </c>
      <c r="C499" s="3" t="s">
        <v>70</v>
      </c>
      <c r="D499" s="3" t="s">
        <v>137</v>
      </c>
      <c r="E499" s="3">
        <v>1880</v>
      </c>
      <c r="I499" s="3">
        <f>2856+1785</f>
        <v>4641</v>
      </c>
      <c r="K499" s="4">
        <f>7800-6780</f>
        <v>1020</v>
      </c>
      <c r="L499" s="5">
        <f>E499+F499+H499+I499+J499+G499+K499</f>
        <v>7541</v>
      </c>
      <c r="U499" s="7">
        <f>N499+O499+P499+Q499+S499+R499+T499</f>
        <v>0</v>
      </c>
      <c r="AD499" s="9">
        <f>W499+X499+Y499+Z499+AA499+AB499+AC499</f>
        <v>0</v>
      </c>
      <c r="AF499" s="34"/>
      <c r="AG499" s="34"/>
      <c r="AH499" s="34"/>
      <c r="AN499" s="9">
        <f>AG499+AH499+AI499+AJ499+AK499+AL499+AM499</f>
        <v>0</v>
      </c>
      <c r="AT499" s="11">
        <f>100+159</f>
        <v>259</v>
      </c>
      <c r="AV499" s="64">
        <f>L499+U499+AD499</f>
        <v>7541</v>
      </c>
      <c r="AW499" s="73">
        <f>AT499+AV499+AU499</f>
        <v>7800</v>
      </c>
      <c r="AY499" s="74">
        <f>AZ499+BA499+BB499+BC499+BD499+BE499</f>
        <v>7800</v>
      </c>
      <c r="BA499" s="15">
        <v>7800</v>
      </c>
      <c r="BL499" s="18">
        <v>5</v>
      </c>
      <c r="BM499" s="90" t="s">
        <v>174</v>
      </c>
    </row>
    <row r="500" customHeight="1" spans="1:64">
      <c r="A500" s="1" t="s">
        <v>311</v>
      </c>
      <c r="B500" s="33">
        <v>10060064</v>
      </c>
      <c r="C500" s="3">
        <v>316</v>
      </c>
      <c r="D500" s="3" t="s">
        <v>186</v>
      </c>
      <c r="E500" s="3">
        <v>980</v>
      </c>
      <c r="I500" s="3">
        <v>2862</v>
      </c>
      <c r="K500" s="4">
        <f>4850-4260</f>
        <v>590</v>
      </c>
      <c r="L500" s="5">
        <f>E500+F500+H500+I500+J500+G500+K500</f>
        <v>4432</v>
      </c>
      <c r="U500" s="7">
        <f>N500+O500+P500+Q500+S500+R500+T500</f>
        <v>0</v>
      </c>
      <c r="AD500" s="9">
        <f>W500+X500+Y500+Z500+AA500+AB500+AC500</f>
        <v>0</v>
      </c>
      <c r="AF500" s="34"/>
      <c r="AG500" s="34"/>
      <c r="AH500" s="34"/>
      <c r="AN500" s="9">
        <f>AG500+AH500+AI500+AJ500+AK500+AL500+AM500</f>
        <v>0</v>
      </c>
      <c r="AT500" s="11">
        <f>100+318</f>
        <v>418</v>
      </c>
      <c r="AV500" s="64">
        <f>L500+U500+AD500</f>
        <v>4432</v>
      </c>
      <c r="AW500" s="73">
        <f>AT500+AV500+AU500</f>
        <v>4850</v>
      </c>
      <c r="AY500" s="74">
        <f>AZ500+BA500+BB500+BC500+BD500+BE500</f>
        <v>4850</v>
      </c>
      <c r="BA500" s="15">
        <v>4850</v>
      </c>
      <c r="BL500" s="18">
        <v>2</v>
      </c>
    </row>
    <row r="501" customHeight="1" spans="1:65">
      <c r="A501" s="1" t="s">
        <v>311</v>
      </c>
      <c r="B501" s="33">
        <v>10060065</v>
      </c>
      <c r="C501" s="3">
        <v>320</v>
      </c>
      <c r="D501" s="3" t="s">
        <v>312</v>
      </c>
      <c r="E501" s="3">
        <v>1299</v>
      </c>
      <c r="G501" s="3">
        <v>4690</v>
      </c>
      <c r="K501" s="4">
        <f>8300-6566</f>
        <v>1734</v>
      </c>
      <c r="L501" s="5">
        <f>E501+F501+H501+I501+J501+G501+K501</f>
        <v>7723</v>
      </c>
      <c r="U501" s="7">
        <f>N501+O501+P501+Q501+S501+R501+T501</f>
        <v>0</v>
      </c>
      <c r="AD501" s="9">
        <f>W501+X501+Y501+Z501+AA501+AB501+AC501</f>
        <v>0</v>
      </c>
      <c r="AF501" s="34"/>
      <c r="AG501" s="34"/>
      <c r="AH501" s="34"/>
      <c r="AN501" s="9">
        <f>AG501+AH501+AI501+AJ501+AK501+AL501+AM501</f>
        <v>0</v>
      </c>
      <c r="AT501" s="11">
        <f>100+477</f>
        <v>577</v>
      </c>
      <c r="AV501" s="64">
        <f>L501+U501+AD501</f>
        <v>7723</v>
      </c>
      <c r="AW501" s="73">
        <f>AT501+AV501+AU501</f>
        <v>8300</v>
      </c>
      <c r="AY501" s="74">
        <f>AZ501+BA501+BB501+BC501+BD501+BE501</f>
        <v>9100</v>
      </c>
      <c r="BA501" s="15">
        <v>8300</v>
      </c>
      <c r="BC501" s="17">
        <v>780</v>
      </c>
      <c r="BD501" s="17">
        <v>20</v>
      </c>
      <c r="BL501" s="18">
        <v>3</v>
      </c>
      <c r="BM501" s="90" t="s">
        <v>254</v>
      </c>
    </row>
    <row r="502" customHeight="1" spans="1:65">
      <c r="A502" s="1" t="s">
        <v>311</v>
      </c>
      <c r="B502" s="33">
        <v>10060066</v>
      </c>
      <c r="C502" s="3">
        <v>315</v>
      </c>
      <c r="D502" s="3" t="s">
        <v>208</v>
      </c>
      <c r="E502" s="3">
        <v>980</v>
      </c>
      <c r="I502" s="3">
        <v>3816</v>
      </c>
      <c r="K502" s="4">
        <f>5900-5263</f>
        <v>637</v>
      </c>
      <c r="L502" s="5">
        <f>E502+F502+H502+I502+J502+G502+K502</f>
        <v>5433</v>
      </c>
      <c r="U502" s="7">
        <f>N502+O502+P502+Q502+S502+R502+T502</f>
        <v>0</v>
      </c>
      <c r="AD502" s="9">
        <f>W502+X502+Y502+Z502+AA502+AB502+AC502</f>
        <v>0</v>
      </c>
      <c r="AF502" s="34"/>
      <c r="AG502" s="34"/>
      <c r="AH502" s="34"/>
      <c r="AN502" s="9">
        <f>AG502+AH502+AI502+AJ502+AK502+AL502+AM502</f>
        <v>0</v>
      </c>
      <c r="AT502" s="11">
        <f>100+318+49</f>
        <v>467</v>
      </c>
      <c r="AV502" s="64">
        <f>L502+U502+AD502</f>
        <v>5433</v>
      </c>
      <c r="AW502" s="73">
        <f>AT502+AV502+AU502</f>
        <v>5900</v>
      </c>
      <c r="AY502" s="74">
        <f>AZ502+BA502+BB502+BC502+BD502+BE502</f>
        <v>5900</v>
      </c>
      <c r="BA502" s="15">
        <v>5900</v>
      </c>
      <c r="BL502" s="18">
        <v>2</v>
      </c>
      <c r="BM502" s="90" t="s">
        <v>254</v>
      </c>
    </row>
    <row r="503" customHeight="1" spans="1:65">
      <c r="A503" s="1" t="s">
        <v>311</v>
      </c>
      <c r="B503" s="33">
        <v>10060067</v>
      </c>
      <c r="C503" s="3">
        <v>306</v>
      </c>
      <c r="L503" s="5">
        <f>E503+F503+H503+I503+J503+G503+K503</f>
        <v>0</v>
      </c>
      <c r="M503" s="3" t="s">
        <v>310</v>
      </c>
      <c r="N503" s="3">
        <v>980</v>
      </c>
      <c r="Q503" s="3">
        <v>4160</v>
      </c>
      <c r="S503" s="3">
        <v>694</v>
      </c>
      <c r="T503" s="6">
        <v>1507</v>
      </c>
      <c r="U503" s="7">
        <f>N503+O503+P503+Q503+S503+R503+T503</f>
        <v>7341</v>
      </c>
      <c r="AD503" s="9">
        <f>W503+X503+Y503+Z503+AA503+AB503+AC503</f>
        <v>0</v>
      </c>
      <c r="AF503" s="34"/>
      <c r="AG503" s="34"/>
      <c r="AH503" s="34"/>
      <c r="AN503" s="9">
        <f>AG503+AH503+AI503+AJ503+AK503+AL503+AM503</f>
        <v>0</v>
      </c>
      <c r="AT503" s="11">
        <f>100+159</f>
        <v>259</v>
      </c>
      <c r="AV503" s="64">
        <f>L503+U503+AD503</f>
        <v>7341</v>
      </c>
      <c r="AW503" s="73">
        <f>AT503+AV503+AU503</f>
        <v>7600</v>
      </c>
      <c r="AX503" s="75" t="s">
        <v>32</v>
      </c>
      <c r="AY503" s="74">
        <f>AZ503+BA503+BB503+BC503+BD503+BE503</f>
        <v>0</v>
      </c>
      <c r="BG503" s="10">
        <v>7600</v>
      </c>
      <c r="BL503" s="18">
        <v>2</v>
      </c>
      <c r="BM503" s="90" t="s">
        <v>130</v>
      </c>
    </row>
    <row r="504" customHeight="1" spans="1:64">
      <c r="A504" s="1" t="s">
        <v>311</v>
      </c>
      <c r="B504" s="33">
        <v>10060068</v>
      </c>
      <c r="C504" s="3">
        <v>311</v>
      </c>
      <c r="D504" s="3" t="s">
        <v>119</v>
      </c>
      <c r="E504" s="3">
        <v>980</v>
      </c>
      <c r="I504" s="3">
        <v>2856</v>
      </c>
      <c r="K504" s="4">
        <f>4950-4244</f>
        <v>706</v>
      </c>
      <c r="L504" s="5">
        <f>E504+F504+H504+I504+J504+G504+K504</f>
        <v>4542</v>
      </c>
      <c r="U504" s="7">
        <f>N504+O504+P504+Q504+S504+R504+T504</f>
        <v>0</v>
      </c>
      <c r="AD504" s="9">
        <f>W504+X504+Y504+Z504+AA504+AB504+AC504</f>
        <v>0</v>
      </c>
      <c r="AF504" s="34"/>
      <c r="AG504" s="34"/>
      <c r="AH504" s="34"/>
      <c r="AN504" s="9">
        <f>AG504+AH504+AI504+AJ504+AK504+AL504+AM504</f>
        <v>0</v>
      </c>
      <c r="AT504" s="11">
        <f>100+159+49+100</f>
        <v>408</v>
      </c>
      <c r="AV504" s="64">
        <f>L504+U504+AD504</f>
        <v>4542</v>
      </c>
      <c r="AW504" s="73">
        <f>AT504+AV504+AU504</f>
        <v>4950</v>
      </c>
      <c r="AY504" s="74">
        <f>AZ504+BA504+BB504+BC504+BD504+BE504</f>
        <v>4950</v>
      </c>
      <c r="BA504" s="15">
        <v>4950</v>
      </c>
      <c r="BL504" s="18">
        <v>8</v>
      </c>
    </row>
    <row r="505" customHeight="1" spans="1:65">
      <c r="A505" s="1" t="s">
        <v>311</v>
      </c>
      <c r="B505" s="33">
        <v>10060069</v>
      </c>
      <c r="C505" s="3">
        <v>310</v>
      </c>
      <c r="D505" s="3" t="s">
        <v>133</v>
      </c>
      <c r="E505" s="3">
        <v>980</v>
      </c>
      <c r="I505" s="3">
        <f>2856+2385</f>
        <v>5241</v>
      </c>
      <c r="J505" s="3">
        <v>69</v>
      </c>
      <c r="K505" s="4">
        <f>7900-7026</f>
        <v>874</v>
      </c>
      <c r="L505" s="5">
        <f>E505+F505+H505+I505+J505+G505+K505</f>
        <v>7164</v>
      </c>
      <c r="U505" s="7">
        <f>N505+O505+P505+Q505+S505+R505+T505</f>
        <v>0</v>
      </c>
      <c r="AD505" s="9">
        <f>W505+X505+Y505+Z505+AA505+AB505+AC505</f>
        <v>0</v>
      </c>
      <c r="AF505" s="34"/>
      <c r="AG505" s="34"/>
      <c r="AH505" s="34"/>
      <c r="AN505" s="9">
        <f>AG505+AH505+AI505+AJ505+AK505+AL505+AM505</f>
        <v>0</v>
      </c>
      <c r="AT505" s="11">
        <f>100+636</f>
        <v>736</v>
      </c>
      <c r="AV505" s="64">
        <f>L505+U505+AD505</f>
        <v>7164</v>
      </c>
      <c r="AW505" s="73">
        <f>AT505+AV505+AU505</f>
        <v>7900</v>
      </c>
      <c r="AY505" s="74">
        <f>AZ505+BA505+BB505+BC505+BD505+BE505</f>
        <v>7900</v>
      </c>
      <c r="BA505" s="15">
        <v>7900</v>
      </c>
      <c r="BL505" s="18">
        <v>4</v>
      </c>
      <c r="BM505" s="90" t="s">
        <v>244</v>
      </c>
    </row>
    <row r="506" customHeight="1" spans="1:65">
      <c r="A506" s="1" t="s">
        <v>311</v>
      </c>
      <c r="B506" s="33">
        <v>10060070</v>
      </c>
      <c r="C506" s="34" t="s">
        <v>48</v>
      </c>
      <c r="D506" s="3" t="s">
        <v>108</v>
      </c>
      <c r="E506" s="3">
        <v>1880</v>
      </c>
      <c r="I506" s="3">
        <f>2544+3816</f>
        <v>6360</v>
      </c>
      <c r="K506" s="4">
        <f>11000-9165</f>
        <v>1835</v>
      </c>
      <c r="L506" s="5">
        <f>E506+F506+H506+I506+J506+G506+K506</f>
        <v>10075</v>
      </c>
      <c r="U506" s="7">
        <f>N506+O506+P506+Q506+S506+R506+T506</f>
        <v>0</v>
      </c>
      <c r="AD506" s="9">
        <f>W506+X506+Y506+Z506+AA506+AB506+AC506</f>
        <v>0</v>
      </c>
      <c r="AF506" s="34"/>
      <c r="AG506" s="34"/>
      <c r="AH506" s="34"/>
      <c r="AN506" s="9">
        <f>AG506+AH506+AI506+AJ506+AK506+AL506+AM506</f>
        <v>0</v>
      </c>
      <c r="AT506" s="11">
        <f>100+795+30</f>
        <v>925</v>
      </c>
      <c r="AV506" s="64">
        <f>L506+U506+AD506</f>
        <v>10075</v>
      </c>
      <c r="AW506" s="73">
        <f>AT506+AV506+AU506</f>
        <v>11000</v>
      </c>
      <c r="AY506" s="74">
        <f>AZ506+BA506+BB506+BC506+BD506+BE506</f>
        <v>11200</v>
      </c>
      <c r="BA506" s="15">
        <v>11000</v>
      </c>
      <c r="BC506" s="17">
        <v>200</v>
      </c>
      <c r="BL506" s="18">
        <v>5</v>
      </c>
      <c r="BM506" s="90" t="s">
        <v>174</v>
      </c>
    </row>
    <row r="507" customHeight="1" spans="1:64">
      <c r="A507" s="1" t="s">
        <v>311</v>
      </c>
      <c r="B507" s="33">
        <v>10060071</v>
      </c>
      <c r="C507" s="3" t="s">
        <v>120</v>
      </c>
      <c r="D507" s="3" t="s">
        <v>137</v>
      </c>
      <c r="E507" s="3">
        <v>1880</v>
      </c>
      <c r="G507" s="3">
        <f>5990+8990</f>
        <v>14980</v>
      </c>
      <c r="K507" s="4">
        <f>22000-18073</f>
        <v>3927</v>
      </c>
      <c r="L507" s="5">
        <f>E507+F507+H507+I507+J507+G507+K507</f>
        <v>20787</v>
      </c>
      <c r="U507" s="7">
        <f>N507+O507+P507+Q507+S507+R507+T507</f>
        <v>0</v>
      </c>
      <c r="AD507" s="9">
        <f>W507+X507+Y507+Z507+AA507+AB507+AC507</f>
        <v>0</v>
      </c>
      <c r="AF507" s="34"/>
      <c r="AG507" s="34"/>
      <c r="AH507" s="34"/>
      <c r="AN507" s="9">
        <f>AG507+AH507+AI507+AJ507+AK507+AL507+AM507</f>
        <v>0</v>
      </c>
      <c r="AT507" s="11">
        <f>100+100+169+49+795</f>
        <v>1213</v>
      </c>
      <c r="AV507" s="64">
        <f>L507+U507+AD507</f>
        <v>20787</v>
      </c>
      <c r="AW507" s="73">
        <f>AT507+AV507+AU507</f>
        <v>22000</v>
      </c>
      <c r="AY507" s="74">
        <f>AZ507+BA507+BB507+BC507+BD507+BE507</f>
        <v>22000</v>
      </c>
      <c r="BA507" s="15">
        <v>22000</v>
      </c>
      <c r="BL507" s="18">
        <v>8</v>
      </c>
    </row>
    <row r="508" customHeight="1" spans="1:65">
      <c r="A508" s="1" t="s">
        <v>311</v>
      </c>
      <c r="B508" s="33">
        <v>10060072</v>
      </c>
      <c r="C508" s="3" t="s">
        <v>44</v>
      </c>
      <c r="D508" s="3" t="s">
        <v>119</v>
      </c>
      <c r="E508" s="3">
        <v>1880</v>
      </c>
      <c r="G508" s="3">
        <v>7380</v>
      </c>
      <c r="K508" s="4">
        <f>12800-10074</f>
        <v>2726</v>
      </c>
      <c r="L508" s="5">
        <f>E508+F508+H508+I508+J508+G508+K508</f>
        <v>11986</v>
      </c>
      <c r="U508" s="7">
        <f>N508+O508+P508+Q508+S508+R508+T508</f>
        <v>0</v>
      </c>
      <c r="AD508" s="9">
        <f>W508+X508+Y508+Z508+AA508+AB508+AC508</f>
        <v>0</v>
      </c>
      <c r="AF508" s="34"/>
      <c r="AG508" s="34"/>
      <c r="AH508" s="34"/>
      <c r="AN508" s="9">
        <f>AG508+AH508+AI508+AJ508+AK508+AL508+AM508</f>
        <v>0</v>
      </c>
      <c r="AT508" s="11">
        <f>100+29+636+49</f>
        <v>814</v>
      </c>
      <c r="AV508" s="64">
        <f>L508+U508+AD508</f>
        <v>11986</v>
      </c>
      <c r="AW508" s="73">
        <f>AT508+AV508+AU508</f>
        <v>12800</v>
      </c>
      <c r="AY508" s="74">
        <f>AZ508+BA508+BB508+BC508+BD508+BE508</f>
        <v>12800</v>
      </c>
      <c r="BA508" s="15">
        <v>12800</v>
      </c>
      <c r="BL508" s="18">
        <v>3</v>
      </c>
      <c r="BM508" s="90" t="s">
        <v>130</v>
      </c>
    </row>
    <row r="509" customHeight="1" spans="1:64">
      <c r="A509" s="1" t="s">
        <v>311</v>
      </c>
      <c r="B509" s="33">
        <v>10060073</v>
      </c>
      <c r="C509" s="3" t="s">
        <v>70</v>
      </c>
      <c r="D509" s="3" t="s">
        <v>119</v>
      </c>
      <c r="E509" s="3">
        <v>1880</v>
      </c>
      <c r="G509" s="3">
        <f>7990+5690</f>
        <v>13680</v>
      </c>
      <c r="J509" s="3">
        <f>168+169+69+69+168+129</f>
        <v>772</v>
      </c>
      <c r="K509" s="4">
        <f>19300-17226</f>
        <v>2074</v>
      </c>
      <c r="L509" s="5">
        <f>E509+F509+H509+I509+J509+G509+K509</f>
        <v>18406</v>
      </c>
      <c r="U509" s="7">
        <f>N509+O509+P509+Q509+S509+R509+T509</f>
        <v>0</v>
      </c>
      <c r="AD509" s="9">
        <f>W509+X509+Y509+Z509+AA509+AB509+AC509</f>
        <v>0</v>
      </c>
      <c r="AF509" s="34"/>
      <c r="AG509" s="34"/>
      <c r="AH509" s="34"/>
      <c r="AN509" s="9">
        <f>AG509+AH509+AI509+AJ509+AK509+AL509+AM509</f>
        <v>0</v>
      </c>
      <c r="AT509" s="11">
        <f>100+477+49+110+100+58</f>
        <v>894</v>
      </c>
      <c r="AV509" s="64">
        <f>L509+U509+AD509</f>
        <v>18406</v>
      </c>
      <c r="AW509" s="73">
        <f>AT509+AV509+AU509</f>
        <v>19300</v>
      </c>
      <c r="AY509" s="74">
        <f>AZ509+BA509+BB509+BC509+BD509+BE509</f>
        <v>19500</v>
      </c>
      <c r="BA509" s="15">
        <v>19300</v>
      </c>
      <c r="BC509" s="17">
        <v>200</v>
      </c>
      <c r="BL509" s="18">
        <v>5</v>
      </c>
    </row>
    <row r="510" customHeight="1" spans="1:64">
      <c r="A510" s="1" t="s">
        <v>311</v>
      </c>
      <c r="B510" s="33">
        <v>10060074</v>
      </c>
      <c r="C510" s="34" t="s">
        <v>89</v>
      </c>
      <c r="D510" s="3" t="s">
        <v>208</v>
      </c>
      <c r="E510" s="3">
        <v>2180</v>
      </c>
      <c r="G510" s="3">
        <f>9190+9990</f>
        <v>19180</v>
      </c>
      <c r="I510" s="3">
        <v>5247</v>
      </c>
      <c r="J510" s="3">
        <f>69+129+168+169+169+169</f>
        <v>873</v>
      </c>
      <c r="K510" s="4">
        <f>33400-28912</f>
        <v>4488</v>
      </c>
      <c r="L510" s="5">
        <f>E510+F510+H510+I510+J510+G510+K510</f>
        <v>31968</v>
      </c>
      <c r="U510" s="7">
        <f>N510+O510+P510+Q510+S510+R510+T510</f>
        <v>0</v>
      </c>
      <c r="AD510" s="9">
        <f>W510+X510+Y510+Z510+AA510+AB510+AC510</f>
        <v>0</v>
      </c>
      <c r="AF510" s="34"/>
      <c r="AG510" s="34"/>
      <c r="AH510" s="34"/>
      <c r="AN510" s="9">
        <f>AG510+AH510+AI510+AJ510+AK510+AL510+AM510</f>
        <v>0</v>
      </c>
      <c r="AT510" s="11">
        <f>100+1183+100+49</f>
        <v>1432</v>
      </c>
      <c r="AV510" s="64">
        <f>L510+U510+AD510</f>
        <v>31968</v>
      </c>
      <c r="AW510" s="73">
        <f>AT510+AV510+AU510</f>
        <v>33400</v>
      </c>
      <c r="AY510" s="74">
        <f>AZ510+BA510+BB510+BC510+BD510+BE510</f>
        <v>35800</v>
      </c>
      <c r="BA510" s="15">
        <v>33400</v>
      </c>
      <c r="BE510" s="17">
        <f>1000+1000+300+100</f>
        <v>2400</v>
      </c>
      <c r="BL510" s="18">
        <v>6</v>
      </c>
    </row>
    <row r="511" customHeight="1" spans="1:65">
      <c r="A511" s="1" t="s">
        <v>311</v>
      </c>
      <c r="B511" s="33">
        <v>10060075</v>
      </c>
      <c r="C511" s="34" t="s">
        <v>59</v>
      </c>
      <c r="L511" s="5">
        <f>E511+F511+H511+I511+J511+G511+K511</f>
        <v>0</v>
      </c>
      <c r="M511" s="3" t="s">
        <v>291</v>
      </c>
      <c r="N511" s="3">
        <v>2180</v>
      </c>
      <c r="T511" s="6">
        <v>1641</v>
      </c>
      <c r="U511" s="7">
        <f>N511+O511+P511+Q511+S511+R511+T511</f>
        <v>3821</v>
      </c>
      <c r="AD511" s="9">
        <f>W511+X511+Y511+Z511+AA511+AB511+AC511</f>
        <v>0</v>
      </c>
      <c r="AF511" s="34"/>
      <c r="AG511" s="34"/>
      <c r="AH511" s="34"/>
      <c r="AN511" s="9">
        <f>AG511+AH511+AI511+AJ511+AK511+AL511+AM511</f>
        <v>0</v>
      </c>
      <c r="AT511" s="11">
        <f>100+29</f>
        <v>129</v>
      </c>
      <c r="AV511" s="64">
        <f>L511+U511+AD511</f>
        <v>3821</v>
      </c>
      <c r="AW511" s="73">
        <f>AT511+AV511+AU511</f>
        <v>3950</v>
      </c>
      <c r="AX511" s="75" t="s">
        <v>313</v>
      </c>
      <c r="AY511" s="74">
        <f>AZ511+BA511+BB511+BC511+BD511+BE511</f>
        <v>3950</v>
      </c>
      <c r="AZ511" s="14">
        <v>3950</v>
      </c>
      <c r="BL511" s="18">
        <v>3</v>
      </c>
      <c r="BM511" s="90" t="s">
        <v>174</v>
      </c>
    </row>
    <row r="512" customHeight="1" spans="1:65">
      <c r="A512" s="1" t="s">
        <v>311</v>
      </c>
      <c r="B512" s="33">
        <v>10060076</v>
      </c>
      <c r="C512" s="34" t="s">
        <v>67</v>
      </c>
      <c r="D512" s="3" t="s">
        <v>309</v>
      </c>
      <c r="E512" s="3">
        <v>2180</v>
      </c>
      <c r="I512" s="3">
        <v>7378</v>
      </c>
      <c r="K512" s="4">
        <f>11600-10363</f>
        <v>1237</v>
      </c>
      <c r="L512" s="5">
        <f>E512+F512+H512+I512+J512+G512+K512</f>
        <v>10795</v>
      </c>
      <c r="U512" s="7">
        <f>N512+O512+P512+Q512+S512+R512+T512</f>
        <v>0</v>
      </c>
      <c r="AD512" s="9">
        <f>W512+X512+Y512+Z512+AA512+AB512+AC512</f>
        <v>0</v>
      </c>
      <c r="AF512" s="34"/>
      <c r="AG512" s="34"/>
      <c r="AH512" s="34"/>
      <c r="AN512" s="9">
        <f>AG512+AH512+AI512+AJ512+AK512+AL512+AM512</f>
        <v>0</v>
      </c>
      <c r="AT512" s="11">
        <f>100+676+29</f>
        <v>805</v>
      </c>
      <c r="AV512" s="64">
        <f>L512+U512+AD512</f>
        <v>10795</v>
      </c>
      <c r="AW512" s="73">
        <f>AT512+AV512+AU512</f>
        <v>11600</v>
      </c>
      <c r="AY512" s="74">
        <f>AZ512+BA512+BB512+BC512+BD512+BE512</f>
        <v>11600</v>
      </c>
      <c r="BA512" s="15">
        <v>11600</v>
      </c>
      <c r="BL512" s="18">
        <v>2</v>
      </c>
      <c r="BM512" s="90" t="s">
        <v>174</v>
      </c>
    </row>
    <row r="513" customHeight="1" spans="1:65">
      <c r="A513" s="1" t="s">
        <v>311</v>
      </c>
      <c r="B513" s="33">
        <v>10060077</v>
      </c>
      <c r="C513" s="34" t="s">
        <v>54</v>
      </c>
      <c r="D513" s="3" t="s">
        <v>179</v>
      </c>
      <c r="E513" s="3">
        <v>2180</v>
      </c>
      <c r="I513" s="3">
        <v>9858</v>
      </c>
      <c r="K513" s="4">
        <f>14900-12814</f>
        <v>2086</v>
      </c>
      <c r="L513" s="5">
        <f>E513+F513+H513+I513+J513+G513+K513</f>
        <v>14124</v>
      </c>
      <c r="U513" s="7">
        <f>N513+O513+P513+Q513+S513+R513+T513</f>
        <v>0</v>
      </c>
      <c r="AD513" s="9">
        <f>W513+X513+Y513+Z513+AA513+AB513+AC513</f>
        <v>0</v>
      </c>
      <c r="AF513" s="34"/>
      <c r="AG513" s="34"/>
      <c r="AH513" s="34"/>
      <c r="AN513" s="9">
        <f>AG513+AH513+AI513+AJ513+AK513+AL513+AM513</f>
        <v>0</v>
      </c>
      <c r="AT513" s="11">
        <f>100+676</f>
        <v>776</v>
      </c>
      <c r="AV513" s="64">
        <f>L513+U513+AD513</f>
        <v>14124</v>
      </c>
      <c r="AW513" s="73">
        <f>AT513+AV513+AU513</f>
        <v>14900</v>
      </c>
      <c r="AY513" s="74">
        <f>AZ513+BA513+BB513+BC513+BD513+BE513</f>
        <v>14900</v>
      </c>
      <c r="BA513" s="15">
        <v>14900</v>
      </c>
      <c r="BL513" s="18">
        <v>4</v>
      </c>
      <c r="BM513" s="90" t="s">
        <v>254</v>
      </c>
    </row>
    <row r="514" customHeight="1" spans="1:65">
      <c r="A514" s="1" t="s">
        <v>311</v>
      </c>
      <c r="B514" s="33">
        <v>10060078</v>
      </c>
      <c r="C514" s="3" t="s">
        <v>97</v>
      </c>
      <c r="L514" s="5">
        <f>E514+F514+H514+I514+J514+G514+K514</f>
        <v>0</v>
      </c>
      <c r="M514" s="3" t="s">
        <v>314</v>
      </c>
      <c r="N514" s="3">
        <v>2180</v>
      </c>
      <c r="P514" s="3">
        <v>11980</v>
      </c>
      <c r="T514" s="6">
        <v>3091</v>
      </c>
      <c r="U514" s="7">
        <f>N514+O514+P514+Q514+S514+R514+T514</f>
        <v>17251</v>
      </c>
      <c r="AD514" s="9">
        <f>W514+X514+Y514+Z514+AA514+AB514+AC514</f>
        <v>0</v>
      </c>
      <c r="AF514" s="34"/>
      <c r="AG514" s="34"/>
      <c r="AH514" s="34"/>
      <c r="AN514" s="9">
        <f>AG514+AH514+AI514+AJ514+AK514+AL514+AM514</f>
        <v>0</v>
      </c>
      <c r="AT514" s="11">
        <f>100+49</f>
        <v>149</v>
      </c>
      <c r="AV514" s="64">
        <f>L514+U514+AD514</f>
        <v>17251</v>
      </c>
      <c r="AW514" s="73">
        <f>AT514+AV514+AU514</f>
        <v>17400</v>
      </c>
      <c r="AY514" s="74">
        <f>AZ514+BA514+BB514+BC514+BD514+BE514</f>
        <v>17700</v>
      </c>
      <c r="BA514" s="15">
        <v>17400</v>
      </c>
      <c r="BC514" s="17">
        <v>290</v>
      </c>
      <c r="BD514" s="17">
        <v>10</v>
      </c>
      <c r="BL514" s="18">
        <v>4</v>
      </c>
      <c r="BM514" s="90" t="s">
        <v>174</v>
      </c>
    </row>
    <row r="515" customHeight="1" spans="1:65">
      <c r="A515" s="1" t="s">
        <v>311</v>
      </c>
      <c r="B515" s="33">
        <v>10060079</v>
      </c>
      <c r="C515" s="34" t="s">
        <v>65</v>
      </c>
      <c r="D515" s="3" t="s">
        <v>204</v>
      </c>
      <c r="E515" s="3">
        <v>2180</v>
      </c>
      <c r="H515" s="3">
        <v>2080</v>
      </c>
      <c r="I515" s="3">
        <v>5117</v>
      </c>
      <c r="J515" s="3">
        <v>69</v>
      </c>
      <c r="K515" s="4">
        <f>12000-10569</f>
        <v>1431</v>
      </c>
      <c r="L515" s="5">
        <f>E515+F515+H515+I515+J515+G515+K515</f>
        <v>10877</v>
      </c>
      <c r="U515" s="7">
        <f>N515+O515+P515+Q515+S515+R515+T515</f>
        <v>0</v>
      </c>
      <c r="AD515" s="9">
        <f>W515+X515+Y515+Z515+AA515+AB515+AC515</f>
        <v>0</v>
      </c>
      <c r="AF515" s="34"/>
      <c r="AG515" s="34"/>
      <c r="AH515" s="34"/>
      <c r="AN515" s="9">
        <f>AG515+AH515+AI515+AJ515+AK515+AL515+AM515</f>
        <v>0</v>
      </c>
      <c r="AT515" s="11">
        <f>100+845+29+100+49</f>
        <v>1123</v>
      </c>
      <c r="AV515" s="64">
        <f>L515+U515+AD515</f>
        <v>10877</v>
      </c>
      <c r="AW515" s="73">
        <f>AT515+AV515+AU515</f>
        <v>12000</v>
      </c>
      <c r="AY515" s="74">
        <f>AZ515+BA515+BB515+BC515+BD515+BE515</f>
        <v>12000</v>
      </c>
      <c r="BA515" s="15">
        <v>12000</v>
      </c>
      <c r="BL515" s="18">
        <v>4</v>
      </c>
      <c r="BM515" s="90" t="s">
        <v>244</v>
      </c>
    </row>
    <row r="516" customHeight="1" spans="1:65">
      <c r="A516" s="1" t="s">
        <v>311</v>
      </c>
      <c r="B516" s="33">
        <v>10060080</v>
      </c>
      <c r="C516" s="34" t="s">
        <v>56</v>
      </c>
      <c r="D516" s="3" t="s">
        <v>267</v>
      </c>
      <c r="E516" s="3">
        <v>3180</v>
      </c>
      <c r="G516" s="3">
        <f>4890+9190</f>
        <v>14080</v>
      </c>
      <c r="I516" s="3">
        <v>714</v>
      </c>
      <c r="K516" s="4">
        <f>22400-19266</f>
        <v>3134</v>
      </c>
      <c r="L516" s="5">
        <f>E516+F516+H516+I516+J516+G516+K516</f>
        <v>21108</v>
      </c>
      <c r="U516" s="7">
        <f>N516+O516+P516+Q516+S516+R516+T516</f>
        <v>0</v>
      </c>
      <c r="AD516" s="9">
        <f>W516+X516+Y516+Z516+AA516+AB516+AC516</f>
        <v>0</v>
      </c>
      <c r="AF516" s="34"/>
      <c r="AG516" s="34"/>
      <c r="AH516" s="34"/>
      <c r="AN516" s="9">
        <f>AG516+AH516+AI516+AJ516+AK516+AL516+AM516</f>
        <v>0</v>
      </c>
      <c r="AT516" s="11">
        <f>100+1014+49+29+100</f>
        <v>1292</v>
      </c>
      <c r="AV516" s="64">
        <f>L516+U516+AD516</f>
        <v>21108</v>
      </c>
      <c r="AW516" s="73">
        <f>AT516+AV516+AU516</f>
        <v>22400</v>
      </c>
      <c r="AY516" s="74">
        <f>AZ516+BA516+BB516+BC516+BD516+BE516</f>
        <v>22400</v>
      </c>
      <c r="BA516" s="15">
        <v>22400</v>
      </c>
      <c r="BL516" s="18">
        <v>7</v>
      </c>
      <c r="BM516" s="90" t="s">
        <v>130</v>
      </c>
    </row>
    <row r="517" customHeight="1" spans="1:65">
      <c r="A517" s="1" t="s">
        <v>311</v>
      </c>
      <c r="B517" s="33">
        <v>10060081</v>
      </c>
      <c r="C517" s="34" t="s">
        <v>62</v>
      </c>
      <c r="D517" s="3" t="s">
        <v>51</v>
      </c>
      <c r="E517" s="3">
        <v>2180</v>
      </c>
      <c r="G517" s="3">
        <v>14670</v>
      </c>
      <c r="K517" s="4">
        <f>19100-17337</f>
        <v>1763</v>
      </c>
      <c r="L517" s="5">
        <f>E517+F517+H517+I517+J517+G517+K517</f>
        <v>18613</v>
      </c>
      <c r="U517" s="7">
        <f>N517+O517+P517+Q517+S517+R517+T517</f>
        <v>0</v>
      </c>
      <c r="AD517" s="9">
        <f>W517+X517+Y517+Z517+AA517+AB517+AC517</f>
        <v>0</v>
      </c>
      <c r="AF517" s="34"/>
      <c r="AG517" s="34"/>
      <c r="AH517" s="34"/>
      <c r="AN517" s="9">
        <f>AG517+AH517+AI517+AJ517+AK517+AL517+AM517</f>
        <v>0</v>
      </c>
      <c r="AT517" s="11">
        <f>100+49+338</f>
        <v>487</v>
      </c>
      <c r="AV517" s="64">
        <f>L517+U517+AD517</f>
        <v>18613</v>
      </c>
      <c r="AW517" s="73">
        <f>AT517+AV517+AU517</f>
        <v>19100</v>
      </c>
      <c r="AY517" s="74">
        <f>AZ517+BA517+BB517+BC517+BD517+BE517</f>
        <v>19100</v>
      </c>
      <c r="BA517" s="15">
        <v>19100</v>
      </c>
      <c r="BL517" s="18">
        <v>3</v>
      </c>
      <c r="BM517" s="90" t="s">
        <v>130</v>
      </c>
    </row>
    <row r="518" customHeight="1" spans="1:65">
      <c r="A518" s="1" t="s">
        <v>311</v>
      </c>
      <c r="B518" s="33">
        <v>10060082</v>
      </c>
      <c r="C518" s="34" t="s">
        <v>59</v>
      </c>
      <c r="D518" s="3" t="s">
        <v>230</v>
      </c>
      <c r="E518" s="3">
        <v>2180</v>
      </c>
      <c r="G518" s="3">
        <v>8890</v>
      </c>
      <c r="J518" s="3">
        <v>69</v>
      </c>
      <c r="K518" s="4">
        <f>13500-11795</f>
        <v>1705</v>
      </c>
      <c r="L518" s="5">
        <f>E518+F518+H518+I518+J518+G518+K518</f>
        <v>12844</v>
      </c>
      <c r="U518" s="7">
        <f>N518+O518+P518+Q518+S518+R518+T518</f>
        <v>0</v>
      </c>
      <c r="AD518" s="9">
        <f>W518+X518+Y518+Z518+AA518+AB518+AC518</f>
        <v>0</v>
      </c>
      <c r="AF518" s="34"/>
      <c r="AG518" s="34"/>
      <c r="AH518" s="34"/>
      <c r="AN518" s="9">
        <f>AG518+AH518+AI518+AJ518+AK518+AL518+AM518</f>
        <v>0</v>
      </c>
      <c r="AT518" s="11">
        <f>100+49+507</f>
        <v>656</v>
      </c>
      <c r="AV518" s="64">
        <f>L518+U518+AD518</f>
        <v>12844</v>
      </c>
      <c r="AW518" s="73">
        <f>AT518+AV518+AU518</f>
        <v>13500</v>
      </c>
      <c r="AY518" s="74">
        <f>AZ518+BA518+BB518+BC518+BD518+BE518</f>
        <v>13500</v>
      </c>
      <c r="BA518" s="15">
        <v>13500</v>
      </c>
      <c r="BL518" s="18">
        <v>2</v>
      </c>
      <c r="BM518" s="90" t="s">
        <v>254</v>
      </c>
    </row>
    <row r="519" customHeight="1" spans="1:65">
      <c r="A519" s="1" t="s">
        <v>311</v>
      </c>
      <c r="B519" s="33">
        <v>10060083</v>
      </c>
      <c r="C519" s="34" t="s">
        <v>84</v>
      </c>
      <c r="L519" s="5">
        <f>E519+F519+H519+I519+J519+G519+K519</f>
        <v>0</v>
      </c>
      <c r="M519" s="3" t="s">
        <v>234</v>
      </c>
      <c r="N519" s="3">
        <v>2580</v>
      </c>
      <c r="R519" s="3">
        <v>11448</v>
      </c>
      <c r="S519" s="3">
        <v>387</v>
      </c>
      <c r="T519" s="6">
        <v>3095</v>
      </c>
      <c r="U519" s="7">
        <f>N519+O519+P519+Q519+S519+R519+T519</f>
        <v>17510</v>
      </c>
      <c r="AD519" s="9">
        <f>W519+X519+Y519+Z519+AA519+AB519+AC519</f>
        <v>0</v>
      </c>
      <c r="AF519" s="34"/>
      <c r="AG519" s="34"/>
      <c r="AH519" s="34"/>
      <c r="AN519" s="9">
        <f>AG519+AH519+AI519+AJ519+AK519+AL519+AM519</f>
        <v>0</v>
      </c>
      <c r="AT519" s="11">
        <f>100+1183+49+58</f>
        <v>1390</v>
      </c>
      <c r="AV519" s="64">
        <f>L519+U519+AD519</f>
        <v>17510</v>
      </c>
      <c r="AW519" s="73">
        <f>AT519+AV519+AU519</f>
        <v>18900</v>
      </c>
      <c r="AY519" s="74">
        <f>AZ519+BA519+BB519+BC519+BD519+BE519</f>
        <v>19100</v>
      </c>
      <c r="AZ519" s="14">
        <v>18900</v>
      </c>
      <c r="BC519" s="17">
        <v>200</v>
      </c>
      <c r="BL519" s="18">
        <v>7</v>
      </c>
      <c r="BM519" s="90" t="s">
        <v>244</v>
      </c>
    </row>
    <row r="520" customHeight="1" spans="1:65">
      <c r="A520" s="1" t="s">
        <v>311</v>
      </c>
      <c r="B520" s="33">
        <v>10060084</v>
      </c>
      <c r="C520" s="34" t="s">
        <v>78</v>
      </c>
      <c r="L520" s="5">
        <f>E520+F520+H520+I520+J520+G520+K520</f>
        <v>0</v>
      </c>
      <c r="M520" s="3" t="s">
        <v>256</v>
      </c>
      <c r="N520" s="3">
        <v>2580</v>
      </c>
      <c r="P520" s="3">
        <v>14080</v>
      </c>
      <c r="S520" s="3">
        <v>645</v>
      </c>
      <c r="T520" s="6">
        <v>2990</v>
      </c>
      <c r="U520" s="7">
        <f>N520+O520+P520+Q520+S520+R520+T520</f>
        <v>20295</v>
      </c>
      <c r="AD520" s="9">
        <f>W520+X520+Y520+Z520+AA520+AB520+AC520</f>
        <v>0</v>
      </c>
      <c r="AF520" s="34"/>
      <c r="AG520" s="34"/>
      <c r="AH520" s="34"/>
      <c r="AN520" s="9">
        <f>AG520+AH520+AI520+AJ520+AK520+AL520+AM520</f>
        <v>0</v>
      </c>
      <c r="AT520" s="11">
        <f>100+507</f>
        <v>607</v>
      </c>
      <c r="AU520" s="11">
        <f>398</f>
        <v>398</v>
      </c>
      <c r="AV520" s="64">
        <f>L520+U520+AD520</f>
        <v>20295</v>
      </c>
      <c r="AW520" s="73">
        <f>AT520+AV520+AU520</f>
        <v>21300</v>
      </c>
      <c r="AY520" s="74">
        <f>AZ520+BA520+BB520+BC520+BD520+BE520</f>
        <v>21300</v>
      </c>
      <c r="BA520" s="15">
        <v>21300</v>
      </c>
      <c r="BL520" s="18">
        <v>2</v>
      </c>
      <c r="BM520" s="90" t="s">
        <v>254</v>
      </c>
    </row>
    <row r="521" customHeight="1" spans="1:64">
      <c r="A521" s="1" t="s">
        <v>315</v>
      </c>
      <c r="B521" s="33">
        <v>10060085</v>
      </c>
      <c r="C521" s="34" t="s">
        <v>78</v>
      </c>
      <c r="D521" s="3" t="s">
        <v>202</v>
      </c>
      <c r="E521" s="3">
        <v>2580</v>
      </c>
      <c r="I521" s="3">
        <v>11448</v>
      </c>
      <c r="J521" s="3">
        <v>1677</v>
      </c>
      <c r="K521" s="4">
        <f>19400-16650</f>
        <v>2750</v>
      </c>
      <c r="L521" s="5">
        <f>E521+F521+H521+I521+J521+G521+K521</f>
        <v>18455</v>
      </c>
      <c r="U521" s="7">
        <f>N521+O521+P521+Q521+S521+R521+T521</f>
        <v>0</v>
      </c>
      <c r="AD521" s="9">
        <f>W521+X521+Y521+Z521+AA521+AB521+AC521</f>
        <v>0</v>
      </c>
      <c r="AF521" s="34"/>
      <c r="AG521" s="34"/>
      <c r="AH521" s="34"/>
      <c r="AN521" s="9">
        <f>AG521+AH521+AI521+AJ521+AK521+AL521+AM521</f>
        <v>0</v>
      </c>
      <c r="AT521" s="11">
        <f>100+845</f>
        <v>945</v>
      </c>
      <c r="AV521" s="64">
        <f>L521+U521+AD521</f>
        <v>18455</v>
      </c>
      <c r="AW521" s="73">
        <f>AT521+AV521+AU521</f>
        <v>19400</v>
      </c>
      <c r="AY521" s="74">
        <f>AZ521+BA521+BB521+BC521+BD521+BE521</f>
        <v>19400</v>
      </c>
      <c r="BA521" s="15">
        <v>19400</v>
      </c>
      <c r="BL521" s="18">
        <v>5</v>
      </c>
    </row>
    <row r="522" customHeight="1" spans="1:65">
      <c r="A522" s="1" t="s">
        <v>315</v>
      </c>
      <c r="B522" s="33">
        <v>10060086</v>
      </c>
      <c r="C522" s="34" t="s">
        <v>89</v>
      </c>
      <c r="D522" s="3" t="s">
        <v>201</v>
      </c>
      <c r="E522" s="3">
        <v>2180</v>
      </c>
      <c r="I522" s="3">
        <v>10335</v>
      </c>
      <c r="K522" s="4">
        <f>15470-13171</f>
        <v>2299</v>
      </c>
      <c r="L522" s="5">
        <f>E522+F522+H522+I522+J522+G522+K522</f>
        <v>14814</v>
      </c>
      <c r="U522" s="7">
        <f>N522+O522+P522+Q522+S522+R522+T522</f>
        <v>0</v>
      </c>
      <c r="AD522" s="9">
        <f>W522+X522+Y522+Z522+AA522+AB522+AC522</f>
        <v>0</v>
      </c>
      <c r="AF522" s="34"/>
      <c r="AG522" s="34"/>
      <c r="AH522" s="34"/>
      <c r="AN522" s="9">
        <f>AG522+AH522+AI522+AJ522+AK522+AL522+AM522</f>
        <v>0</v>
      </c>
      <c r="AT522" s="11">
        <f>100+507+49</f>
        <v>656</v>
      </c>
      <c r="AV522" s="64">
        <f>L522+U522+AD522</f>
        <v>14814</v>
      </c>
      <c r="AW522" s="73">
        <f>AT522+AV522+AU522</f>
        <v>15470</v>
      </c>
      <c r="AY522" s="74">
        <f>AZ522+BA522+BB522+BC522+BD522+BE522</f>
        <v>1270</v>
      </c>
      <c r="AZ522" s="14">
        <v>1270</v>
      </c>
      <c r="BG522" s="10">
        <v>14200</v>
      </c>
      <c r="BL522" s="18">
        <v>3</v>
      </c>
      <c r="BM522" s="90" t="s">
        <v>130</v>
      </c>
    </row>
    <row r="523" customHeight="1" spans="1:65">
      <c r="A523" s="1" t="s">
        <v>315</v>
      </c>
      <c r="B523" s="33">
        <v>10060087</v>
      </c>
      <c r="C523" s="3">
        <v>307</v>
      </c>
      <c r="D523" s="3" t="s">
        <v>193</v>
      </c>
      <c r="E523" s="3">
        <v>980</v>
      </c>
      <c r="I523" s="3">
        <v>2499</v>
      </c>
      <c r="K523" s="4">
        <f>4100-3738</f>
        <v>362</v>
      </c>
      <c r="L523" s="5">
        <f>E523+F523+H523+I523+J523+G523+K523</f>
        <v>3841</v>
      </c>
      <c r="U523" s="7">
        <f>N523+O523+P523+Q523+S523+R523+T523</f>
        <v>0</v>
      </c>
      <c r="AD523" s="9">
        <f>W523+X523+Y523+Z523+AA523+AB523+AC523</f>
        <v>0</v>
      </c>
      <c r="AF523" s="34"/>
      <c r="AG523" s="34"/>
      <c r="AH523" s="34"/>
      <c r="AN523" s="9">
        <f>AG523+AH523+AI523+AJ523+AK523+AL523+AM523</f>
        <v>0</v>
      </c>
      <c r="AT523" s="11">
        <f>100+159</f>
        <v>259</v>
      </c>
      <c r="AV523" s="64">
        <f>L523+U523+AD523</f>
        <v>3841</v>
      </c>
      <c r="AW523" s="73">
        <f>AT523+AV523+AU523</f>
        <v>4100</v>
      </c>
      <c r="AY523" s="74">
        <f>AZ523+BA523+BB523+BC523+BD523+BE523</f>
        <v>4100</v>
      </c>
      <c r="BA523" s="15">
        <v>4100</v>
      </c>
      <c r="BL523" s="18">
        <v>1</v>
      </c>
      <c r="BM523" s="90" t="s">
        <v>224</v>
      </c>
    </row>
    <row r="524" customHeight="1" spans="1:65">
      <c r="A524" s="1" t="s">
        <v>315</v>
      </c>
      <c r="B524" s="33">
        <v>10060088</v>
      </c>
      <c r="C524" s="3">
        <v>316</v>
      </c>
      <c r="L524" s="5">
        <f>E524+F524+H524+I524+J524+G524+K524</f>
        <v>0</v>
      </c>
      <c r="M524" s="3" t="s">
        <v>316</v>
      </c>
      <c r="N524" s="3">
        <v>980</v>
      </c>
      <c r="P524" s="3">
        <v>5990</v>
      </c>
      <c r="S524" s="3">
        <v>506</v>
      </c>
      <c r="T524" s="6">
        <v>865</v>
      </c>
      <c r="U524" s="7">
        <f>N524+O524+P524+Q524+S524+R524+T524</f>
        <v>8341</v>
      </c>
      <c r="AD524" s="9">
        <f>W524+X524+Y524+Z524+AA524+AB524+AC524</f>
        <v>0</v>
      </c>
      <c r="AF524" s="34"/>
      <c r="AG524" s="34"/>
      <c r="AH524" s="34"/>
      <c r="AN524" s="9">
        <f>AG524+AH524+AI524+AJ524+AK524+AL524+AM524</f>
        <v>0</v>
      </c>
      <c r="AT524" s="11">
        <f>100+159</f>
        <v>259</v>
      </c>
      <c r="AV524" s="64">
        <f>L524+U524+AD524</f>
        <v>8341</v>
      </c>
      <c r="AW524" s="73">
        <f>AT524+AV524+AU524</f>
        <v>8600</v>
      </c>
      <c r="AY524" s="74">
        <f>AZ524+BA524+BB524+BC524+BD524+BE524</f>
        <v>8600</v>
      </c>
      <c r="BA524" s="15">
        <v>8600</v>
      </c>
      <c r="BL524" s="18">
        <v>3</v>
      </c>
      <c r="BM524" s="90" t="s">
        <v>254</v>
      </c>
    </row>
    <row r="525" customHeight="1" spans="1:64">
      <c r="A525" s="1" t="s">
        <v>315</v>
      </c>
      <c r="B525" s="33">
        <v>10060089</v>
      </c>
      <c r="C525" s="3">
        <v>310</v>
      </c>
      <c r="D525" s="3" t="s">
        <v>232</v>
      </c>
      <c r="E525" s="3">
        <v>980</v>
      </c>
      <c r="I525" s="3">
        <v>2856</v>
      </c>
      <c r="K525" s="4">
        <f>5500-4612</f>
        <v>888</v>
      </c>
      <c r="L525" s="5">
        <f>E525+F525+H525+I525+J525+G525+K525</f>
        <v>4724</v>
      </c>
      <c r="U525" s="7">
        <f>N525+O525+P525+Q525+S525+R525+T525</f>
        <v>0</v>
      </c>
      <c r="AD525" s="9">
        <f>W525+X525+Y525+Z525+AA525+AB525+AC525</f>
        <v>0</v>
      </c>
      <c r="AF525" s="34"/>
      <c r="AG525" s="34"/>
      <c r="AH525" s="34"/>
      <c r="AN525" s="9">
        <f>AG525+AH525+AI525+AJ525+AK525+AL525+AM525</f>
        <v>0</v>
      </c>
      <c r="AT525" s="11">
        <f>100+636+40</f>
        <v>776</v>
      </c>
      <c r="AV525" s="64">
        <f>L525+U525+AD525</f>
        <v>4724</v>
      </c>
      <c r="AW525" s="73">
        <f>AT525+AV525+AU525</f>
        <v>5500</v>
      </c>
      <c r="AY525" s="74">
        <f>AZ525+BA525+BB525+BC525+BD525+BE525</f>
        <v>5500</v>
      </c>
      <c r="BA525" s="15">
        <v>5500</v>
      </c>
      <c r="BL525" s="18">
        <v>4</v>
      </c>
    </row>
    <row r="526" customHeight="1" spans="1:65">
      <c r="A526" s="1" t="s">
        <v>315</v>
      </c>
      <c r="B526" s="33">
        <v>10060090</v>
      </c>
      <c r="C526" s="3">
        <v>308</v>
      </c>
      <c r="D526" s="3" t="s">
        <v>122</v>
      </c>
      <c r="E526" s="3">
        <v>980</v>
      </c>
      <c r="I526" s="3">
        <f>1428+952</f>
        <v>2380</v>
      </c>
      <c r="K526" s="4">
        <f>4350-3668</f>
        <v>682</v>
      </c>
      <c r="L526" s="5">
        <f>E526+F526+H526+I526+J526+G526+K526</f>
        <v>4042</v>
      </c>
      <c r="U526" s="7">
        <f>N526+O526+P526+Q526+S526+R526+T526</f>
        <v>0</v>
      </c>
      <c r="AD526" s="9">
        <f>W526+X526+Y526+Z526+AA526+AB526+AC526</f>
        <v>0</v>
      </c>
      <c r="AF526" s="34"/>
      <c r="AG526" s="34"/>
      <c r="AH526" s="34"/>
      <c r="AN526" s="9">
        <f>AG526+AH526+AI526+AJ526+AK526+AL526+AM526</f>
        <v>0</v>
      </c>
      <c r="AT526" s="11">
        <f>100+159+49</f>
        <v>308</v>
      </c>
      <c r="AV526" s="64">
        <f>L526+U526+AD526</f>
        <v>4042</v>
      </c>
      <c r="AW526" s="73">
        <f>AT526+AV526+AU526</f>
        <v>4350</v>
      </c>
      <c r="AY526" s="74">
        <f>AZ526+BA526+BB526+BC526+BD526+BE526</f>
        <v>4350</v>
      </c>
      <c r="AZ526" s="14">
        <v>4350</v>
      </c>
      <c r="BL526" s="18">
        <v>1</v>
      </c>
      <c r="BM526" s="90" t="s">
        <v>224</v>
      </c>
    </row>
    <row r="527" customHeight="1" spans="1:64">
      <c r="A527" s="1" t="s">
        <v>315</v>
      </c>
      <c r="B527" s="33">
        <v>10060091</v>
      </c>
      <c r="C527" s="3">
        <v>312</v>
      </c>
      <c r="D527" s="3" t="s">
        <v>202</v>
      </c>
      <c r="E527" s="3">
        <v>980</v>
      </c>
      <c r="I527" s="3">
        <v>2856</v>
      </c>
      <c r="K527" s="4">
        <f>4900-4254</f>
        <v>646</v>
      </c>
      <c r="L527" s="5">
        <f>E527+F527+H527+I527+J527+G527+K527</f>
        <v>4482</v>
      </c>
      <c r="U527" s="7">
        <f>N527+O527+P527+Q527+S527+R527+T527</f>
        <v>0</v>
      </c>
      <c r="AD527" s="9">
        <f>W527+X527+Y527+Z527+AA527+AB527+AC527</f>
        <v>0</v>
      </c>
      <c r="AF527" s="34"/>
      <c r="AG527" s="34"/>
      <c r="AH527" s="34"/>
      <c r="AN527" s="9">
        <f>AG527+AH527+AI527+AJ527+AK527+AL527+AM527</f>
        <v>0</v>
      </c>
      <c r="AT527" s="11">
        <f>100+318</f>
        <v>418</v>
      </c>
      <c r="AV527" s="64">
        <f>L527+U527+AD527</f>
        <v>4482</v>
      </c>
      <c r="AW527" s="73">
        <f>AT527+AV527+AU527</f>
        <v>4900</v>
      </c>
      <c r="AY527" s="74">
        <f>AZ527+BA527+BB527+BC527+BD527+BE527</f>
        <v>4900</v>
      </c>
      <c r="BA527" s="15">
        <v>4900</v>
      </c>
      <c r="BL527" s="18">
        <v>5</v>
      </c>
    </row>
    <row r="528" customHeight="1" spans="1:65">
      <c r="A528" s="1" t="s">
        <v>315</v>
      </c>
      <c r="B528" s="33">
        <v>10060092</v>
      </c>
      <c r="C528" s="3" t="s">
        <v>120</v>
      </c>
      <c r="D528" s="34"/>
      <c r="L528" s="5">
        <f>E528+F528+H528+I528+J528+G528+K528</f>
        <v>0</v>
      </c>
      <c r="U528" s="7">
        <f>N528+O528+P528+Q528+S528+R528+T528</f>
        <v>0</v>
      </c>
      <c r="V528" s="91" t="s">
        <v>185</v>
      </c>
      <c r="AD528" s="9">
        <f>W528+X528+Y528+Z528+AA528+AB528+AC528</f>
        <v>0</v>
      </c>
      <c r="AF528" s="34"/>
      <c r="AG528" s="34"/>
      <c r="AH528" s="34"/>
      <c r="AN528" s="9">
        <f>AG528+AH528+AI528+AJ528+AK528+AL528+AM528</f>
        <v>0</v>
      </c>
      <c r="AV528" s="64">
        <f>L528+U528+AD528</f>
        <v>0</v>
      </c>
      <c r="AW528" s="73">
        <f>AT528+AV528+AU528</f>
        <v>0</v>
      </c>
      <c r="AY528" s="74">
        <f>AZ528+BA528+BB528+BC528+BD528+BE528</f>
        <v>0</v>
      </c>
      <c r="BM528" s="90" t="s">
        <v>317</v>
      </c>
    </row>
    <row r="529" customHeight="1" spans="1:65">
      <c r="A529" s="1" t="s">
        <v>315</v>
      </c>
      <c r="B529" s="33">
        <v>10060093</v>
      </c>
      <c r="C529" s="3">
        <v>306</v>
      </c>
      <c r="D529" s="34" t="s">
        <v>318</v>
      </c>
      <c r="E529" s="3">
        <v>980</v>
      </c>
      <c r="I529" s="3">
        <v>3816</v>
      </c>
      <c r="K529" s="4">
        <f>6000-5214</f>
        <v>786</v>
      </c>
      <c r="L529" s="5">
        <f>E529+F529+H529+I529+J529+G529+K529</f>
        <v>5582</v>
      </c>
      <c r="U529" s="7">
        <f>N529+O529+P529+Q529+S529+R529+T529</f>
        <v>0</v>
      </c>
      <c r="AD529" s="9">
        <f>W529+X529+Y529+Z529+AA529+AB529+AC529</f>
        <v>0</v>
      </c>
      <c r="AF529" s="34"/>
      <c r="AG529" s="34"/>
      <c r="AH529" s="34"/>
      <c r="AN529" s="9">
        <f>AG529+AH529+AI529+AJ529+AK529+AL529+AM529</f>
        <v>0</v>
      </c>
      <c r="AT529" s="11">
        <f>100+318</f>
        <v>418</v>
      </c>
      <c r="AV529" s="64">
        <f>L529+U529+AD529</f>
        <v>5582</v>
      </c>
      <c r="AW529" s="73">
        <f>AT529+AV529+AU529</f>
        <v>6000</v>
      </c>
      <c r="AY529" s="74">
        <f>AZ529+BA529+BB529+BC529+BD529+BE529</f>
        <v>6000</v>
      </c>
      <c r="BA529" s="15">
        <v>6000</v>
      </c>
      <c r="BL529" s="18">
        <v>2</v>
      </c>
      <c r="BM529" s="90" t="s">
        <v>224</v>
      </c>
    </row>
    <row r="530" customHeight="1" spans="1:65">
      <c r="A530" s="1" t="s">
        <v>315</v>
      </c>
      <c r="B530" s="33">
        <v>10060094</v>
      </c>
      <c r="C530" s="34" t="s">
        <v>48</v>
      </c>
      <c r="D530" s="3" t="s">
        <v>186</v>
      </c>
      <c r="E530" s="3">
        <v>1880</v>
      </c>
      <c r="I530" s="3">
        <v>7632</v>
      </c>
      <c r="K530" s="4">
        <f>12600-10766</f>
        <v>1834</v>
      </c>
      <c r="L530" s="5">
        <f>E530+F530+H530+I530+J530+G530+K530</f>
        <v>11346</v>
      </c>
      <c r="U530" s="7">
        <f>N530+O530+P530+Q530+S530+R530+T530</f>
        <v>0</v>
      </c>
      <c r="AD530" s="9">
        <f>W530+X530+Y530+Z530+AA530+AB530+AC530</f>
        <v>0</v>
      </c>
      <c r="AF530" s="34"/>
      <c r="AG530" s="34"/>
      <c r="AH530" s="34"/>
      <c r="AN530" s="9">
        <f>AG530+AH530+AI530+AJ530+AK530+AL530+AM530</f>
        <v>0</v>
      </c>
      <c r="AT530" s="11">
        <f>100+954+100+100</f>
        <v>1254</v>
      </c>
      <c r="AV530" s="64">
        <f>L530+U530+AD530</f>
        <v>11346</v>
      </c>
      <c r="AW530" s="73">
        <f>AT530+AV530+AU530</f>
        <v>12600</v>
      </c>
      <c r="AX530" s="13" t="s">
        <v>33</v>
      </c>
      <c r="AY530" s="74">
        <f>AZ530+BA530+BB530+BC530+BD530+BE530</f>
        <v>0</v>
      </c>
      <c r="BG530" s="10">
        <v>12600</v>
      </c>
      <c r="BL530" s="18">
        <v>12</v>
      </c>
      <c r="BM530" s="90" t="s">
        <v>130</v>
      </c>
    </row>
    <row r="531" customHeight="1" spans="1:64">
      <c r="A531" s="1" t="s">
        <v>315</v>
      </c>
      <c r="B531" s="33">
        <v>10060095</v>
      </c>
      <c r="C531" s="3">
        <v>309</v>
      </c>
      <c r="D531" s="3" t="s">
        <v>119</v>
      </c>
      <c r="E531" s="3">
        <v>980</v>
      </c>
      <c r="I531" s="3">
        <v>2856</v>
      </c>
      <c r="K531" s="4">
        <f>4350-3936</f>
        <v>414</v>
      </c>
      <c r="L531" s="5">
        <f>E531+F531+H531+I531+J531+G531+K531</f>
        <v>4250</v>
      </c>
      <c r="U531" s="7">
        <f>N531+O531+P531+Q531+S531+R531+T531</f>
        <v>0</v>
      </c>
      <c r="AD531" s="9">
        <f>W531+X531+Y531+Z531+AA531+AB531+AC531</f>
        <v>0</v>
      </c>
      <c r="AF531" s="34"/>
      <c r="AG531" s="34"/>
      <c r="AH531" s="34"/>
      <c r="AN531" s="9">
        <f>AG531+AH531+AI531+AJ531+AK531+AL531+AM531</f>
        <v>0</v>
      </c>
      <c r="AT531" s="11">
        <v>100</v>
      </c>
      <c r="AV531" s="64">
        <f>L531+U531+AD531</f>
        <v>4250</v>
      </c>
      <c r="AW531" s="73">
        <f>AT531+AV531+AU531</f>
        <v>4350</v>
      </c>
      <c r="AY531" s="74">
        <f>AZ531+BA531+BB531+BC531+BD531+BE531</f>
        <v>4350</v>
      </c>
      <c r="BA531" s="15">
        <v>4350</v>
      </c>
      <c r="BL531" s="18">
        <v>5</v>
      </c>
    </row>
    <row r="532" customHeight="1" spans="1:65">
      <c r="A532" s="1" t="s">
        <v>315</v>
      </c>
      <c r="B532" s="33">
        <v>10060096</v>
      </c>
      <c r="C532" s="3">
        <v>311</v>
      </c>
      <c r="D532" s="3" t="s">
        <v>176</v>
      </c>
      <c r="E532" s="3">
        <v>980</v>
      </c>
      <c r="I532" s="3">
        <v>2856</v>
      </c>
      <c r="K532" s="4">
        <f>5660-4294</f>
        <v>1366</v>
      </c>
      <c r="L532" s="5">
        <f>E532+F532+H532+I532+J532+G532+K532</f>
        <v>5202</v>
      </c>
      <c r="U532" s="7">
        <f>N532+O532+P532+Q532+S532+R532+T532</f>
        <v>0</v>
      </c>
      <c r="AD532" s="9">
        <f>W532+X532+Y532+Z532+AA532+AB532+AC532</f>
        <v>0</v>
      </c>
      <c r="AF532" s="34"/>
      <c r="AG532" s="34"/>
      <c r="AH532" s="34"/>
      <c r="AN532" s="9">
        <f>AG532+AH532+AI532+AJ532+AK532+AL532+AM532</f>
        <v>0</v>
      </c>
      <c r="AT532" s="11">
        <f>100+318+40</f>
        <v>458</v>
      </c>
      <c r="AV532" s="64">
        <f>L532+U532+AD532</f>
        <v>5202</v>
      </c>
      <c r="AW532" s="73">
        <f>AT532+AV532+AU532</f>
        <v>5660</v>
      </c>
      <c r="AY532" s="74">
        <f>AZ532+BA532+BB532+BC532+BD532+BE532</f>
        <v>5660</v>
      </c>
      <c r="BA532" s="15">
        <v>5660</v>
      </c>
      <c r="BL532" s="18">
        <v>5</v>
      </c>
      <c r="BM532" s="90" t="s">
        <v>224</v>
      </c>
    </row>
    <row r="533" customHeight="1" spans="1:65">
      <c r="A533" s="1" t="s">
        <v>315</v>
      </c>
      <c r="B533" s="33">
        <v>10060097</v>
      </c>
      <c r="C533" s="34" t="s">
        <v>59</v>
      </c>
      <c r="D533" s="3" t="s">
        <v>248</v>
      </c>
      <c r="E533" s="3">
        <v>2180</v>
      </c>
      <c r="I533" s="3">
        <v>9858</v>
      </c>
      <c r="J533" s="3">
        <f>129+169+169+129</f>
        <v>596</v>
      </c>
      <c r="K533" s="4">
        <f>15200-13637</f>
        <v>1563</v>
      </c>
      <c r="L533" s="5">
        <f>E533+F533+H533+I533+J533+G533+K533</f>
        <v>14197</v>
      </c>
      <c r="U533" s="7">
        <f>N533+O533+P533+Q533+S533+R533+T533</f>
        <v>0</v>
      </c>
      <c r="AD533" s="9">
        <f>W533+X533+Y533+Z533+AA533+AB533+AC533</f>
        <v>0</v>
      </c>
      <c r="AF533" s="34"/>
      <c r="AG533" s="34"/>
      <c r="AH533" s="34"/>
      <c r="AN533" s="9">
        <f>AG533+AH533+AI533+AJ533+AK533+AL533+AM533</f>
        <v>0</v>
      </c>
      <c r="AT533" s="11">
        <f>100+58+845</f>
        <v>1003</v>
      </c>
      <c r="AV533" s="64">
        <f>L533+U533+AD533</f>
        <v>14197</v>
      </c>
      <c r="AW533" s="73">
        <f>AT533+AV533+AU533</f>
        <v>15200</v>
      </c>
      <c r="AY533" s="74">
        <f>AZ533+BA533+BB533+BC533+BD533+BE533</f>
        <v>15200</v>
      </c>
      <c r="BA533" s="15">
        <v>15200</v>
      </c>
      <c r="BL533" s="18">
        <v>5</v>
      </c>
      <c r="BM533" s="90" t="s">
        <v>254</v>
      </c>
    </row>
    <row r="534" customHeight="1" spans="1:65">
      <c r="A534" s="1" t="s">
        <v>315</v>
      </c>
      <c r="B534" s="33">
        <v>10060098</v>
      </c>
      <c r="C534" s="3">
        <v>315</v>
      </c>
      <c r="D534" s="3" t="s">
        <v>176</v>
      </c>
      <c r="E534" s="3">
        <v>980</v>
      </c>
      <c r="I534" s="3">
        <v>2856</v>
      </c>
      <c r="K534" s="4">
        <f>4900-4413</f>
        <v>487</v>
      </c>
      <c r="L534" s="5">
        <f>E534+F534+H534+I534+J534+G534+K534</f>
        <v>4323</v>
      </c>
      <c r="U534" s="7">
        <f>N534+O534+P534+Q534+S534+R534+T534</f>
        <v>0</v>
      </c>
      <c r="AD534" s="9">
        <f>W534+X534+Y534+Z534+AA534+AB534+AC534</f>
        <v>0</v>
      </c>
      <c r="AF534" s="34"/>
      <c r="AG534" s="34"/>
      <c r="AH534" s="34"/>
      <c r="AN534" s="9">
        <f>AG534+AH534+AI534+AJ534+AK534+AL534+AM534</f>
        <v>0</v>
      </c>
      <c r="AT534" s="11">
        <f>100+477</f>
        <v>577</v>
      </c>
      <c r="AV534" s="64">
        <f>L534+U534+AD534</f>
        <v>4323</v>
      </c>
      <c r="AW534" s="73">
        <f>AT534+AV534+AU534</f>
        <v>4900</v>
      </c>
      <c r="AY534" s="74">
        <f>AZ534+BA534+BB534+BC534+BD534+BE534</f>
        <v>4900</v>
      </c>
      <c r="BA534" s="15">
        <v>4900</v>
      </c>
      <c r="BL534" s="18">
        <v>1</v>
      </c>
      <c r="BM534" s="90" t="s">
        <v>224</v>
      </c>
    </row>
    <row r="535" customHeight="1" spans="1:65">
      <c r="A535" s="1" t="s">
        <v>315</v>
      </c>
      <c r="B535" s="33">
        <v>10060099</v>
      </c>
      <c r="C535" s="3">
        <v>301</v>
      </c>
      <c r="D535" s="3" t="s">
        <v>51</v>
      </c>
      <c r="K535" s="4">
        <f>1840-508</f>
        <v>1332</v>
      </c>
      <c r="L535" s="5">
        <f>E535+F535+H535+I535+J535+G535+K535</f>
        <v>1332</v>
      </c>
      <c r="U535" s="7">
        <f>N535+O535+P535+Q535+S535+R535+T535</f>
        <v>0</v>
      </c>
      <c r="AD535" s="9">
        <f>W535+X535+Y535+Z535+AA535+AB535+AC535</f>
        <v>0</v>
      </c>
      <c r="AF535" s="34"/>
      <c r="AG535" s="34"/>
      <c r="AH535" s="34"/>
      <c r="AN535" s="9">
        <f>AG535+AH535+AI535+AJ535+AK535+AL535+AM535</f>
        <v>0</v>
      </c>
      <c r="AT535" s="11">
        <f>100+318+90</f>
        <v>508</v>
      </c>
      <c r="AV535" s="64">
        <f>L535+U535+AD535</f>
        <v>1332</v>
      </c>
      <c r="AW535" s="73">
        <f>AT535+AV535+AU535</f>
        <v>1840</v>
      </c>
      <c r="AX535" s="13" t="s">
        <v>242</v>
      </c>
      <c r="AY535" s="74">
        <f>AZ535+BA535+BB535+BC535+BD535+BE535</f>
        <v>1840</v>
      </c>
      <c r="BB535" s="16">
        <v>1840</v>
      </c>
      <c r="BL535" s="18">
        <v>6</v>
      </c>
      <c r="BM535" s="10" t="s">
        <v>130</v>
      </c>
    </row>
    <row r="536" customHeight="1" spans="1:64">
      <c r="A536" s="1" t="s">
        <v>315</v>
      </c>
      <c r="B536" s="33">
        <v>10060100</v>
      </c>
      <c r="C536" s="3">
        <v>318</v>
      </c>
      <c r="D536" s="3" t="s">
        <v>119</v>
      </c>
      <c r="E536" s="3">
        <v>980</v>
      </c>
      <c r="G536" s="3">
        <v>5160</v>
      </c>
      <c r="H536" s="3">
        <v>2980</v>
      </c>
      <c r="K536" s="4">
        <f>10500-9538</f>
        <v>962</v>
      </c>
      <c r="L536" s="5">
        <f>E536+F536+H536+I536+J536+G536+K536</f>
        <v>10082</v>
      </c>
      <c r="U536" s="7">
        <f>N536+O536+P536+Q536+S536+R536+T536</f>
        <v>0</v>
      </c>
      <c r="AD536" s="9">
        <f>W536+X536+Y536+Z536+AA536+AB536+AC536</f>
        <v>0</v>
      </c>
      <c r="AF536" s="34"/>
      <c r="AG536" s="34"/>
      <c r="AH536" s="34"/>
      <c r="AN536" s="9">
        <f>AG536+AH536+AI536+AJ536+AK536+AL536+AM536</f>
        <v>0</v>
      </c>
      <c r="AT536" s="11">
        <f>100+318</f>
        <v>418</v>
      </c>
      <c r="AV536" s="64">
        <f>L536+U536+AD536</f>
        <v>10082</v>
      </c>
      <c r="AW536" s="73">
        <f>AT536+AV536+AU536</f>
        <v>10500</v>
      </c>
      <c r="AY536" s="74">
        <f>AZ536+BA536+BB536+BC536+BD536+BE536</f>
        <v>10500</v>
      </c>
      <c r="BA536" s="15">
        <v>10500</v>
      </c>
      <c r="BL536" s="18">
        <v>2</v>
      </c>
    </row>
    <row r="537" customHeight="1" spans="1:65">
      <c r="A537" s="1" t="s">
        <v>315</v>
      </c>
      <c r="B537" s="33">
        <v>10060101</v>
      </c>
      <c r="C537" s="34" t="s">
        <v>56</v>
      </c>
      <c r="D537" s="3" t="s">
        <v>286</v>
      </c>
      <c r="E537" s="3">
        <v>3180</v>
      </c>
      <c r="G537" s="3">
        <v>8890</v>
      </c>
      <c r="I537" s="3">
        <v>6360</v>
      </c>
      <c r="K537" s="4">
        <f>23900-19375</f>
        <v>4525</v>
      </c>
      <c r="L537" s="5">
        <f>E537+F537+H537+I537+J537+G537+K537</f>
        <v>22955</v>
      </c>
      <c r="U537" s="7">
        <f>N537+O537+P537+Q537+S537+R537+T537</f>
        <v>0</v>
      </c>
      <c r="AD537" s="9">
        <f>W537+X537+Y537+Z537+AA537+AB537+AC537</f>
        <v>0</v>
      </c>
      <c r="AF537" s="34"/>
      <c r="AG537" s="34"/>
      <c r="AH537" s="34"/>
      <c r="AN537" s="9">
        <f>AG537+AH537+AI537+AJ537+AK537+AL537+AM537</f>
        <v>0</v>
      </c>
      <c r="AT537" s="11">
        <f>100+845</f>
        <v>945</v>
      </c>
      <c r="AV537" s="64">
        <f>L537+U537+AD537</f>
        <v>22955</v>
      </c>
      <c r="AW537" s="73">
        <f>AT537+AV537+AU537</f>
        <v>23900</v>
      </c>
      <c r="AY537" s="74">
        <f>AZ537+BA537+BB537+BC537+BD537+BE537</f>
        <v>23900</v>
      </c>
      <c r="AZ537" s="14">
        <v>23900</v>
      </c>
      <c r="BL537" s="18">
        <v>5</v>
      </c>
      <c r="BM537" s="90" t="s">
        <v>130</v>
      </c>
    </row>
    <row r="538" customHeight="1" spans="1:65">
      <c r="A538" s="1" t="s">
        <v>315</v>
      </c>
      <c r="B538" s="33">
        <v>10060102</v>
      </c>
      <c r="C538" s="34" t="s">
        <v>65</v>
      </c>
      <c r="D538" s="3" t="s">
        <v>309</v>
      </c>
      <c r="E538" s="3">
        <v>2180</v>
      </c>
      <c r="I538" s="3">
        <v>7378</v>
      </c>
      <c r="K538" s="4">
        <f>11500-10294</f>
        <v>1206</v>
      </c>
      <c r="L538" s="5">
        <f>E538+F538+H538+I538+J538+G538+K538</f>
        <v>10764</v>
      </c>
      <c r="U538" s="7">
        <f>N538+O538+P538+Q538+S538+R538+T538</f>
        <v>0</v>
      </c>
      <c r="AD538" s="9">
        <f>W538+X538+Y538+Z538+AA538+AB538+AC538</f>
        <v>0</v>
      </c>
      <c r="AF538" s="34"/>
      <c r="AG538" s="34"/>
      <c r="AH538" s="34"/>
      <c r="AN538" s="9">
        <f>AG538+AH538+AI538+AJ538+AK538+AL538+AM538</f>
        <v>0</v>
      </c>
      <c r="AT538" s="11">
        <f>100+507+29+100</f>
        <v>736</v>
      </c>
      <c r="AV538" s="64">
        <f>L538+U538+AD538</f>
        <v>10764</v>
      </c>
      <c r="AW538" s="73">
        <f>AT538+AV538+AU538</f>
        <v>11500</v>
      </c>
      <c r="AY538" s="74">
        <f>AZ538+BA538+BB538+BC538+BD538+BE538</f>
        <v>11500</v>
      </c>
      <c r="BA538" s="15">
        <v>11500</v>
      </c>
      <c r="BL538" s="18">
        <v>2</v>
      </c>
      <c r="BM538" s="90" t="s">
        <v>130</v>
      </c>
    </row>
    <row r="539" customHeight="1" spans="1:64">
      <c r="A539" s="1" t="s">
        <v>315</v>
      </c>
      <c r="B539" s="33">
        <v>10060103</v>
      </c>
      <c r="C539" s="34" t="s">
        <v>54</v>
      </c>
      <c r="D539" s="3" t="s">
        <v>99</v>
      </c>
      <c r="E539" s="3">
        <v>2180</v>
      </c>
      <c r="I539" s="3">
        <v>9996</v>
      </c>
      <c r="K539" s="4">
        <f>16840-13628</f>
        <v>3212</v>
      </c>
      <c r="L539" s="5">
        <f>E539+F539+H539+I539+J539+G539+K539</f>
        <v>15388</v>
      </c>
      <c r="U539" s="7">
        <f>N539+O539+P539+Q539+S539+R539+T539</f>
        <v>0</v>
      </c>
      <c r="AD539" s="9">
        <f>W539+X539+Y539+Z539+AA539+AB539+AC539</f>
        <v>0</v>
      </c>
      <c r="AF539" s="34"/>
      <c r="AG539" s="34"/>
      <c r="AH539" s="34"/>
      <c r="AN539" s="9">
        <f>AG539+AH539+AI539+AJ539+AK539+AL539+AM539</f>
        <v>0</v>
      </c>
      <c r="AT539" s="11">
        <f>100+1352</f>
        <v>1452</v>
      </c>
      <c r="AV539" s="64">
        <f>L539+U539+AD539</f>
        <v>15388</v>
      </c>
      <c r="AW539" s="73">
        <f>AT539+AV539+AU539</f>
        <v>16840</v>
      </c>
      <c r="AY539" s="74">
        <f>AZ539+BA539+BB539+BC539+BD539+BE539</f>
        <v>19732</v>
      </c>
      <c r="AZ539" s="14">
        <v>16840</v>
      </c>
      <c r="BC539" s="17">
        <v>2670</v>
      </c>
      <c r="BD539" s="17">
        <v>80</v>
      </c>
      <c r="BE539" s="17">
        <v>142</v>
      </c>
      <c r="BL539" s="18">
        <v>7</v>
      </c>
    </row>
    <row r="540" customHeight="1" spans="1:65">
      <c r="A540" s="1" t="s">
        <v>315</v>
      </c>
      <c r="B540" s="33">
        <v>10060104</v>
      </c>
      <c r="C540" s="34" t="s">
        <v>59</v>
      </c>
      <c r="D540" s="3" t="s">
        <v>230</v>
      </c>
      <c r="E540" s="3">
        <v>2180</v>
      </c>
      <c r="G540" s="3">
        <v>7980</v>
      </c>
      <c r="K540" s="4">
        <f>13000-10816</f>
        <v>2184</v>
      </c>
      <c r="L540" s="5">
        <f>E540+F540+H540+I540+J540+G540+K540</f>
        <v>12344</v>
      </c>
      <c r="U540" s="7">
        <f>N540+O540+P540+Q540+S540+R540+T540</f>
        <v>0</v>
      </c>
      <c r="AD540" s="9">
        <f>W540+X540+Y540+Z540+AA540+AB540+AC540</f>
        <v>0</v>
      </c>
      <c r="AF540" s="34"/>
      <c r="AG540" s="34"/>
      <c r="AH540" s="34"/>
      <c r="AN540" s="9">
        <f>AG540+AH540+AI540+AJ540+AK540+AL540+AM540</f>
        <v>0</v>
      </c>
      <c r="AT540" s="11">
        <f>100+49+507</f>
        <v>656</v>
      </c>
      <c r="AV540" s="64">
        <f>L540+U540+AD540</f>
        <v>12344</v>
      </c>
      <c r="AW540" s="73">
        <f>AT540+AV540+AU540</f>
        <v>13000</v>
      </c>
      <c r="AY540" s="74">
        <f>AZ540+BA540+BB540+BC540+BD540+BE540</f>
        <v>13200</v>
      </c>
      <c r="BA540" s="15">
        <v>13000</v>
      </c>
      <c r="BC540" s="17">
        <v>200</v>
      </c>
      <c r="BL540" s="18">
        <v>3</v>
      </c>
      <c r="BM540" s="90" t="s">
        <v>254</v>
      </c>
    </row>
    <row r="541" customHeight="1" spans="1:65">
      <c r="A541" s="1" t="s">
        <v>315</v>
      </c>
      <c r="B541" s="33">
        <v>10060105</v>
      </c>
      <c r="C541" s="3" t="s">
        <v>44</v>
      </c>
      <c r="D541" s="3" t="s">
        <v>280</v>
      </c>
      <c r="E541" s="3">
        <v>1880</v>
      </c>
      <c r="I541" s="3">
        <v>5712</v>
      </c>
      <c r="J541" s="3">
        <f>168+69+168+169</f>
        <v>574</v>
      </c>
      <c r="K541" s="4">
        <f>11240-9379</f>
        <v>1861</v>
      </c>
      <c r="L541" s="5">
        <f>E541+F541+H541+I541+J541+G541+K541</f>
        <v>10027</v>
      </c>
      <c r="U541" s="7">
        <f>N541+O541+P541+Q541+S541+R541+T541</f>
        <v>0</v>
      </c>
      <c r="AD541" s="9">
        <f>W541+X541+Y541+Z541+AA541+AB541+AC541</f>
        <v>0</v>
      </c>
      <c r="AF541" s="34"/>
      <c r="AG541" s="34"/>
      <c r="AH541" s="34"/>
      <c r="AN541" s="9">
        <f>AG541+AH541+AI541+AJ541+AK541+AL541+AM541</f>
        <v>0</v>
      </c>
      <c r="AT541" s="11">
        <f>100+1113</f>
        <v>1213</v>
      </c>
      <c r="AV541" s="64">
        <f>L541+U541+AD541</f>
        <v>10027</v>
      </c>
      <c r="AW541" s="73">
        <f>AT541+AV541+AU541</f>
        <v>11240</v>
      </c>
      <c r="AY541" s="74">
        <f>AZ541+BA541+BB541+BC541+BD541+BE541</f>
        <v>11240</v>
      </c>
      <c r="AZ541" s="14">
        <v>11240</v>
      </c>
      <c r="BL541" s="18">
        <v>6</v>
      </c>
      <c r="BM541" s="90" t="s">
        <v>224</v>
      </c>
    </row>
    <row r="542" customHeight="1" spans="1:65">
      <c r="A542" s="1" t="s">
        <v>315</v>
      </c>
      <c r="B542" s="33">
        <v>10060106</v>
      </c>
      <c r="C542" s="34" t="s">
        <v>93</v>
      </c>
      <c r="D542" s="3" t="s">
        <v>214</v>
      </c>
      <c r="K542" s="4">
        <f>12100-906</f>
        <v>11194</v>
      </c>
      <c r="L542" s="5">
        <f>E542+F542+H542+I542+J542+G542+K542</f>
        <v>11194</v>
      </c>
      <c r="U542" s="7">
        <f>N542+O542+P542+Q542+S542+R542+T542</f>
        <v>0</v>
      </c>
      <c r="AD542" s="9">
        <f>W542+X542+Y542+Z542+AA542+AB542+AC542</f>
        <v>0</v>
      </c>
      <c r="AF542" s="34"/>
      <c r="AG542" s="34"/>
      <c r="AH542" s="34"/>
      <c r="AN542" s="9">
        <f>AG542+AH542+AI542+AJ542+AK542+AL542+AM542</f>
        <v>0</v>
      </c>
      <c r="AT542" s="11">
        <f>100+130+676</f>
        <v>906</v>
      </c>
      <c r="AV542" s="64">
        <f>L542+U542+AD542</f>
        <v>11194</v>
      </c>
      <c r="AW542" s="73">
        <f>AT542+AV542+AU542</f>
        <v>12100</v>
      </c>
      <c r="AX542" s="13" t="s">
        <v>319</v>
      </c>
      <c r="AY542" s="74">
        <f>AZ542+BA542+BB542+BC542+BD542+BE542</f>
        <v>12100</v>
      </c>
      <c r="BB542" s="16">
        <v>12100</v>
      </c>
      <c r="BL542" s="18">
        <v>4</v>
      </c>
      <c r="BM542" s="90" t="s">
        <v>254</v>
      </c>
    </row>
    <row r="543" customHeight="1" spans="1:65">
      <c r="A543" s="1" t="s">
        <v>315</v>
      </c>
      <c r="B543" s="33">
        <v>10060107</v>
      </c>
      <c r="C543" s="34" t="s">
        <v>94</v>
      </c>
      <c r="D543" s="3" t="s">
        <v>201</v>
      </c>
      <c r="E543" s="3">
        <v>1680</v>
      </c>
      <c r="I543" s="3">
        <v>3816</v>
      </c>
      <c r="J543" s="3">
        <f>99+336+774+169</f>
        <v>1378</v>
      </c>
      <c r="K543" s="4">
        <f>8300-7588</f>
        <v>712</v>
      </c>
      <c r="L543" s="5">
        <f>E543+F543+H543+I543+J543+G543+K543</f>
        <v>7586</v>
      </c>
      <c r="U543" s="7">
        <f>N543+O543+P543+Q543+S543+R543+T543</f>
        <v>0</v>
      </c>
      <c r="AD543" s="9">
        <f>W543+X543+Y543+Z543+AA543+AB543+AC543</f>
        <v>0</v>
      </c>
      <c r="AF543" s="34"/>
      <c r="AG543" s="34"/>
      <c r="AH543" s="34"/>
      <c r="AN543" s="9">
        <f>AG543+AH543+AI543+AJ543+AK543+AL543+AM543</f>
        <v>0</v>
      </c>
      <c r="AT543" s="11">
        <f>100+507+49+58</f>
        <v>714</v>
      </c>
      <c r="AV543" s="64">
        <f>L543+U543+AD543</f>
        <v>7586</v>
      </c>
      <c r="AW543" s="73">
        <f>AT543+AV543+AU543</f>
        <v>8300</v>
      </c>
      <c r="AY543" s="74">
        <f>AZ543+BA543+BB543+BC543+BD543+BE543</f>
        <v>8300</v>
      </c>
      <c r="BA543" s="15">
        <v>8300</v>
      </c>
      <c r="BL543" s="18">
        <v>3</v>
      </c>
      <c r="BM543" s="90" t="s">
        <v>130</v>
      </c>
    </row>
    <row r="544" customHeight="1" spans="1:65">
      <c r="A544" s="1" t="s">
        <v>315</v>
      </c>
      <c r="B544" s="33">
        <v>10060108</v>
      </c>
      <c r="C544" s="34" t="s">
        <v>97</v>
      </c>
      <c r="D544" s="3" t="s">
        <v>273</v>
      </c>
      <c r="E544" s="3">
        <v>2180</v>
      </c>
      <c r="G544" s="3">
        <f>4690+8890</f>
        <v>13580</v>
      </c>
      <c r="J544" s="3">
        <f>69+276</f>
        <v>345</v>
      </c>
      <c r="K544" s="4">
        <f>21400-17904</f>
        <v>3496</v>
      </c>
      <c r="L544" s="5">
        <f>E544+F544+H544+I544+J544+G544+K544</f>
        <v>19601</v>
      </c>
      <c r="U544" s="7">
        <f>N544+O544+P544+Q544+S544+R544+T544</f>
        <v>0</v>
      </c>
      <c r="AD544" s="9">
        <f>W544+X544+Y544+Z544+AA544+AB544+AC544</f>
        <v>0</v>
      </c>
      <c r="AF544" s="34"/>
      <c r="AG544" s="34"/>
      <c r="AH544" s="34"/>
      <c r="AN544" s="9">
        <f>AG544+AH544+AI544+AJ544+AK544+AL544+AM544</f>
        <v>0</v>
      </c>
      <c r="AT544" s="11">
        <f>100+1521+49+29+100</f>
        <v>1799</v>
      </c>
      <c r="AV544" s="64">
        <f>L544+U544+AD544</f>
        <v>19601</v>
      </c>
      <c r="AW544" s="73">
        <f>AT544+AV544+AU544</f>
        <v>21400</v>
      </c>
      <c r="AY544" s="74">
        <f>AZ544+BA544+BB544+BC544+BD544+BE544</f>
        <v>21400</v>
      </c>
      <c r="BA544" s="15">
        <v>21400</v>
      </c>
      <c r="BL544" s="18">
        <v>4</v>
      </c>
      <c r="BM544" s="90" t="s">
        <v>244</v>
      </c>
    </row>
    <row r="545" customHeight="1" spans="1:65">
      <c r="A545" s="1" t="s">
        <v>315</v>
      </c>
      <c r="B545" s="33">
        <v>10060109</v>
      </c>
      <c r="C545" s="34" t="s">
        <v>67</v>
      </c>
      <c r="D545" s="3" t="s">
        <v>218</v>
      </c>
      <c r="E545" s="3">
        <v>2180</v>
      </c>
      <c r="I545" s="3">
        <v>8568</v>
      </c>
      <c r="K545" s="4">
        <f>13700-11969</f>
        <v>1731</v>
      </c>
      <c r="L545" s="5">
        <f>E545+F545+H545+I545+J545+G545+K545</f>
        <v>12479</v>
      </c>
      <c r="U545" s="7">
        <f>N545+O545+P545+Q545+S545+R545+T545</f>
        <v>0</v>
      </c>
      <c r="AD545" s="9">
        <f>W545+X545+Y545+Z545+AA545+AB545+AC545</f>
        <v>0</v>
      </c>
      <c r="AF545" s="34"/>
      <c r="AG545" s="34"/>
      <c r="AH545" s="34"/>
      <c r="AN545" s="9">
        <f>AG545+AH545+AI545+AJ545+AK545+AL545+AM545</f>
        <v>0</v>
      </c>
      <c r="AT545" s="11">
        <f>100+1014+49+58</f>
        <v>1221</v>
      </c>
      <c r="AV545" s="64">
        <f>L545+U545+AD545</f>
        <v>12479</v>
      </c>
      <c r="AW545" s="73">
        <f>AT545+AV545+AU545</f>
        <v>13700</v>
      </c>
      <c r="AY545" s="74">
        <f>AZ545+BA545+BB545+BC545+BD545+BE545</f>
        <v>13700</v>
      </c>
      <c r="BA545" s="15">
        <v>13700</v>
      </c>
      <c r="BL545" s="18">
        <v>6</v>
      </c>
      <c r="BM545" s="90" t="s">
        <v>244</v>
      </c>
    </row>
    <row r="546" customHeight="1" spans="1:65">
      <c r="A546" s="1" t="s">
        <v>315</v>
      </c>
      <c r="B546" s="33">
        <v>10060110</v>
      </c>
      <c r="C546" s="34" t="s">
        <v>54</v>
      </c>
      <c r="D546" s="3" t="s">
        <v>202</v>
      </c>
      <c r="E546" s="3">
        <v>2180</v>
      </c>
      <c r="I546" s="3">
        <v>15264</v>
      </c>
      <c r="K546" s="4">
        <f>21200-18785</f>
        <v>2415</v>
      </c>
      <c r="L546" s="5">
        <f>E546+F546+H546+I546+J546+G546+K546</f>
        <v>19859</v>
      </c>
      <c r="U546" s="7">
        <f>N546+O546+P546+Q546+S546+R546+T546</f>
        <v>0</v>
      </c>
      <c r="AD546" s="9">
        <f>W546+X546+Y546+Z546+AA546+AB546+AC546</f>
        <v>0</v>
      </c>
      <c r="AF546" s="34"/>
      <c r="AG546" s="34"/>
      <c r="AH546" s="34"/>
      <c r="AN546" s="9">
        <f>AG546+AH546+AI546+AJ546+AK546+AL546+AM546</f>
        <v>0</v>
      </c>
      <c r="AT546" s="11">
        <f>100+1183+58</f>
        <v>1341</v>
      </c>
      <c r="AV546" s="64">
        <f>L546+U546+AD546</f>
        <v>19859</v>
      </c>
      <c r="AW546" s="73">
        <f>AT546+AV546+AU546</f>
        <v>21200</v>
      </c>
      <c r="AY546" s="74">
        <f>AZ546+BA546+BB546+BC546+BD546+BE546</f>
        <v>21200</v>
      </c>
      <c r="BA546" s="15">
        <v>21200</v>
      </c>
      <c r="BL546" s="18">
        <v>5</v>
      </c>
      <c r="BM546" s="90" t="s">
        <v>130</v>
      </c>
    </row>
    <row r="547" customHeight="1" spans="1:65">
      <c r="A547" s="1" t="s">
        <v>315</v>
      </c>
      <c r="B547" s="33">
        <v>10060111</v>
      </c>
      <c r="C547" s="34" t="s">
        <v>84</v>
      </c>
      <c r="D547" s="3" t="s">
        <v>85</v>
      </c>
      <c r="E547" s="3">
        <v>2580</v>
      </c>
      <c r="G547" s="3">
        <v>17780</v>
      </c>
      <c r="I547" s="3">
        <v>6678</v>
      </c>
      <c r="J547" s="3">
        <f>168+129+169</f>
        <v>466</v>
      </c>
      <c r="K547" s="4">
        <f>34900-29622</f>
        <v>5278</v>
      </c>
      <c r="L547" s="5">
        <f>E547+F547+H547+I547+J547+G547+K547</f>
        <v>32782</v>
      </c>
      <c r="U547" s="7">
        <f>N547+O547+P547+Q547+S547+R547+T547</f>
        <v>0</v>
      </c>
      <c r="AD547" s="9">
        <f>W547+X547+Y547+Z547+AA547+AB547+AC547</f>
        <v>0</v>
      </c>
      <c r="AF547" s="34"/>
      <c r="AG547" s="34"/>
      <c r="AH547" s="34"/>
      <c r="AN547" s="9">
        <f>AG547+AH547+AI547+AJ547+AK547+AL547+AM547</f>
        <v>0</v>
      </c>
      <c r="AT547" s="11">
        <f>100+1352+58+100+110</f>
        <v>1720</v>
      </c>
      <c r="AU547" s="11">
        <v>398</v>
      </c>
      <c r="AV547" s="64">
        <f>L547+U547+AD547</f>
        <v>32782</v>
      </c>
      <c r="AW547" s="73">
        <f>AT547+AV547+AU547</f>
        <v>34900</v>
      </c>
      <c r="AY547" s="74">
        <f>AZ547+BA547+BB547+BC547+BD547+BE547</f>
        <v>34900</v>
      </c>
      <c r="BA547" s="15">
        <v>34900</v>
      </c>
      <c r="BL547" s="18">
        <v>8</v>
      </c>
      <c r="BM547" s="90" t="s">
        <v>254</v>
      </c>
    </row>
    <row r="548" customHeight="1" spans="1:64">
      <c r="A548" s="1" t="s">
        <v>320</v>
      </c>
      <c r="B548" s="33">
        <v>10060112</v>
      </c>
      <c r="C548" s="34" t="s">
        <v>107</v>
      </c>
      <c r="D548" s="34" t="s">
        <v>321</v>
      </c>
      <c r="E548" s="3">
        <v>1299</v>
      </c>
      <c r="I548" s="3">
        <v>2856</v>
      </c>
      <c r="J548" s="3">
        <f>387+387+129+338</f>
        <v>1241</v>
      </c>
      <c r="K548" s="4">
        <f>6700-5496</f>
        <v>1204</v>
      </c>
      <c r="L548" s="5">
        <f>E548+F548+H548+I548+J548+G548+K548</f>
        <v>6600</v>
      </c>
      <c r="U548" s="7">
        <f>N548+O548+P548+Q548+S548+R548+T548</f>
        <v>0</v>
      </c>
      <c r="AD548" s="9">
        <f>W548+X548+Y548+Z548+AA548+AB548+AC548</f>
        <v>0</v>
      </c>
      <c r="AF548" s="34"/>
      <c r="AG548" s="34"/>
      <c r="AH548" s="34"/>
      <c r="AN548" s="9">
        <f>AG548+AH548+AI548+AJ548+AK548+AL548+AM548</f>
        <v>0</v>
      </c>
      <c r="AT548" s="11">
        <f>100</f>
        <v>100</v>
      </c>
      <c r="AV548" s="64">
        <f>L548+U548+AD548</f>
        <v>6600</v>
      </c>
      <c r="AW548" s="73">
        <f>AT548+AV548+AU548</f>
        <v>6700</v>
      </c>
      <c r="AY548" s="74">
        <f>AZ548+BA548+BB548+BC548+BD548+BE548</f>
        <v>6700</v>
      </c>
      <c r="BA548" s="15">
        <v>6700</v>
      </c>
      <c r="BL548" s="18">
        <v>13</v>
      </c>
    </row>
    <row r="549" customHeight="1" spans="1:51">
      <c r="A549" s="1" t="s">
        <v>320</v>
      </c>
      <c r="B549" s="33">
        <v>10060113</v>
      </c>
      <c r="C549" s="3">
        <v>316</v>
      </c>
      <c r="D549" s="3" t="s">
        <v>137</v>
      </c>
      <c r="L549" s="5">
        <f>E549+F549+H549+I549+J549+G549+K549</f>
        <v>0</v>
      </c>
      <c r="U549" s="7">
        <f>N549+O549+P549+Q549+S549+R549+T549</f>
        <v>0</v>
      </c>
      <c r="AD549" s="9">
        <f>W549+X549+Y549+Z549+AA549+AB549+AC549</f>
        <v>0</v>
      </c>
      <c r="AF549" s="34" t="s">
        <v>137</v>
      </c>
      <c r="AG549" s="34">
        <v>980</v>
      </c>
      <c r="AH549" s="34"/>
      <c r="AK549" s="3">
        <v>7632</v>
      </c>
      <c r="AL549" s="3">
        <f>138+336+129+129+169+69+49</f>
        <v>1019</v>
      </c>
      <c r="AM549" s="3">
        <f>13038-11125</f>
        <v>1913</v>
      </c>
      <c r="AN549" s="9">
        <f>AG549+AH549+AI549+AJ549+AK549+AL549+AM549</f>
        <v>11544</v>
      </c>
      <c r="AO549" s="10">
        <v>1494</v>
      </c>
      <c r="AV549" s="64">
        <f>L549+U549+AD549</f>
        <v>0</v>
      </c>
      <c r="AW549" s="73">
        <f>AT549+AV549+AU549</f>
        <v>0</v>
      </c>
      <c r="AX549" s="13" t="s">
        <v>322</v>
      </c>
      <c r="AY549" s="74">
        <f>AZ549+BA549+BB549+BC549+BD549+BE549</f>
        <v>0</v>
      </c>
    </row>
    <row r="550" customHeight="1" spans="1:65">
      <c r="A550" s="1" t="s">
        <v>320</v>
      </c>
      <c r="B550" s="33">
        <v>10060114</v>
      </c>
      <c r="C550" s="3" t="s">
        <v>192</v>
      </c>
      <c r="D550" s="34"/>
      <c r="L550" s="5">
        <f>E550+F550+H550+I550+J550+G550+K550</f>
        <v>0</v>
      </c>
      <c r="U550" s="7">
        <f>N550+O550+P550+Q550+S550+R550+T550</f>
        <v>0</v>
      </c>
      <c r="V550" s="91" t="s">
        <v>185</v>
      </c>
      <c r="AD550" s="9">
        <f>W550+X550+Y550+Z550+AA550+AB550+AC550</f>
        <v>0</v>
      </c>
      <c r="AF550" s="34"/>
      <c r="AG550" s="34"/>
      <c r="AH550" s="34"/>
      <c r="AN550" s="9">
        <f>AG550+AH550+AI550+AJ550+AK550+AL550+AM550</f>
        <v>0</v>
      </c>
      <c r="AV550" s="64">
        <f>L550+U550+AD550</f>
        <v>0</v>
      </c>
      <c r="AW550" s="73">
        <f>AT550+AV550+AU550</f>
        <v>0</v>
      </c>
      <c r="AY550" s="74">
        <f>AZ550+BA550+BB550+BC550+BD550+BE550</f>
        <v>0</v>
      </c>
      <c r="BM550" s="90" t="s">
        <v>323</v>
      </c>
    </row>
    <row r="551" customHeight="1" spans="1:64">
      <c r="A551" s="1" t="s">
        <v>320</v>
      </c>
      <c r="B551" s="33">
        <v>10060115</v>
      </c>
      <c r="C551" s="34" t="s">
        <v>159</v>
      </c>
      <c r="D551" s="34"/>
      <c r="L551" s="5">
        <f>E551+F551+H551+I551+J551+G551+K551</f>
        <v>0</v>
      </c>
      <c r="U551" s="7">
        <f>N551+O551+P551+Q551+S551+R551+T551</f>
        <v>0</v>
      </c>
      <c r="V551" s="91" t="s">
        <v>266</v>
      </c>
      <c r="AC551" s="8">
        <v>7623</v>
      </c>
      <c r="AD551" s="9">
        <f>W551+X551+Y551+Z551+AA551+AB551+AC551</f>
        <v>7623</v>
      </c>
      <c r="AF551" s="34"/>
      <c r="AG551" s="34"/>
      <c r="AH551" s="34"/>
      <c r="AN551" s="9">
        <f>AG551+AH551+AI551+AJ551+AK551+AL551+AM551</f>
        <v>0</v>
      </c>
      <c r="AT551" s="11">
        <f>100+477</f>
        <v>577</v>
      </c>
      <c r="AV551" s="64">
        <f>L551+U551+AD551</f>
        <v>7623</v>
      </c>
      <c r="AW551" s="73">
        <f>AT551+AV551+AU551</f>
        <v>8200</v>
      </c>
      <c r="AY551" s="74">
        <f>AZ551+BA551+BB551+BC551+BD551+BE551</f>
        <v>10560</v>
      </c>
      <c r="BB551" s="16">
        <v>8200</v>
      </c>
      <c r="BC551" s="17">
        <v>2200</v>
      </c>
      <c r="BD551" s="17">
        <v>100</v>
      </c>
      <c r="BE551" s="17">
        <v>60</v>
      </c>
      <c r="BL551" s="18">
        <v>1</v>
      </c>
    </row>
    <row r="552" customHeight="1" spans="1:65">
      <c r="A552" s="1" t="s">
        <v>320</v>
      </c>
      <c r="B552" s="33">
        <v>10060116</v>
      </c>
      <c r="C552" s="3">
        <v>302</v>
      </c>
      <c r="D552" s="34" t="s">
        <v>243</v>
      </c>
      <c r="E552" s="3">
        <v>980</v>
      </c>
      <c r="I552" s="3">
        <v>1428</v>
      </c>
      <c r="K552" s="4">
        <f>3660-3193</f>
        <v>467</v>
      </c>
      <c r="L552" s="5">
        <f>E552+F552+H552+I552+J552+G552+K552</f>
        <v>2875</v>
      </c>
      <c r="U552" s="7">
        <f>N552+O552+P552+Q552+S552+R552+T552</f>
        <v>0</v>
      </c>
      <c r="AD552" s="9">
        <f>W552+X552+Y552+Z552+AA552+AB552+AC552</f>
        <v>0</v>
      </c>
      <c r="AF552" s="34"/>
      <c r="AG552" s="34"/>
      <c r="AH552" s="34"/>
      <c r="AN552" s="9">
        <f>AG552+AH552+AI552+AJ552+AK552+AL552+AM552</f>
        <v>0</v>
      </c>
      <c r="AT552" s="11">
        <f>100+636+49</f>
        <v>785</v>
      </c>
      <c r="AV552" s="64">
        <f>L552+U552+AD552</f>
        <v>2875</v>
      </c>
      <c r="AW552" s="73">
        <f>AT552+AV552+AU552</f>
        <v>3660</v>
      </c>
      <c r="AY552" s="74">
        <f>AZ552+BA552+BB552+BC552+BD552+BE552</f>
        <v>3660</v>
      </c>
      <c r="BA552" s="15">
        <v>3660</v>
      </c>
      <c r="BL552" s="18">
        <v>6</v>
      </c>
      <c r="BM552" s="90" t="s">
        <v>224</v>
      </c>
    </row>
    <row r="553" customHeight="1" spans="1:65">
      <c r="A553" s="1" t="s">
        <v>320</v>
      </c>
      <c r="B553" s="33">
        <v>10060117</v>
      </c>
      <c r="C553" s="3" t="s">
        <v>70</v>
      </c>
      <c r="D553" s="3" t="s">
        <v>85</v>
      </c>
      <c r="E553" s="3">
        <v>1880</v>
      </c>
      <c r="I553" s="3">
        <v>3816</v>
      </c>
      <c r="J553" s="3">
        <f>99+168+169</f>
        <v>436</v>
      </c>
      <c r="K553" s="4">
        <f>8400-7356</f>
        <v>1044</v>
      </c>
      <c r="L553" s="5">
        <f>E553+F553+H553+I553+J553+G553+K553</f>
        <v>7176</v>
      </c>
      <c r="U553" s="7">
        <f>N553+O553+P553+Q553+S553+R553+T553</f>
        <v>0</v>
      </c>
      <c r="AD553" s="9">
        <f>W553+X553+Y553+Z553+AA553+AB553+AC553</f>
        <v>0</v>
      </c>
      <c r="AF553" s="34"/>
      <c r="AG553" s="34"/>
      <c r="AH553" s="34"/>
      <c r="AN553" s="9">
        <f>AG553+AH553+AI553+AJ553+AK553+AL553+AM553</f>
        <v>0</v>
      </c>
      <c r="AT553" s="11">
        <f>100+100+49+477+100</f>
        <v>826</v>
      </c>
      <c r="AU553" s="11">
        <v>398</v>
      </c>
      <c r="AV553" s="64">
        <f>L553+U553+AD553</f>
        <v>7176</v>
      </c>
      <c r="AW553" s="73">
        <f>AT553+AV553+AU553</f>
        <v>8400</v>
      </c>
      <c r="AY553" s="74">
        <f>AZ553+BA553+BB553+BC553+BD553+BE553</f>
        <v>8500</v>
      </c>
      <c r="BA553" s="15">
        <v>8400</v>
      </c>
      <c r="BC553" s="17">
        <v>100</v>
      </c>
      <c r="BL553" s="18">
        <v>3</v>
      </c>
      <c r="BM553" s="90" t="s">
        <v>130</v>
      </c>
    </row>
    <row r="554" customHeight="1" spans="1:65">
      <c r="A554" s="1" t="s">
        <v>320</v>
      </c>
      <c r="B554" s="33">
        <v>10060118</v>
      </c>
      <c r="C554" s="3">
        <v>312</v>
      </c>
      <c r="L554" s="5">
        <f>E554+F554+H554+I554+J554+G554+K554</f>
        <v>0</v>
      </c>
      <c r="M554" s="3" t="s">
        <v>296</v>
      </c>
      <c r="N554" s="3">
        <v>980</v>
      </c>
      <c r="Q554" s="3">
        <v>2980</v>
      </c>
      <c r="R554" s="3">
        <v>4046</v>
      </c>
      <c r="T554" s="6">
        <v>1360</v>
      </c>
      <c r="U554" s="7">
        <f>N554+O554+P554+Q554+S554+R554+T554</f>
        <v>9366</v>
      </c>
      <c r="AD554" s="9">
        <f>W554+X554+Y554+Z554+AA554+AB554+AC554</f>
        <v>0</v>
      </c>
      <c r="AF554" s="34"/>
      <c r="AG554" s="34"/>
      <c r="AH554" s="34"/>
      <c r="AN554" s="9">
        <f>AG554+AH554+AI554+AJ554+AK554+AL554+AM554</f>
        <v>0</v>
      </c>
      <c r="AT554" s="11">
        <f>100+169+636+49+80</f>
        <v>1034</v>
      </c>
      <c r="AV554" s="64">
        <f>L554+U554+AD554</f>
        <v>9366</v>
      </c>
      <c r="AW554" s="73">
        <f>AT554+AV554+AU554</f>
        <v>10400</v>
      </c>
      <c r="AY554" s="74">
        <f>AZ554+BA554+BB554+BC554+BD554+BE554</f>
        <v>10400</v>
      </c>
      <c r="BA554" s="15">
        <v>10400</v>
      </c>
      <c r="BL554" s="18">
        <v>4</v>
      </c>
      <c r="BM554" s="90" t="s">
        <v>244</v>
      </c>
    </row>
    <row r="555" customHeight="1" spans="1:65">
      <c r="A555" s="1" t="s">
        <v>320</v>
      </c>
      <c r="B555" s="33">
        <v>10060119</v>
      </c>
      <c r="C555" s="34" t="s">
        <v>65</v>
      </c>
      <c r="D555" s="3" t="s">
        <v>218</v>
      </c>
      <c r="E555" s="3">
        <v>2180</v>
      </c>
      <c r="I555" s="3">
        <v>7140</v>
      </c>
      <c r="J555" s="3">
        <v>129</v>
      </c>
      <c r="K555" s="4">
        <f>11700-10254</f>
        <v>1446</v>
      </c>
      <c r="L555" s="5">
        <f>E555+F555+H555+I555+J555+G555+K555</f>
        <v>10895</v>
      </c>
      <c r="U555" s="7">
        <f>N555+O555+P555+Q555+S555+R555+T555</f>
        <v>0</v>
      </c>
      <c r="AD555" s="9">
        <f>W555+X555+Y555+Z555+AA555+AB555+AC555</f>
        <v>0</v>
      </c>
      <c r="AF555" s="34"/>
      <c r="AG555" s="34"/>
      <c r="AH555" s="34"/>
      <c r="AN555" s="9">
        <f>AG555+AH555+AI555+AJ555+AK555+AL555+AM555</f>
        <v>0</v>
      </c>
      <c r="AT555" s="11">
        <f>100+676+29</f>
        <v>805</v>
      </c>
      <c r="AV555" s="64">
        <f>L555+U555+AD555</f>
        <v>10895</v>
      </c>
      <c r="AW555" s="73">
        <f>AT555+AV555+AU555</f>
        <v>11700</v>
      </c>
      <c r="AY555" s="74">
        <f>AZ555+BA555+BB555+BC555+BD555+BE555</f>
        <v>12100</v>
      </c>
      <c r="BA555" s="15">
        <v>11700</v>
      </c>
      <c r="BC555" s="17">
        <v>390</v>
      </c>
      <c r="BD555" s="17">
        <v>10</v>
      </c>
      <c r="BL555" s="18">
        <v>4</v>
      </c>
      <c r="BM555" s="90" t="s">
        <v>244</v>
      </c>
    </row>
    <row r="556" customHeight="1" spans="1:65">
      <c r="A556" s="1" t="s">
        <v>320</v>
      </c>
      <c r="B556" s="33">
        <v>10060120</v>
      </c>
      <c r="C556" s="34" t="s">
        <v>89</v>
      </c>
      <c r="D556" s="3" t="s">
        <v>324</v>
      </c>
      <c r="E556" s="3">
        <v>2180</v>
      </c>
      <c r="I556" s="3">
        <v>9540</v>
      </c>
      <c r="J556" s="3">
        <f>168+169+169+169+169+129</f>
        <v>973</v>
      </c>
      <c r="K556" s="4">
        <f>17290-13976</f>
        <v>3314</v>
      </c>
      <c r="L556" s="5">
        <f>E556+F556+H556+I556+J556+G556+K556</f>
        <v>16007</v>
      </c>
      <c r="U556" s="7">
        <f>N556+O556+P556+Q556+S556+R556+T556</f>
        <v>0</v>
      </c>
      <c r="AD556" s="9">
        <f>W556+X556+Y556+Z556+AA556+AB556+AC556</f>
        <v>0</v>
      </c>
      <c r="AF556" s="34"/>
      <c r="AG556" s="34"/>
      <c r="AH556" s="34"/>
      <c r="AN556" s="9">
        <f>AG556+AH556+AI556+AJ556+AK556+AL556+AM556</f>
        <v>0</v>
      </c>
      <c r="AT556" s="11">
        <f>100+1183</f>
        <v>1283</v>
      </c>
      <c r="AV556" s="64">
        <f>L556+U556+AD556</f>
        <v>16007</v>
      </c>
      <c r="AW556" s="73">
        <f>AT556+AV556+AU556</f>
        <v>17290</v>
      </c>
      <c r="AY556" s="74">
        <f>AZ556+BA556+BB556+BC556+BD556+BE556</f>
        <v>17790</v>
      </c>
      <c r="AZ556" s="14">
        <v>17290</v>
      </c>
      <c r="BC556" s="17">
        <v>490</v>
      </c>
      <c r="BD556" s="17">
        <v>10</v>
      </c>
      <c r="BL556" s="18">
        <v>4</v>
      </c>
      <c r="BM556" s="90" t="s">
        <v>130</v>
      </c>
    </row>
    <row r="557" customHeight="1" spans="1:65">
      <c r="A557" s="1" t="s">
        <v>320</v>
      </c>
      <c r="B557" s="33">
        <v>10060121</v>
      </c>
      <c r="C557" s="34" t="s">
        <v>59</v>
      </c>
      <c r="D557" s="34" t="s">
        <v>243</v>
      </c>
      <c r="E557" s="3">
        <v>2180</v>
      </c>
      <c r="I557" s="3">
        <v>9540</v>
      </c>
      <c r="J557" s="3">
        <f>99+129</f>
        <v>228</v>
      </c>
      <c r="K557" s="4">
        <f>15100-12971</f>
        <v>2129</v>
      </c>
      <c r="L557" s="5">
        <f>E557+F557+H557+I557+J557+G557+K557</f>
        <v>14077</v>
      </c>
      <c r="U557" s="7">
        <f>N557+O557+P557+Q557+S557+R557+T557</f>
        <v>0</v>
      </c>
      <c r="AD557" s="9">
        <f>W557+X557+Y557+Z557+AA557+AB557+AC557</f>
        <v>0</v>
      </c>
      <c r="AF557" s="34"/>
      <c r="AG557" s="34"/>
      <c r="AH557" s="34"/>
      <c r="AN557" s="9">
        <f>AG557+AH557+AI557+AJ557+AK557+AL557+AM557</f>
        <v>0</v>
      </c>
      <c r="AT557" s="11">
        <f>100+49+845+29</f>
        <v>1023</v>
      </c>
      <c r="AV557" s="64">
        <f>L557+U557+AD557</f>
        <v>14077</v>
      </c>
      <c r="AW557" s="73">
        <f>AT557+AV557+AU557</f>
        <v>15100</v>
      </c>
      <c r="AY557" s="74">
        <f>AZ557+BA557+BB557+BC557+BD557+BE557</f>
        <v>15100</v>
      </c>
      <c r="BA557" s="15">
        <v>15100</v>
      </c>
      <c r="BL557" s="18">
        <v>5</v>
      </c>
      <c r="BM557" s="90" t="s">
        <v>224</v>
      </c>
    </row>
    <row r="558" customHeight="1" spans="1:65">
      <c r="A558" s="1" t="s">
        <v>320</v>
      </c>
      <c r="B558" s="33">
        <v>10060122</v>
      </c>
      <c r="C558" s="34" t="s">
        <v>62</v>
      </c>
      <c r="L558" s="5">
        <f>E558+F558+H558+I558+J558+G558+K558</f>
        <v>0</v>
      </c>
      <c r="M558" s="3" t="s">
        <v>292</v>
      </c>
      <c r="N558" s="3">
        <v>2180</v>
      </c>
      <c r="P558" s="3">
        <v>9190</v>
      </c>
      <c r="S558" s="3">
        <v>98</v>
      </c>
      <c r="T558" s="6">
        <v>2718</v>
      </c>
      <c r="U558" s="7">
        <f>N558+O558+P558+Q558+S558+R558+T558</f>
        <v>14186</v>
      </c>
      <c r="AD558" s="9">
        <f>W558+X558+Y558+Z558+AA558+AB558+AC558</f>
        <v>0</v>
      </c>
      <c r="AF558" s="34"/>
      <c r="AG558" s="34"/>
      <c r="AH558" s="34"/>
      <c r="AN558" s="9">
        <f>AG558+AH558+AI558+AJ558+AK558+AL558+AM558</f>
        <v>0</v>
      </c>
      <c r="AT558" s="11">
        <f>100+1014</f>
        <v>1114</v>
      </c>
      <c r="AV558" s="64">
        <f>L558+U558+AD558</f>
        <v>14186</v>
      </c>
      <c r="AW558" s="73">
        <f>AT558+AV558+AU558</f>
        <v>15300</v>
      </c>
      <c r="AY558" s="74">
        <f>AZ558+BA558+BB558+BC558+BD558+BE558</f>
        <v>15300</v>
      </c>
      <c r="AZ558" s="14">
        <v>15300</v>
      </c>
      <c r="BL558" s="18">
        <v>4</v>
      </c>
      <c r="BM558" s="90" t="s">
        <v>130</v>
      </c>
    </row>
    <row r="559" customHeight="1" spans="1:65">
      <c r="A559" s="1" t="s">
        <v>320</v>
      </c>
      <c r="B559" s="33">
        <v>10060123</v>
      </c>
      <c r="C559" s="34" t="s">
        <v>97</v>
      </c>
      <c r="D559" s="3" t="s">
        <v>51</v>
      </c>
      <c r="E559" s="3">
        <v>2180</v>
      </c>
      <c r="I559" s="3">
        <v>7021</v>
      </c>
      <c r="J559" s="3">
        <f>139+99</f>
        <v>238</v>
      </c>
      <c r="K559" s="4">
        <f>11700-10293</f>
        <v>1407</v>
      </c>
      <c r="L559" s="5">
        <f>E559+F559+H559+I559+J559+G559+K559</f>
        <v>10846</v>
      </c>
      <c r="U559" s="7">
        <f>N559+O559+P559+Q559+S559+R559+T559</f>
        <v>0</v>
      </c>
      <c r="AD559" s="9">
        <f>W559+X559+Y559+Z559+AA559+AB559+AC559</f>
        <v>0</v>
      </c>
      <c r="AF559" s="34"/>
      <c r="AG559" s="34"/>
      <c r="AH559" s="34"/>
      <c r="AN559" s="9">
        <f>AG559+AH559+AI559+AJ559+AK559+AL559+AM559</f>
        <v>0</v>
      </c>
      <c r="AT559" s="11">
        <f>100+676+49+29</f>
        <v>854</v>
      </c>
      <c r="AV559" s="64">
        <f>L559+U559+AD559</f>
        <v>10846</v>
      </c>
      <c r="AW559" s="73">
        <f>AT559+AV559+AU559</f>
        <v>11700</v>
      </c>
      <c r="AY559" s="74">
        <f>AZ559+BA559+BB559+BC559+BD559+BE559</f>
        <v>11700</v>
      </c>
      <c r="BA559" s="15">
        <v>11700</v>
      </c>
      <c r="BL559" s="18">
        <v>4</v>
      </c>
      <c r="BM559" s="90" t="s">
        <v>130</v>
      </c>
    </row>
    <row r="560" customHeight="1" spans="1:65">
      <c r="A560" s="1" t="s">
        <v>320</v>
      </c>
      <c r="B560" s="33">
        <v>10060124</v>
      </c>
      <c r="C560" s="34" t="s">
        <v>67</v>
      </c>
      <c r="L560" s="5">
        <f>E560+F560+H560+I560+J560+G560+K560</f>
        <v>0</v>
      </c>
      <c r="M560" s="3" t="s">
        <v>279</v>
      </c>
      <c r="N560" s="3">
        <v>2180</v>
      </c>
      <c r="P560" s="3">
        <v>14080</v>
      </c>
      <c r="T560" s="6">
        <v>2366</v>
      </c>
      <c r="U560" s="7">
        <f>N560+O560+P560+Q560+S560+R560+T560</f>
        <v>18626</v>
      </c>
      <c r="AD560" s="9">
        <f>W560+X560+Y560+Z560+AA560+AB560+AC560</f>
        <v>0</v>
      </c>
      <c r="AF560" s="34"/>
      <c r="AG560" s="34"/>
      <c r="AH560" s="34"/>
      <c r="AN560" s="9">
        <f>AG560+AH560+AI560+AJ560+AK560+AL560+AM560</f>
        <v>0</v>
      </c>
      <c r="AT560" s="11">
        <f>100+169+676+29</f>
        <v>974</v>
      </c>
      <c r="AV560" s="64">
        <f>L560+U560+AD560</f>
        <v>18626</v>
      </c>
      <c r="AW560" s="73">
        <f>AT560+AV560+AU560</f>
        <v>19600</v>
      </c>
      <c r="AY560" s="74">
        <f>AZ560+BA560+BB560+BC560+BD560+BE560</f>
        <v>21200</v>
      </c>
      <c r="BA560" s="15">
        <v>19600</v>
      </c>
      <c r="BC560" s="17">
        <v>1550</v>
      </c>
      <c r="BD560" s="17">
        <v>50</v>
      </c>
      <c r="BL560" s="18">
        <v>2</v>
      </c>
      <c r="BM560" s="90" t="s">
        <v>130</v>
      </c>
    </row>
    <row r="561" customHeight="1" spans="1:65">
      <c r="A561" s="1" t="s">
        <v>320</v>
      </c>
      <c r="B561" s="33">
        <v>10060125</v>
      </c>
      <c r="C561" s="34" t="s">
        <v>93</v>
      </c>
      <c r="D561" s="3" t="s">
        <v>218</v>
      </c>
      <c r="E561" s="3">
        <v>2180</v>
      </c>
      <c r="G561" s="3">
        <v>4690</v>
      </c>
      <c r="I561" s="3">
        <v>7378</v>
      </c>
      <c r="J561" s="3">
        <v>169</v>
      </c>
      <c r="K561" s="4">
        <f>17200-15391</f>
        <v>1809</v>
      </c>
      <c r="L561" s="5">
        <f>E561+F561+H561+I561+J561+G561+K561</f>
        <v>16226</v>
      </c>
      <c r="U561" s="7">
        <f>N561+O561+P561+Q561+S561+R561+T561</f>
        <v>0</v>
      </c>
      <c r="AD561" s="9">
        <f>W561+X561+Y561+Z561+AA561+AB561+AC561</f>
        <v>0</v>
      </c>
      <c r="AF561" s="34"/>
      <c r="AG561" s="34"/>
      <c r="AH561" s="34"/>
      <c r="AN561" s="9">
        <f>AG561+AH561+AI561+AJ561+AK561+AL561+AM561</f>
        <v>0</v>
      </c>
      <c r="AT561" s="11">
        <f>100+845+29</f>
        <v>974</v>
      </c>
      <c r="AV561" s="64">
        <f>L561+U561+AD561</f>
        <v>16226</v>
      </c>
      <c r="AW561" s="73">
        <f>AT561+AV561+AU561</f>
        <v>17200</v>
      </c>
      <c r="AY561" s="74">
        <f>AZ561+BA561+BB561+BC561+BD561+BE561</f>
        <v>17200</v>
      </c>
      <c r="BA561" s="15">
        <v>17200</v>
      </c>
      <c r="BL561" s="18">
        <v>6</v>
      </c>
      <c r="BM561" s="90" t="s">
        <v>244</v>
      </c>
    </row>
    <row r="562" customHeight="1" spans="1:65">
      <c r="A562" s="1" t="s">
        <v>320</v>
      </c>
      <c r="B562" s="33">
        <v>10060126</v>
      </c>
      <c r="C562" s="34" t="s">
        <v>84</v>
      </c>
      <c r="D562" s="3" t="s">
        <v>324</v>
      </c>
      <c r="E562" s="3">
        <v>2580</v>
      </c>
      <c r="G562" s="3">
        <v>17780</v>
      </c>
      <c r="J562" s="3">
        <v>258</v>
      </c>
      <c r="K562" s="4">
        <f>28200-22666</f>
        <v>5534</v>
      </c>
      <c r="L562" s="5">
        <f>E562+F562+H562+I562+J562+G562+K562</f>
        <v>26152</v>
      </c>
      <c r="U562" s="7">
        <f>N562+O562+P562+Q562+S562+R562+T562</f>
        <v>0</v>
      </c>
      <c r="AD562" s="9">
        <f>W562+X562+Y562+Z562+AA562+AB562+AC562</f>
        <v>0</v>
      </c>
      <c r="AF562" s="34"/>
      <c r="AG562" s="34"/>
      <c r="AH562" s="34"/>
      <c r="AN562" s="9">
        <f>AG562+AH562+AI562+AJ562+AK562+AL562+AM562</f>
        <v>0</v>
      </c>
      <c r="AT562" s="11">
        <f>100+169+1521+58+200</f>
        <v>2048</v>
      </c>
      <c r="AV562" s="64">
        <f>L562+U562+AD562</f>
        <v>26152</v>
      </c>
      <c r="AW562" s="73">
        <f>AT562+AV562+AU562</f>
        <v>28200</v>
      </c>
      <c r="AX562" s="13" t="s">
        <v>33</v>
      </c>
      <c r="AY562" s="74">
        <f>AZ562+BA562+BB562+BC562+BD562+BE562</f>
        <v>0</v>
      </c>
      <c r="BG562" s="10">
        <v>28200</v>
      </c>
      <c r="BL562" s="18">
        <v>4</v>
      </c>
      <c r="BM562" s="90" t="s">
        <v>244</v>
      </c>
    </row>
    <row r="563" customHeight="1" spans="1:65">
      <c r="A563" s="1" t="s">
        <v>320</v>
      </c>
      <c r="B563" s="33">
        <v>10060127</v>
      </c>
      <c r="C563" s="34" t="s">
        <v>78</v>
      </c>
      <c r="L563" s="5">
        <f>E563+F563+H563+I563+J563+G563+K563</f>
        <v>0</v>
      </c>
      <c r="M563" s="3" t="s">
        <v>299</v>
      </c>
      <c r="N563" s="3">
        <v>2580</v>
      </c>
      <c r="R563" s="3">
        <v>9222</v>
      </c>
      <c r="T563" s="6">
        <v>1453</v>
      </c>
      <c r="U563" s="7">
        <f>N563+O563+P563+Q563+S563+R563+T563</f>
        <v>13255</v>
      </c>
      <c r="AD563" s="9">
        <f>W563+X563+Y563+Z563+AA563+AB563+AC563</f>
        <v>0</v>
      </c>
      <c r="AF563" s="34"/>
      <c r="AG563" s="34"/>
      <c r="AH563" s="34"/>
      <c r="AN563" s="9">
        <f>AG563+AH563+AI563+AJ563+AK563+AL563+AM563</f>
        <v>0</v>
      </c>
      <c r="AT563" s="11">
        <f>100+845</f>
        <v>945</v>
      </c>
      <c r="AV563" s="64">
        <f>L563+U563+AD563</f>
        <v>13255</v>
      </c>
      <c r="AW563" s="73">
        <f>AT563+AV563+AU563</f>
        <v>14200</v>
      </c>
      <c r="AY563" s="74">
        <f>AZ563+BA563+BB563+BC563+BD563+BE563</f>
        <v>14200</v>
      </c>
      <c r="BA563" s="15">
        <v>14200</v>
      </c>
      <c r="BL563" s="18">
        <v>8</v>
      </c>
      <c r="BM563" s="90" t="s">
        <v>130</v>
      </c>
    </row>
    <row r="564" customHeight="1" spans="1:65">
      <c r="A564" s="1" t="s">
        <v>320</v>
      </c>
      <c r="B564" s="33">
        <v>10060128</v>
      </c>
      <c r="C564" s="34" t="s">
        <v>78</v>
      </c>
      <c r="L564" s="5">
        <f>E564+F564+H564+I564+J564+G564+K564</f>
        <v>0</v>
      </c>
      <c r="M564" s="3" t="s">
        <v>299</v>
      </c>
      <c r="U564" s="7">
        <f>N564+O564+P564+Q564+S564+R564+T564</f>
        <v>0</v>
      </c>
      <c r="AD564" s="9">
        <f>W564+X564+Y564+Z564+AA564+AB564+AC564</f>
        <v>0</v>
      </c>
      <c r="AF564" s="34"/>
      <c r="AG564" s="34"/>
      <c r="AH564" s="34"/>
      <c r="AN564" s="9">
        <f>AG564+AH564+AI564+AJ564+AK564+AL564+AM564</f>
        <v>0</v>
      </c>
      <c r="AV564" s="64">
        <f>L564+U564+AD564</f>
        <v>0</v>
      </c>
      <c r="AW564" s="73">
        <f>AT564+AV564+AU564</f>
        <v>0</v>
      </c>
      <c r="AY564" s="74">
        <f>AZ564+BA564+BB564+BC564+BD564+BE564</f>
        <v>0</v>
      </c>
      <c r="BL564" s="92" t="s">
        <v>297</v>
      </c>
      <c r="BM564" s="90" t="s">
        <v>130</v>
      </c>
    </row>
    <row r="565" customHeight="1" spans="1:65">
      <c r="A565" s="1" t="s">
        <v>325</v>
      </c>
      <c r="B565" s="33">
        <v>10060129</v>
      </c>
      <c r="C565" s="34" t="s">
        <v>59</v>
      </c>
      <c r="D565" s="34" t="s">
        <v>326</v>
      </c>
      <c r="E565" s="3">
        <v>2180</v>
      </c>
      <c r="G565" s="3">
        <v>17780</v>
      </c>
      <c r="J565" s="3">
        <f>169+258+169+169</f>
        <v>765</v>
      </c>
      <c r="K565" s="4">
        <f>25400-21719</f>
        <v>3681</v>
      </c>
      <c r="L565" s="5">
        <f>E565+F565+H565+I565+J565+G565+K565</f>
        <v>24406</v>
      </c>
      <c r="U565" s="7">
        <f>N565+O565+P565+Q565+S565+R565+T565</f>
        <v>0</v>
      </c>
      <c r="AD565" s="9">
        <f>W565+X565+Y565+Z565+AA565+AB565+AC565</f>
        <v>0</v>
      </c>
      <c r="AF565" s="34"/>
      <c r="AG565" s="34"/>
      <c r="AH565" s="34"/>
      <c r="AN565" s="9">
        <f>AG565+AH565+AI565+AJ565+AK565+AL565+AM565</f>
        <v>0</v>
      </c>
      <c r="AT565" s="11">
        <f>100+845+49</f>
        <v>994</v>
      </c>
      <c r="AV565" s="64">
        <f>L565+U565+AD565</f>
        <v>24406</v>
      </c>
      <c r="AW565" s="73">
        <f>AT565+AV565+AU565</f>
        <v>25400</v>
      </c>
      <c r="AY565" s="74">
        <f>AZ565+BA565+BB565+BC565+BD565+BE565</f>
        <v>25500</v>
      </c>
      <c r="BA565" s="15">
        <v>25400</v>
      </c>
      <c r="BC565" s="17">
        <v>100</v>
      </c>
      <c r="BL565" s="18">
        <v>4</v>
      </c>
      <c r="BM565" s="90" t="s">
        <v>244</v>
      </c>
    </row>
    <row r="566" customHeight="1" spans="1:65">
      <c r="A566" s="1" t="s">
        <v>325</v>
      </c>
      <c r="B566" s="33">
        <v>10060130</v>
      </c>
      <c r="C566" s="3">
        <v>309</v>
      </c>
      <c r="D566" s="3" t="s">
        <v>202</v>
      </c>
      <c r="E566" s="3">
        <v>980</v>
      </c>
      <c r="I566" s="3">
        <v>7632</v>
      </c>
      <c r="J566" s="3">
        <f>49+99+99+199</f>
        <v>446</v>
      </c>
      <c r="K566" s="4">
        <f>11560-9794</f>
        <v>1766</v>
      </c>
      <c r="L566" s="5">
        <f>E566+F566+H566+I566+J566+G566+K566</f>
        <v>10824</v>
      </c>
      <c r="U566" s="7">
        <f>N566+O566+P566+Q566+S566+R566+T566</f>
        <v>0</v>
      </c>
      <c r="AD566" s="9">
        <f>W566+X566+Y566+Z566+AA566+AB566+AC566</f>
        <v>0</v>
      </c>
      <c r="AF566" s="34"/>
      <c r="AG566" s="34"/>
      <c r="AH566" s="34"/>
      <c r="AN566" s="9">
        <f>AG566+AH566+AI566+AJ566+AK566+AL566+AM566</f>
        <v>0</v>
      </c>
      <c r="AT566" s="11">
        <f>100+636</f>
        <v>736</v>
      </c>
      <c r="AV566" s="64">
        <f>L566+U566+AD566</f>
        <v>10824</v>
      </c>
      <c r="AW566" s="73">
        <f>AT566+AV566+AU566</f>
        <v>11560</v>
      </c>
      <c r="AY566" s="74">
        <f>AZ566+BA566+BB566+BC566+BD566+BE566</f>
        <v>11560</v>
      </c>
      <c r="AZ566" s="14">
        <v>11560</v>
      </c>
      <c r="BL566" s="18">
        <v>4</v>
      </c>
      <c r="BM566" s="90" t="s">
        <v>130</v>
      </c>
    </row>
    <row r="567" customHeight="1" spans="1:65">
      <c r="A567" s="1" t="s">
        <v>325</v>
      </c>
      <c r="B567" s="33">
        <v>10060131</v>
      </c>
      <c r="C567" s="3">
        <v>302</v>
      </c>
      <c r="D567" s="3" t="s">
        <v>122</v>
      </c>
      <c r="E567" s="3">
        <v>980</v>
      </c>
      <c r="I567" s="3">
        <v>1428</v>
      </c>
      <c r="K567" s="4">
        <f>3360-2875</f>
        <v>485</v>
      </c>
      <c r="L567" s="5">
        <f>E567+F567+H567+I567+J567+G567+K567</f>
        <v>2893</v>
      </c>
      <c r="U567" s="7">
        <f>N567+O567+P567+Q567+S567+R567+T567</f>
        <v>0</v>
      </c>
      <c r="AD567" s="9">
        <f>W567+X567+Y567+Z567+AA567+AB567+AC567</f>
        <v>0</v>
      </c>
      <c r="AF567" s="34"/>
      <c r="AG567" s="34"/>
      <c r="AH567" s="34"/>
      <c r="AN567" s="9">
        <f>AG567+AH567+AI567+AJ567+AK567+AL567+AM567</f>
        <v>0</v>
      </c>
      <c r="AT567" s="11">
        <f>100+318+49</f>
        <v>467</v>
      </c>
      <c r="AV567" s="64">
        <f>L567+U567+AD567</f>
        <v>2893</v>
      </c>
      <c r="AW567" s="73">
        <f>AT567+AV567+AU567</f>
        <v>3360</v>
      </c>
      <c r="AY567" s="74">
        <f>AZ567+BA567+BB567+BC567+BD567+BE567</f>
        <v>3360</v>
      </c>
      <c r="BA567" s="15">
        <v>3360</v>
      </c>
      <c r="BL567" s="18">
        <v>2</v>
      </c>
      <c r="BM567" s="90" t="s">
        <v>130</v>
      </c>
    </row>
    <row r="568" customHeight="1" spans="1:65">
      <c r="A568" s="1" t="s">
        <v>325</v>
      </c>
      <c r="B568" s="33">
        <v>10060132</v>
      </c>
      <c r="C568" s="3">
        <v>312</v>
      </c>
      <c r="D568" s="3" t="s">
        <v>51</v>
      </c>
      <c r="E568" s="3">
        <v>980</v>
      </c>
      <c r="I568" s="3">
        <f>2856+714</f>
        <v>3570</v>
      </c>
      <c r="K568" s="4">
        <f>5700-5017</f>
        <v>683</v>
      </c>
      <c r="L568" s="5">
        <f>E568+F568+H568+I568+J568+G568+K568</f>
        <v>5233</v>
      </c>
      <c r="U568" s="7">
        <f>N568+O568+P568+Q568+S568+R568+T568</f>
        <v>0</v>
      </c>
      <c r="AD568" s="9">
        <f>W568+X568+Y568+Z568+AA568+AB568+AC568</f>
        <v>0</v>
      </c>
      <c r="AF568" s="34"/>
      <c r="AG568" s="34"/>
      <c r="AH568" s="34"/>
      <c r="AN568" s="9">
        <f>AG568+AH568+AI568+AJ568+AK568+AL568+AM568</f>
        <v>0</v>
      </c>
      <c r="AT568" s="11">
        <f>100+49+318</f>
        <v>467</v>
      </c>
      <c r="AV568" s="64">
        <f>L568+U568+AD568</f>
        <v>5233</v>
      </c>
      <c r="AW568" s="73">
        <f>AT568+AV568+AU568</f>
        <v>5700</v>
      </c>
      <c r="AY568" s="74">
        <f>AZ568+BA568+BB568+BC568+BD568+BE568</f>
        <v>5700</v>
      </c>
      <c r="BA568" s="15">
        <v>5700</v>
      </c>
      <c r="BL568" s="18">
        <v>2</v>
      </c>
      <c r="BM568" s="90" t="s">
        <v>130</v>
      </c>
    </row>
    <row r="569" customHeight="1" spans="1:65">
      <c r="A569" s="1" t="s">
        <v>325</v>
      </c>
      <c r="B569" s="33">
        <v>10060133</v>
      </c>
      <c r="C569" s="3" t="s">
        <v>74</v>
      </c>
      <c r="D569" s="3" t="s">
        <v>229</v>
      </c>
      <c r="E569" s="3">
        <v>1880</v>
      </c>
      <c r="I569" s="3">
        <v>7632</v>
      </c>
      <c r="J569" s="3">
        <f>129+129</f>
        <v>258</v>
      </c>
      <c r="K569" s="4">
        <f>12610-10983</f>
        <v>1627</v>
      </c>
      <c r="L569" s="5">
        <f>E569+F569+H569+I569+J569+G569+K569</f>
        <v>11397</v>
      </c>
      <c r="U569" s="7">
        <f>N569+O569+P569+Q569+S569+R569+T569</f>
        <v>0</v>
      </c>
      <c r="AD569" s="9">
        <f>W569+X569+Y569+Z569+AA569+AB569+AC569</f>
        <v>0</v>
      </c>
      <c r="AF569" s="34"/>
      <c r="AG569" s="34"/>
      <c r="AH569" s="34"/>
      <c r="AN569" s="9">
        <f>AG569+AH569+AI569+AJ569+AK569+AL569+AM569</f>
        <v>0</v>
      </c>
      <c r="AT569" s="11">
        <f>100+1113</f>
        <v>1213</v>
      </c>
      <c r="AV569" s="64">
        <f>L569+U569+AD569</f>
        <v>11397</v>
      </c>
      <c r="AW569" s="73">
        <f>AT569+AV569+AU569</f>
        <v>12610</v>
      </c>
      <c r="AY569" s="74">
        <f>AZ569+BA569+BB569+BC569+BD569+BE569</f>
        <v>14050</v>
      </c>
      <c r="BA569" s="15">
        <v>12610</v>
      </c>
      <c r="BC569" s="17">
        <v>1400</v>
      </c>
      <c r="BD569" s="17">
        <v>40</v>
      </c>
      <c r="BL569" s="18">
        <v>7</v>
      </c>
      <c r="BM569" s="90" t="s">
        <v>130</v>
      </c>
    </row>
    <row r="570" customHeight="1" spans="1:65">
      <c r="A570" s="1" t="s">
        <v>325</v>
      </c>
      <c r="B570" s="33">
        <v>10060134</v>
      </c>
      <c r="C570" s="3">
        <v>316</v>
      </c>
      <c r="D570" s="34"/>
      <c r="L570" s="5">
        <f>E570+F570+H570+I570+J570+G570+K570</f>
        <v>0</v>
      </c>
      <c r="U570" s="7">
        <f>N570+O570+P570+Q570+S570+R570+T570</f>
        <v>0</v>
      </c>
      <c r="V570" s="91" t="s">
        <v>185</v>
      </c>
      <c r="AD570" s="9">
        <f>W570+X570+Y570+Z570+AA570+AB570+AC570</f>
        <v>0</v>
      </c>
      <c r="AF570" s="34"/>
      <c r="AG570" s="34"/>
      <c r="AH570" s="34"/>
      <c r="AN570" s="9">
        <f>AG570+AH570+AI570+AJ570+AK570+AL570+AM570</f>
        <v>0</v>
      </c>
      <c r="AV570" s="64">
        <f>L570+U570+AD570</f>
        <v>0</v>
      </c>
      <c r="AW570" s="73">
        <f>AT570+AV570+AU570</f>
        <v>0</v>
      </c>
      <c r="AY570" s="74">
        <f>AZ570+BA570+BB570+BC570+BD570+BE570</f>
        <v>0</v>
      </c>
      <c r="BM570" s="90" t="s">
        <v>327</v>
      </c>
    </row>
    <row r="571" customHeight="1" spans="1:65">
      <c r="A571" s="1" t="s">
        <v>325</v>
      </c>
      <c r="B571" s="33">
        <v>10060135</v>
      </c>
      <c r="C571" s="34" t="s">
        <v>67</v>
      </c>
      <c r="D571" s="3" t="s">
        <v>164</v>
      </c>
      <c r="E571" s="3">
        <v>2180</v>
      </c>
      <c r="I571" s="3">
        <v>7473</v>
      </c>
      <c r="K571" s="4">
        <f>12190-10360</f>
        <v>1830</v>
      </c>
      <c r="L571" s="5">
        <f>E571+F571+H571+I571+J571+G571+K571</f>
        <v>11483</v>
      </c>
      <c r="U571" s="7">
        <f>N571+O571+P571+Q571+S571+R571+T571</f>
        <v>0</v>
      </c>
      <c r="AD571" s="9">
        <f>W571+X571+Y571+Z571+AA571+AB571+AC571</f>
        <v>0</v>
      </c>
      <c r="AF571" s="34"/>
      <c r="AG571" s="34"/>
      <c r="AH571" s="34"/>
      <c r="AN571" s="9">
        <f>AG571+AH571+AI571+AJ571+AK571+AL571+AM571</f>
        <v>0</v>
      </c>
      <c r="AT571" s="11">
        <f>100+507+100</f>
        <v>707</v>
      </c>
      <c r="AV571" s="64">
        <f>L571+U571+AD571</f>
        <v>11483</v>
      </c>
      <c r="AW571" s="73">
        <f>AT571+AV571+AU571</f>
        <v>12190</v>
      </c>
      <c r="AY571" s="74">
        <f>AZ571+BA571+BB571+BC571+BD571+BE571</f>
        <v>2790</v>
      </c>
      <c r="AZ571" s="14">
        <v>2790</v>
      </c>
      <c r="BG571" s="10">
        <v>9400</v>
      </c>
      <c r="BL571" s="18">
        <v>3</v>
      </c>
      <c r="BM571" s="90" t="s">
        <v>130</v>
      </c>
    </row>
    <row r="572" customHeight="1" spans="1:65">
      <c r="A572" s="1" t="s">
        <v>325</v>
      </c>
      <c r="B572" s="33">
        <v>10060136</v>
      </c>
      <c r="C572" s="34" t="s">
        <v>62</v>
      </c>
      <c r="D572" s="3" t="s">
        <v>328</v>
      </c>
      <c r="E572" s="3">
        <v>2180</v>
      </c>
      <c r="H572" s="3">
        <v>8320</v>
      </c>
      <c r="I572" s="3">
        <v>2856</v>
      </c>
      <c r="K572" s="4">
        <f>16500-14837</f>
        <v>1663</v>
      </c>
      <c r="L572" s="5">
        <f>E572+F572+H572+I572+J572+G572+K572</f>
        <v>15019</v>
      </c>
      <c r="U572" s="7">
        <f>N572+O572+P572+Q572+S572+R572+T572</f>
        <v>0</v>
      </c>
      <c r="AD572" s="9">
        <f>W572+X572+Y572+Z572+AA572+AB572+AC572</f>
        <v>0</v>
      </c>
      <c r="AF572" s="34"/>
      <c r="AG572" s="34"/>
      <c r="AH572" s="34"/>
      <c r="AN572" s="9">
        <f>AG572+AH572+AI572+AJ572+AK572+AL572+AM572</f>
        <v>0</v>
      </c>
      <c r="AT572" s="11">
        <f>100+1352+29</f>
        <v>1481</v>
      </c>
      <c r="AV572" s="64">
        <f>L572+U572+AD572</f>
        <v>15019</v>
      </c>
      <c r="AW572" s="73">
        <f>AT572+AV572+AU572</f>
        <v>16500</v>
      </c>
      <c r="AY572" s="74">
        <f>AZ572+BA572+BB572+BC572+BD572+BE572</f>
        <v>16500</v>
      </c>
      <c r="BA572" s="15">
        <v>16500</v>
      </c>
      <c r="BL572" s="18">
        <v>4</v>
      </c>
      <c r="BM572" s="90" t="s">
        <v>130</v>
      </c>
    </row>
    <row r="573" customHeight="1" spans="1:64">
      <c r="A573" s="1" t="s">
        <v>325</v>
      </c>
      <c r="B573" s="33">
        <v>10060137</v>
      </c>
      <c r="C573" s="34" t="s">
        <v>89</v>
      </c>
      <c r="D573" s="3" t="s">
        <v>329</v>
      </c>
      <c r="E573" s="3">
        <v>2180</v>
      </c>
      <c r="I573" s="3">
        <v>10176</v>
      </c>
      <c r="K573" s="4">
        <f>14900-13132</f>
        <v>1768</v>
      </c>
      <c r="L573" s="5">
        <f>E573+F573+H573+I573+J573+G573+K573</f>
        <v>14124</v>
      </c>
      <c r="U573" s="7">
        <f>N573+O573+P573+Q573+S573+R573+T573</f>
        <v>0</v>
      </c>
      <c r="AD573" s="9">
        <f>W573+X573+Y573+Z573+AA573+AB573+AC573</f>
        <v>0</v>
      </c>
      <c r="AF573" s="34"/>
      <c r="AG573" s="34"/>
      <c r="AH573" s="34"/>
      <c r="AN573" s="9">
        <f>AG573+AH573+AI573+AJ573+AK573+AL573+AM573</f>
        <v>0</v>
      </c>
      <c r="AT573" s="11">
        <f>100+676</f>
        <v>776</v>
      </c>
      <c r="AV573" s="64">
        <f>L573+U573+AD573</f>
        <v>14124</v>
      </c>
      <c r="AW573" s="73">
        <f>AT573+AV573+AU573</f>
        <v>14900</v>
      </c>
      <c r="AY573" s="74">
        <f>AZ573+BA573+BB573+BC573+BD573+BE573</f>
        <v>14900</v>
      </c>
      <c r="BA573" s="15">
        <v>14900</v>
      </c>
      <c r="BL573" s="18">
        <v>4</v>
      </c>
    </row>
    <row r="574" customHeight="1" spans="1:65">
      <c r="A574" s="1" t="s">
        <v>325</v>
      </c>
      <c r="B574" s="33">
        <v>10060138</v>
      </c>
      <c r="C574" s="34" t="s">
        <v>93</v>
      </c>
      <c r="D574" s="3" t="s">
        <v>330</v>
      </c>
      <c r="E574" s="3">
        <v>2180</v>
      </c>
      <c r="I574" s="3">
        <f>10176-1908</f>
        <v>8268</v>
      </c>
      <c r="J574" s="3">
        <v>138</v>
      </c>
      <c r="K574" s="4">
        <f>12700-11193</f>
        <v>1507</v>
      </c>
      <c r="L574" s="5">
        <f>E574+F574+H574+I574+J574+G574+K574</f>
        <v>12093</v>
      </c>
      <c r="U574" s="7">
        <f>N574+O574+P574+Q574+S574+R574+T574</f>
        <v>0</v>
      </c>
      <c r="AD574" s="9">
        <f>W574+X574+Y574+Z574+AA574+AB574+AC574</f>
        <v>0</v>
      </c>
      <c r="AF574" s="34"/>
      <c r="AG574" s="34"/>
      <c r="AH574" s="34"/>
      <c r="AN574" s="9">
        <f>AG574+AH574+AI574+AJ574+AK574+AL574+AM574</f>
        <v>0</v>
      </c>
      <c r="AT574" s="11">
        <f>100+507</f>
        <v>607</v>
      </c>
      <c r="AV574" s="64">
        <f>L574+U574+AD574</f>
        <v>12093</v>
      </c>
      <c r="AW574" s="73">
        <f>AT574+AV574+AU574</f>
        <v>12700</v>
      </c>
      <c r="AX574" s="13" t="s">
        <v>87</v>
      </c>
      <c r="AY574" s="74">
        <f>AZ574+BA574+BB574+BC574+BD574+BE574</f>
        <v>12700</v>
      </c>
      <c r="BB574" s="16">
        <v>12700</v>
      </c>
      <c r="BL574" s="18">
        <v>4</v>
      </c>
      <c r="BM574" s="90" t="s">
        <v>244</v>
      </c>
    </row>
    <row r="575" customHeight="1" spans="1:64">
      <c r="A575" s="1" t="s">
        <v>325</v>
      </c>
      <c r="B575" s="33">
        <v>10060139</v>
      </c>
      <c r="C575" s="3" t="s">
        <v>97</v>
      </c>
      <c r="D575" s="3" t="s">
        <v>229</v>
      </c>
      <c r="E575" s="3">
        <v>2180</v>
      </c>
      <c r="G575" s="3">
        <v>5890</v>
      </c>
      <c r="I575" s="3">
        <v>1908</v>
      </c>
      <c r="J575" s="3">
        <v>169</v>
      </c>
      <c r="K575" s="4">
        <f>13500-10776</f>
        <v>2724</v>
      </c>
      <c r="L575" s="5">
        <f>E575+F575+H575+I575+J575+G575+K575</f>
        <v>12871</v>
      </c>
      <c r="U575" s="7">
        <f>N575+O575+P575+Q575+S575+R575+T575</f>
        <v>0</v>
      </c>
      <c r="AD575" s="9">
        <f>W575+X575+Y575+Z575+AA575+AB575+AC575</f>
        <v>0</v>
      </c>
      <c r="AF575" s="34"/>
      <c r="AG575" s="34"/>
      <c r="AH575" s="34"/>
      <c r="AN575" s="9">
        <f>AG575+AH575+AI575+AJ575+AK575+AL575+AM575</f>
        <v>0</v>
      </c>
      <c r="AT575" s="11">
        <f>100+29+500</f>
        <v>629</v>
      </c>
      <c r="AV575" s="64">
        <f>L575+U575+AD575</f>
        <v>12871</v>
      </c>
      <c r="AW575" s="73">
        <f>AT575+AV575+AU575</f>
        <v>13500</v>
      </c>
      <c r="AY575" s="74">
        <f>AZ575+BA575+BB575+BC575+BD575+BE575</f>
        <v>13500</v>
      </c>
      <c r="BA575" s="15">
        <v>13500</v>
      </c>
      <c r="BL575" s="18">
        <v>14</v>
      </c>
    </row>
    <row r="576" customHeight="1" spans="1:65">
      <c r="A576" s="1" t="s">
        <v>325</v>
      </c>
      <c r="B576" s="33">
        <v>10060140</v>
      </c>
      <c r="C576" s="34" t="s">
        <v>54</v>
      </c>
      <c r="D576" s="3" t="s">
        <v>170</v>
      </c>
      <c r="E576" s="3">
        <v>2180</v>
      </c>
      <c r="I576" s="3">
        <v>10176</v>
      </c>
      <c r="K576" s="4">
        <f>15000-13232</f>
        <v>1768</v>
      </c>
      <c r="L576" s="5">
        <f>E576+F576+H576+I576+J576+G576+K576</f>
        <v>14124</v>
      </c>
      <c r="U576" s="7">
        <f>N576+O576+P576+Q576+S576+R576+T576</f>
        <v>0</v>
      </c>
      <c r="AD576" s="9">
        <f>W576+X576+Y576+Z576+AA576+AB576+AC576</f>
        <v>0</v>
      </c>
      <c r="AF576" s="34"/>
      <c r="AG576" s="34"/>
      <c r="AH576" s="34"/>
      <c r="AN576" s="9">
        <f>AG576+AH576+AI576+AJ576+AK576+AL576+AM576</f>
        <v>0</v>
      </c>
      <c r="AT576" s="11">
        <f>100+676+100</f>
        <v>876</v>
      </c>
      <c r="AV576" s="64">
        <f>L576+U576+AD576</f>
        <v>14124</v>
      </c>
      <c r="AW576" s="73">
        <f>AT576+AV576+AU576</f>
        <v>15000</v>
      </c>
      <c r="AY576" s="74">
        <f>AZ576+BA576+BB576+BC576+BD576+BE576</f>
        <v>15100</v>
      </c>
      <c r="BA576" s="15">
        <v>15000</v>
      </c>
      <c r="BC576" s="17">
        <v>100</v>
      </c>
      <c r="BL576" s="18">
        <v>4</v>
      </c>
      <c r="BM576" s="90" t="s">
        <v>130</v>
      </c>
    </row>
    <row r="577" customHeight="1" spans="1:65">
      <c r="A577" s="1" t="s">
        <v>325</v>
      </c>
      <c r="B577" s="33">
        <v>10060141</v>
      </c>
      <c r="C577" s="34" t="s">
        <v>65</v>
      </c>
      <c r="D577" s="3" t="s">
        <v>232</v>
      </c>
      <c r="E577" s="3">
        <v>2180</v>
      </c>
      <c r="G577" s="3">
        <v>8890</v>
      </c>
      <c r="K577" s="4">
        <f>13200-11726</f>
        <v>1474</v>
      </c>
      <c r="L577" s="5">
        <f>E577+F577+H577+I577+J577+G577+K577</f>
        <v>12544</v>
      </c>
      <c r="U577" s="7">
        <f>N577+O577+P577+Q577+S577+R577+T577</f>
        <v>0</v>
      </c>
      <c r="AD577" s="9">
        <f>W577+X577+Y577+Z577+AA577+AB577+AC577</f>
        <v>0</v>
      </c>
      <c r="AF577" s="34"/>
      <c r="AG577" s="34"/>
      <c r="AH577" s="34"/>
      <c r="AN577" s="9">
        <f>AG577+AH577+AI577+AJ577+AK577+AL577+AM577</f>
        <v>0</v>
      </c>
      <c r="AT577" s="11">
        <f>100+507+49</f>
        <v>656</v>
      </c>
      <c r="AV577" s="64">
        <f>L577+U577+AD577</f>
        <v>12544</v>
      </c>
      <c r="AW577" s="73">
        <f>AT577+AV577+AU577</f>
        <v>13200</v>
      </c>
      <c r="AY577" s="74">
        <f>AZ577+BA577+BB577+BC577+BD577+BE577</f>
        <v>13200</v>
      </c>
      <c r="BA577" s="15">
        <v>13200</v>
      </c>
      <c r="BL577" s="18">
        <v>3</v>
      </c>
      <c r="BM577" s="90" t="s">
        <v>130</v>
      </c>
    </row>
    <row r="578" customHeight="1" spans="1:65">
      <c r="A578" s="1" t="s">
        <v>325</v>
      </c>
      <c r="B578" s="33">
        <v>10060142</v>
      </c>
      <c r="C578" s="34" t="s">
        <v>84</v>
      </c>
      <c r="D578" s="3" t="s">
        <v>60</v>
      </c>
      <c r="E578" s="3">
        <v>2580</v>
      </c>
      <c r="G578" s="3">
        <v>11980</v>
      </c>
      <c r="K578" s="4">
        <f>17100-15236</f>
        <v>1864</v>
      </c>
      <c r="L578" s="5">
        <f>E578+F578+H578+I578+J578+G578+K578</f>
        <v>16424</v>
      </c>
      <c r="U578" s="7">
        <f>N578+O578+P578+Q578+S578+R578+T578</f>
        <v>0</v>
      </c>
      <c r="AD578" s="9">
        <f>W578+X578+Y578+Z578+AA578+AB578+AC578</f>
        <v>0</v>
      </c>
      <c r="AF578" s="34"/>
      <c r="AG578" s="34"/>
      <c r="AH578" s="34"/>
      <c r="AN578" s="9">
        <f>AG578+AH578+AI578+AJ578+AK578+AL578+AM578</f>
        <v>0</v>
      </c>
      <c r="AT578" s="11">
        <f>100+338+98+40+100</f>
        <v>676</v>
      </c>
      <c r="AV578" s="64">
        <f>L578+U578+AD578</f>
        <v>16424</v>
      </c>
      <c r="AW578" s="73">
        <f>AT578+AV578+AU578</f>
        <v>17100</v>
      </c>
      <c r="AY578" s="74">
        <f>AZ578+BA578+BB578+BC578+BD578+BE578</f>
        <v>17100</v>
      </c>
      <c r="BA578" s="15">
        <v>17100</v>
      </c>
      <c r="BL578" s="18">
        <v>7</v>
      </c>
      <c r="BM578" s="90" t="s">
        <v>130</v>
      </c>
    </row>
    <row r="579" customHeight="1" spans="1:64">
      <c r="A579" s="1" t="s">
        <v>331</v>
      </c>
      <c r="B579" s="33">
        <v>10060143</v>
      </c>
      <c r="C579" s="3" t="s">
        <v>74</v>
      </c>
      <c r="D579" s="3" t="s">
        <v>164</v>
      </c>
      <c r="E579" s="3">
        <v>1880</v>
      </c>
      <c r="I579" s="3">
        <v>6192</v>
      </c>
      <c r="K579" s="4">
        <f>10600-8967</f>
        <v>1633</v>
      </c>
      <c r="L579" s="5">
        <f>E579+F579+H579+I579+J579+G579+K579</f>
        <v>9705</v>
      </c>
      <c r="U579" s="7">
        <f>N579+O579+P579+Q579+S579+R579+T579</f>
        <v>0</v>
      </c>
      <c r="AD579" s="9">
        <f>W579+X579+Y579+Z579+AA579+AB579+AC579</f>
        <v>0</v>
      </c>
      <c r="AF579" s="34"/>
      <c r="AG579" s="34"/>
      <c r="AH579" s="34"/>
      <c r="AN579" s="9">
        <f>AG579+AH579+AI579+AJ579+AK579+AL579+AM579</f>
        <v>0</v>
      </c>
      <c r="AT579" s="11">
        <f>100+795</f>
        <v>895</v>
      </c>
      <c r="AV579" s="64">
        <f>L579+U579+AD579</f>
        <v>9705</v>
      </c>
      <c r="AW579" s="73">
        <f>AT579+AV579+AU579</f>
        <v>10600</v>
      </c>
      <c r="AY579" s="74">
        <f>AZ579+BA579+BB579+BC579+BD579+BE579</f>
        <v>10600</v>
      </c>
      <c r="AZ579" s="14">
        <v>10600</v>
      </c>
      <c r="BL579" s="18">
        <v>5</v>
      </c>
    </row>
    <row r="580" customHeight="1" spans="1:65">
      <c r="A580" s="1" t="s">
        <v>331</v>
      </c>
      <c r="B580" s="33">
        <v>10060144</v>
      </c>
      <c r="C580" s="3">
        <v>318</v>
      </c>
      <c r="D580" s="3" t="s">
        <v>137</v>
      </c>
      <c r="E580" s="3">
        <v>980</v>
      </c>
      <c r="I580" s="3">
        <v>2856</v>
      </c>
      <c r="K580" s="4">
        <f>4600-4095</f>
        <v>505</v>
      </c>
      <c r="L580" s="5">
        <f>E580+F580+H580+I580+J580+G580+K580</f>
        <v>4341</v>
      </c>
      <c r="U580" s="7">
        <f>N580+O580+P580+Q580+S580+R580+T580</f>
        <v>0</v>
      </c>
      <c r="AD580" s="9">
        <f>W580+X580+Y580+Z580+AA580+AB580+AC580</f>
        <v>0</v>
      </c>
      <c r="AF580" s="34"/>
      <c r="AG580" s="34"/>
      <c r="AH580" s="34"/>
      <c r="AN580" s="9">
        <f>AG580+AH580+AI580+AJ580+AK580+AL580+AM580</f>
        <v>0</v>
      </c>
      <c r="AT580" s="11">
        <f>100+159</f>
        <v>259</v>
      </c>
      <c r="AV580" s="64">
        <f>L580+U580+AD580</f>
        <v>4341</v>
      </c>
      <c r="AW580" s="73">
        <f>AT580+AV580+AU580</f>
        <v>4600</v>
      </c>
      <c r="AY580" s="74">
        <f>AZ580+BA580+BB580+BC580+BD580+BE580</f>
        <v>4600</v>
      </c>
      <c r="BA580" s="15">
        <v>4600</v>
      </c>
      <c r="BL580" s="18">
        <v>2</v>
      </c>
      <c r="BM580" s="90" t="s">
        <v>130</v>
      </c>
    </row>
    <row r="581" customHeight="1" spans="1:64">
      <c r="A581" s="1" t="s">
        <v>331</v>
      </c>
      <c r="B581" s="33">
        <v>10060145</v>
      </c>
      <c r="C581" s="3">
        <v>309</v>
      </c>
      <c r="D581" s="3" t="s">
        <v>119</v>
      </c>
      <c r="E581" s="3">
        <v>980</v>
      </c>
      <c r="I581" s="3">
        <v>7632</v>
      </c>
      <c r="J581" s="3">
        <f>69+138</f>
        <v>207</v>
      </c>
      <c r="K581" s="4">
        <f>10700-9445</f>
        <v>1255</v>
      </c>
      <c r="L581" s="5">
        <f>E581+F581+H581+I581+J581+G581+K581</f>
        <v>10074</v>
      </c>
      <c r="U581" s="7">
        <f>N581+O581+P581+Q581+S581+R581+T581</f>
        <v>0</v>
      </c>
      <c r="AD581" s="9">
        <f>W581+X581+Y581+Z581+AA581+AB581+AC581</f>
        <v>0</v>
      </c>
      <c r="AF581" s="34"/>
      <c r="AG581" s="34"/>
      <c r="AH581" s="34"/>
      <c r="AN581" s="9">
        <f>AG581+AH581+AI581+AJ581+AK581+AL581+AM581</f>
        <v>0</v>
      </c>
      <c r="AT581" s="11">
        <f>100+477+49</f>
        <v>626</v>
      </c>
      <c r="AV581" s="64">
        <f>L581+U581+AD581</f>
        <v>10074</v>
      </c>
      <c r="AW581" s="73">
        <f>AT581+AV581+AU581</f>
        <v>10700</v>
      </c>
      <c r="AY581" s="74">
        <f>AZ581+BA581+BB581+BC581+BD581+BE581</f>
        <v>10700</v>
      </c>
      <c r="BA581" s="15">
        <v>10700</v>
      </c>
      <c r="BL581" s="18">
        <v>3</v>
      </c>
    </row>
    <row r="582" customHeight="1" spans="1:65">
      <c r="A582" s="1" t="s">
        <v>331</v>
      </c>
      <c r="B582" s="33">
        <v>10060146</v>
      </c>
      <c r="C582" s="3">
        <v>311</v>
      </c>
      <c r="D582" s="34" t="s">
        <v>232</v>
      </c>
      <c r="E582" s="3">
        <v>980</v>
      </c>
      <c r="I582" s="3">
        <v>2856</v>
      </c>
      <c r="K582" s="4">
        <f>5350-4731</f>
        <v>619</v>
      </c>
      <c r="L582" s="5">
        <f>E582+F582+H582+I582+J582+G582+K582</f>
        <v>4455</v>
      </c>
      <c r="U582" s="7">
        <f>N582+O582+P582+Q582+S582+R582+T582</f>
        <v>0</v>
      </c>
      <c r="AD582" s="9">
        <f>W582+X582+Y582+Z582+AA582+AB582+AC582</f>
        <v>0</v>
      </c>
      <c r="AF582" s="34"/>
      <c r="AG582" s="34"/>
      <c r="AH582" s="34"/>
      <c r="AN582" s="9">
        <f>AG582+AH582+AI582+AJ582+AK582+AL582+AM582</f>
        <v>0</v>
      </c>
      <c r="AT582" s="11">
        <f>100+795</f>
        <v>895</v>
      </c>
      <c r="AV582" s="64">
        <f>L582+U582+AD582</f>
        <v>4455</v>
      </c>
      <c r="AW582" s="73">
        <f>AT582+AV582+AU582</f>
        <v>5350</v>
      </c>
      <c r="AY582" s="74">
        <f>AZ582+BA582+BB582+BC582+BD582+BE582</f>
        <v>5350</v>
      </c>
      <c r="BA582" s="15">
        <v>5350</v>
      </c>
      <c r="BL582" s="18">
        <v>4</v>
      </c>
      <c r="BM582" s="90" t="s">
        <v>130</v>
      </c>
    </row>
    <row r="583" customHeight="1" spans="1:64">
      <c r="A583" s="1" t="s">
        <v>331</v>
      </c>
      <c r="B583" s="33">
        <v>10060147</v>
      </c>
      <c r="C583" s="3">
        <v>316</v>
      </c>
      <c r="D583" s="3" t="s">
        <v>137</v>
      </c>
      <c r="E583" s="3">
        <v>980</v>
      </c>
      <c r="J583" s="3">
        <v>138</v>
      </c>
      <c r="K583" s="4">
        <f>2700-1536</f>
        <v>1164</v>
      </c>
      <c r="L583" s="5">
        <f>E583+F583+H583+I583+J583+G583+K583</f>
        <v>2282</v>
      </c>
      <c r="U583" s="7">
        <f>N583+O583+P583+Q583+S583+R583+T583</f>
        <v>0</v>
      </c>
      <c r="AD583" s="9">
        <f>W583+X583+Y583+Z583+AA583+AB583+AC583</f>
        <v>0</v>
      </c>
      <c r="AF583" s="34"/>
      <c r="AG583" s="34"/>
      <c r="AH583" s="34"/>
      <c r="AN583" s="9">
        <f>AG583+AH583+AI583+AJ583+AK583+AL583+AM583</f>
        <v>0</v>
      </c>
      <c r="AT583" s="11">
        <f>100+318</f>
        <v>418</v>
      </c>
      <c r="AV583" s="64">
        <f>L583+U583+AD583</f>
        <v>2282</v>
      </c>
      <c r="AW583" s="73">
        <f>AT583+AV583+AU583</f>
        <v>2700</v>
      </c>
      <c r="AX583" s="13" t="s">
        <v>147</v>
      </c>
      <c r="AY583" s="74">
        <f>AZ583+BA583+BB583+BC583+BD583+BE583</f>
        <v>2700</v>
      </c>
      <c r="BB583" s="16">
        <v>2700</v>
      </c>
      <c r="BL583" s="18">
        <v>3</v>
      </c>
    </row>
    <row r="584" customHeight="1" spans="1:65">
      <c r="A584" s="1" t="s">
        <v>331</v>
      </c>
      <c r="B584" s="33">
        <v>10060148</v>
      </c>
      <c r="C584" s="3">
        <v>307</v>
      </c>
      <c r="D584" s="3" t="s">
        <v>208</v>
      </c>
      <c r="E584" s="3">
        <v>980</v>
      </c>
      <c r="I584" s="3">
        <v>2499</v>
      </c>
      <c r="K584" s="4">
        <f>4400-3897</f>
        <v>503</v>
      </c>
      <c r="L584" s="5">
        <f>E584+F584+H584+I584+J584+G584+K584</f>
        <v>3982</v>
      </c>
      <c r="U584" s="7">
        <f>N584+O584+P584+Q584+S584+R584+T584</f>
        <v>0</v>
      </c>
      <c r="AD584" s="9">
        <f>W584+X584+Y584+Z584+AA584+AB584+AC584</f>
        <v>0</v>
      </c>
      <c r="AF584" s="34"/>
      <c r="AG584" s="34"/>
      <c r="AH584" s="34"/>
      <c r="AN584" s="9">
        <f>AG584+AH584+AI584+AJ584+AK584+AL584+AM584</f>
        <v>0</v>
      </c>
      <c r="AT584" s="11">
        <f>100+318</f>
        <v>418</v>
      </c>
      <c r="AV584" s="64">
        <f>L584+U584+AD584</f>
        <v>3982</v>
      </c>
      <c r="AW584" s="73">
        <f>AT584+AV584+AU584</f>
        <v>4400</v>
      </c>
      <c r="AX584" s="13" t="s">
        <v>33</v>
      </c>
      <c r="AY584" s="74">
        <f>AZ584+BA584+BB584+BC584+BD584+BE584</f>
        <v>0</v>
      </c>
      <c r="BG584" s="10">
        <v>4400</v>
      </c>
      <c r="BL584" s="18">
        <v>2</v>
      </c>
      <c r="BM584" s="90" t="s">
        <v>130</v>
      </c>
    </row>
    <row r="585" customHeight="1" spans="1:65">
      <c r="A585" s="1" t="s">
        <v>331</v>
      </c>
      <c r="B585" s="33">
        <v>10060149</v>
      </c>
      <c r="C585" s="34" t="s">
        <v>175</v>
      </c>
      <c r="D585" s="3" t="s">
        <v>232</v>
      </c>
      <c r="E585" s="3">
        <v>1880</v>
      </c>
      <c r="I585" s="3">
        <v>5712</v>
      </c>
      <c r="K585" s="4">
        <f>9700-8536</f>
        <v>1164</v>
      </c>
      <c r="L585" s="5">
        <f>E585+F585+H585+I585+J585+G585+K585</f>
        <v>8756</v>
      </c>
      <c r="U585" s="7">
        <f>N585+O585+P585+Q585+S585+R585+T585</f>
        <v>0</v>
      </c>
      <c r="AD585" s="9">
        <f>W585+X585+Y585+Z585+AA585+AB585+AC585</f>
        <v>0</v>
      </c>
      <c r="AF585" s="34"/>
      <c r="AG585" s="34"/>
      <c r="AH585" s="34"/>
      <c r="AN585" s="9">
        <f>AG585+AH585+AI585+AJ585+AK585+AL585+AM585</f>
        <v>0</v>
      </c>
      <c r="AT585" s="11">
        <f>100+795+49</f>
        <v>944</v>
      </c>
      <c r="AV585" s="64">
        <f>L585+U585+AD585</f>
        <v>8756</v>
      </c>
      <c r="AW585" s="73">
        <f>AT585+AV585+AU585</f>
        <v>9700</v>
      </c>
      <c r="AY585" s="74">
        <f>AZ585+BA585+BB585+BC585+BD585+BE585</f>
        <v>9700</v>
      </c>
      <c r="BA585" s="15">
        <v>9700</v>
      </c>
      <c r="BL585" s="18">
        <v>13</v>
      </c>
      <c r="BM585" s="90" t="s">
        <v>130</v>
      </c>
    </row>
    <row r="586" customHeight="1" spans="1:65">
      <c r="A586" s="1" t="s">
        <v>331</v>
      </c>
      <c r="B586" s="33">
        <v>10060150</v>
      </c>
      <c r="C586" s="34" t="s">
        <v>107</v>
      </c>
      <c r="D586" s="3" t="s">
        <v>204</v>
      </c>
      <c r="E586" s="3">
        <v>1299</v>
      </c>
      <c r="I586" s="3">
        <v>5712</v>
      </c>
      <c r="K586" s="4">
        <f>9080-7637</f>
        <v>1443</v>
      </c>
      <c r="L586" s="5">
        <f>E586+F586+H586+I586+J586+G586+K586</f>
        <v>8454</v>
      </c>
      <c r="U586" s="7">
        <f>N586+O586+P586+Q586+S586+R586+T586</f>
        <v>0</v>
      </c>
      <c r="AD586" s="9">
        <f>W586+X586+Y586+Z586+AA586+AB586+AC586</f>
        <v>0</v>
      </c>
      <c r="AF586" s="34"/>
      <c r="AG586" s="34"/>
      <c r="AH586" s="34"/>
      <c r="AN586" s="9">
        <f>AG586+AH586+AI586+AJ586+AK586+AL586+AM586</f>
        <v>0</v>
      </c>
      <c r="AT586" s="11">
        <f>100+477+49</f>
        <v>626</v>
      </c>
      <c r="AV586" s="64">
        <f>L586+U586+AD586</f>
        <v>8454</v>
      </c>
      <c r="AW586" s="73">
        <f>AT586+AV586+AU586</f>
        <v>9080</v>
      </c>
      <c r="AY586" s="74">
        <f>AZ586+BA586+BB586+BC586+BD586+BE586</f>
        <v>9080</v>
      </c>
      <c r="AZ586" s="14">
        <v>9080</v>
      </c>
      <c r="BL586" s="18">
        <v>3</v>
      </c>
      <c r="BM586" s="90" t="s">
        <v>130</v>
      </c>
    </row>
    <row r="587" customHeight="1" spans="1:65">
      <c r="A587" s="1" t="s">
        <v>331</v>
      </c>
      <c r="B587" s="33">
        <v>10060151</v>
      </c>
      <c r="C587" s="3" t="s">
        <v>120</v>
      </c>
      <c r="D587" s="3" t="s">
        <v>186</v>
      </c>
      <c r="E587" s="3">
        <v>1880</v>
      </c>
      <c r="I587" s="3">
        <v>7632</v>
      </c>
      <c r="J587" s="3">
        <f>49+168</f>
        <v>217</v>
      </c>
      <c r="K587" s="4">
        <f>12600-10725</f>
        <v>1875</v>
      </c>
      <c r="L587" s="5">
        <f>E587+F587+H587+I587+J587+G587+K587</f>
        <v>11604</v>
      </c>
      <c r="U587" s="7">
        <f>N587+O587+P587+Q587+S587+R587+T587</f>
        <v>0</v>
      </c>
      <c r="AD587" s="9">
        <f>W587+X587+Y587+Z587+AA587+AB587+AC587</f>
        <v>0</v>
      </c>
      <c r="AF587" s="34"/>
      <c r="AG587" s="34"/>
      <c r="AH587" s="34"/>
      <c r="AN587" s="9">
        <f>AG587+AH587+AI587+AJ587+AK587+AL587+AM587</f>
        <v>0</v>
      </c>
      <c r="AT587" s="11">
        <f>100+260+636</f>
        <v>996</v>
      </c>
      <c r="AV587" s="64">
        <f>L587+U587+AD587</f>
        <v>11604</v>
      </c>
      <c r="AW587" s="73">
        <f>AT587+AV587+AU587</f>
        <v>12600</v>
      </c>
      <c r="AY587" s="74">
        <f>AZ587+BA587+BB587+BC587+BD587+BE587</f>
        <v>9500</v>
      </c>
      <c r="AZ587" s="14">
        <v>9500</v>
      </c>
      <c r="BG587" s="10">
        <v>3100</v>
      </c>
      <c r="BL587" s="18">
        <v>6</v>
      </c>
      <c r="BM587" s="90" t="s">
        <v>130</v>
      </c>
    </row>
    <row r="588" customHeight="1" spans="1:65">
      <c r="A588" s="1" t="s">
        <v>331</v>
      </c>
      <c r="B588" s="33">
        <v>10060152</v>
      </c>
      <c r="C588" s="34" t="s">
        <v>59</v>
      </c>
      <c r="D588" s="3" t="s">
        <v>176</v>
      </c>
      <c r="E588" s="3">
        <v>2180</v>
      </c>
      <c r="G588" s="3">
        <v>11070</v>
      </c>
      <c r="K588" s="4">
        <f>17700-14494</f>
        <v>3206</v>
      </c>
      <c r="L588" s="5">
        <f>E588+F588+H588+I588+J588+G588+K588</f>
        <v>16456</v>
      </c>
      <c r="U588" s="7">
        <f>N588+O588+P588+Q588+S588+R588+T588</f>
        <v>0</v>
      </c>
      <c r="AD588" s="9">
        <f>W588+X588+Y588+Z588+AA588+AB588+AC588</f>
        <v>0</v>
      </c>
      <c r="AF588" s="34"/>
      <c r="AG588" s="34"/>
      <c r="AH588" s="34"/>
      <c r="AN588" s="9">
        <f>AG588+AH588+AI588+AJ588+AK588+AL588+AM588</f>
        <v>0</v>
      </c>
      <c r="AT588" s="11">
        <f>100+130+1014</f>
        <v>1244</v>
      </c>
      <c r="AV588" s="64">
        <f>L588+U588+AD588</f>
        <v>16456</v>
      </c>
      <c r="AW588" s="73">
        <f>AT588+AV588+AU588</f>
        <v>17700</v>
      </c>
      <c r="AY588" s="74">
        <f>AZ588+BA588+BB588+BC588+BD588+BE588</f>
        <v>18000</v>
      </c>
      <c r="BA588" s="15">
        <v>17700</v>
      </c>
      <c r="BC588" s="17">
        <v>290</v>
      </c>
      <c r="BD588" s="17">
        <v>10</v>
      </c>
      <c r="BL588" s="18">
        <v>7</v>
      </c>
      <c r="BM588" s="90" t="s">
        <v>130</v>
      </c>
    </row>
    <row r="589" customHeight="1" spans="1:64">
      <c r="A589" s="1" t="s">
        <v>331</v>
      </c>
      <c r="B589" s="33">
        <v>10060153</v>
      </c>
      <c r="C589" s="34" t="s">
        <v>62</v>
      </c>
      <c r="D589" s="3" t="s">
        <v>332</v>
      </c>
      <c r="E589" s="3">
        <v>2180</v>
      </c>
      <c r="G589" s="3">
        <f>4690+8890</f>
        <v>13580</v>
      </c>
      <c r="J589" s="3">
        <v>169</v>
      </c>
      <c r="K589" s="4">
        <f>20200-16754</f>
        <v>3446</v>
      </c>
      <c r="L589" s="5">
        <f>E589+F589+H589+I589+J589+G589+K589</f>
        <v>19375</v>
      </c>
      <c r="U589" s="7">
        <f>N589+O589+P589+Q589+S589+R589+T589</f>
        <v>0</v>
      </c>
      <c r="AD589" s="9">
        <f>W589+X589+Y589+Z589+AA589+AB589+AC589</f>
        <v>0</v>
      </c>
      <c r="AF589" s="34"/>
      <c r="AG589" s="34"/>
      <c r="AH589" s="34"/>
      <c r="AN589" s="9">
        <f>AG589+AH589+AI589+AJ589+AK589+AL589+AM589</f>
        <v>0</v>
      </c>
      <c r="AT589" s="11">
        <f>100+676+49</f>
        <v>825</v>
      </c>
      <c r="AV589" s="64">
        <f>L589+U589+AD589</f>
        <v>19375</v>
      </c>
      <c r="AW589" s="73">
        <f>AT589+AV589+AU589</f>
        <v>20200</v>
      </c>
      <c r="AY589" s="74">
        <f>AZ589+BA589+BB589+BC589+BD589+BE589</f>
        <v>14500</v>
      </c>
      <c r="BA589" s="15">
        <v>14500</v>
      </c>
      <c r="BG589" s="10">
        <v>5700</v>
      </c>
      <c r="BL589" s="18">
        <v>4</v>
      </c>
    </row>
    <row r="590" customHeight="1" spans="1:65">
      <c r="A590" s="1" t="s">
        <v>331</v>
      </c>
      <c r="B590" s="33">
        <v>10060154</v>
      </c>
      <c r="C590" s="34" t="s">
        <v>54</v>
      </c>
      <c r="D590" s="3" t="s">
        <v>60</v>
      </c>
      <c r="E590" s="3">
        <v>2180</v>
      </c>
      <c r="G590" s="3">
        <v>8890</v>
      </c>
      <c r="J590" s="3">
        <f>169+168+138+69+169+169</f>
        <v>882</v>
      </c>
      <c r="K590" s="4">
        <f>15850-12897</f>
        <v>2953</v>
      </c>
      <c r="L590" s="5">
        <f>E590+F590+H590+I590+J590+G590+K590</f>
        <v>14905</v>
      </c>
      <c r="U590" s="7">
        <f>N590+O590+P590+Q590+S590+R590+T590</f>
        <v>0</v>
      </c>
      <c r="AD590" s="9">
        <f>W590+X590+Y590+Z590+AA590+AB590+AC590</f>
        <v>0</v>
      </c>
      <c r="AF590" s="34"/>
      <c r="AG590" s="34"/>
      <c r="AH590" s="34"/>
      <c r="AN590" s="9">
        <f>AG590+AH590+AI590+AJ590+AK590+AL590+AM590</f>
        <v>0</v>
      </c>
      <c r="AT590" s="11">
        <f>100+169+676</f>
        <v>945</v>
      </c>
      <c r="AV590" s="64">
        <f>L590+U590+AD590</f>
        <v>14905</v>
      </c>
      <c r="AW590" s="73">
        <f>AT590+AV590+AU590</f>
        <v>15850</v>
      </c>
      <c r="AY590" s="74">
        <f>AZ590+BA590+BB590+BC590+BD590+BE590</f>
        <v>18100</v>
      </c>
      <c r="BA590" s="15">
        <v>15850</v>
      </c>
      <c r="BC590" s="17">
        <v>2190</v>
      </c>
      <c r="BD590" s="17">
        <v>60</v>
      </c>
      <c r="BL590" s="18">
        <v>7</v>
      </c>
      <c r="BM590" s="90" t="s">
        <v>130</v>
      </c>
    </row>
    <row r="591" customHeight="1" spans="1:64">
      <c r="A591" s="1" t="s">
        <v>331</v>
      </c>
      <c r="B591" s="33">
        <v>10060155</v>
      </c>
      <c r="C591" s="34" t="s">
        <v>65</v>
      </c>
      <c r="D591" s="3" t="s">
        <v>202</v>
      </c>
      <c r="E591" s="3">
        <v>2180</v>
      </c>
      <c r="I591" s="3">
        <v>7378</v>
      </c>
      <c r="K591" s="4">
        <f>11000-9827</f>
        <v>1173</v>
      </c>
      <c r="L591" s="5">
        <f>E591+F591+H591+I591+J591+G591+K591</f>
        <v>10731</v>
      </c>
      <c r="U591" s="7">
        <f>N591+O591+P591+Q591+S591+R591+T591</f>
        <v>0</v>
      </c>
      <c r="AD591" s="9">
        <f>W591+X591+Y591+Z591+AA591+AB591+AC591</f>
        <v>0</v>
      </c>
      <c r="AF591" s="34"/>
      <c r="AG591" s="34"/>
      <c r="AH591" s="34"/>
      <c r="AN591" s="9">
        <f>AG591+AH591+AI591+AJ591+AK591+AL591+AM591</f>
        <v>0</v>
      </c>
      <c r="AT591" s="11">
        <f>100+169</f>
        <v>269</v>
      </c>
      <c r="AV591" s="64">
        <f>L591+U591+AD591</f>
        <v>10731</v>
      </c>
      <c r="AW591" s="73">
        <f>AT591+AV591+AU591</f>
        <v>11000</v>
      </c>
      <c r="AY591" s="74">
        <f>AZ591+BA591+BB591+BC591+BD591+BE591</f>
        <v>11000</v>
      </c>
      <c r="BA591" s="15">
        <v>11000</v>
      </c>
      <c r="BL591" s="18">
        <v>3</v>
      </c>
    </row>
    <row r="592" customHeight="1" spans="1:65">
      <c r="A592" s="1" t="s">
        <v>331</v>
      </c>
      <c r="B592" s="33">
        <v>10060156</v>
      </c>
      <c r="C592" s="34" t="s">
        <v>67</v>
      </c>
      <c r="D592" s="3" t="s">
        <v>179</v>
      </c>
      <c r="E592" s="3">
        <v>2180</v>
      </c>
      <c r="G592" s="3">
        <v>5890</v>
      </c>
      <c r="I592" s="3">
        <v>1428</v>
      </c>
      <c r="J592" s="3">
        <f>49+169+99+138+129</f>
        <v>584</v>
      </c>
      <c r="K592" s="4">
        <f>14300-10480-1114</f>
        <v>2706</v>
      </c>
      <c r="L592" s="5">
        <f>E592+F592+H592+I592+J592+G592+K592</f>
        <v>12788</v>
      </c>
      <c r="U592" s="7">
        <f>N592+O592+P592+Q592+S592+R592+T592</f>
        <v>0</v>
      </c>
      <c r="AD592" s="9">
        <f>W592+X592+Y592+Z592+AA592+AB592+AC592</f>
        <v>0</v>
      </c>
      <c r="AF592" s="34"/>
      <c r="AG592" s="34"/>
      <c r="AH592" s="34"/>
      <c r="AN592" s="9">
        <f>AG592+AH592+AI592+AJ592+AK592+AL592+AM592</f>
        <v>0</v>
      </c>
      <c r="AT592" s="11">
        <f>100+1014</f>
        <v>1114</v>
      </c>
      <c r="AU592" s="11">
        <v>398</v>
      </c>
      <c r="AV592" s="64">
        <f>L592+U592+AD592</f>
        <v>12788</v>
      </c>
      <c r="AW592" s="73">
        <f>AT592+AV592+AU592</f>
        <v>14300</v>
      </c>
      <c r="AX592" s="13" t="s">
        <v>32</v>
      </c>
      <c r="AY592" s="74">
        <f>AZ592+BA592+BB592+BC592+BD592+BE592</f>
        <v>0</v>
      </c>
      <c r="BG592" s="10">
        <v>14300</v>
      </c>
      <c r="BL592" s="18">
        <v>2</v>
      </c>
      <c r="BM592" s="90" t="s">
        <v>130</v>
      </c>
    </row>
    <row r="593" customHeight="1" spans="1:64">
      <c r="A593" s="1" t="s">
        <v>333</v>
      </c>
      <c r="B593" s="33">
        <v>10060157</v>
      </c>
      <c r="C593" s="34" t="s">
        <v>159</v>
      </c>
      <c r="L593" s="5">
        <f>E593+F593+H593+I593+J593+G593+K593</f>
        <v>0</v>
      </c>
      <c r="M593" s="3" t="s">
        <v>334</v>
      </c>
      <c r="N593" s="3">
        <v>1880</v>
      </c>
      <c r="Q593" s="3">
        <v>2080</v>
      </c>
      <c r="R593" s="3">
        <v>7632</v>
      </c>
      <c r="T593" s="6">
        <v>2025</v>
      </c>
      <c r="U593" s="7">
        <f>N593+O593+P593+Q593+S593+R593+T593</f>
        <v>13617</v>
      </c>
      <c r="AD593" s="9">
        <f>W593+X593+Y593+Z593+AA593+AB593+AC593</f>
        <v>0</v>
      </c>
      <c r="AF593" s="34"/>
      <c r="AG593" s="34"/>
      <c r="AH593" s="34"/>
      <c r="AN593" s="9">
        <f>AG593+AH593+AI593+AJ593+AK593+AL593+AM593</f>
        <v>0</v>
      </c>
      <c r="AT593" s="11">
        <f>100+954+29+100</f>
        <v>1183</v>
      </c>
      <c r="AV593" s="64">
        <f>L593+U593+AD593</f>
        <v>13617</v>
      </c>
      <c r="AW593" s="73">
        <f>AT593+AV593+AU593</f>
        <v>14800</v>
      </c>
      <c r="AY593" s="74">
        <f>AZ593+BA593+BB593+BC593+BD593+BE593</f>
        <v>14800</v>
      </c>
      <c r="BA593" s="15">
        <v>14800</v>
      </c>
      <c r="BL593" s="18">
        <v>6</v>
      </c>
    </row>
    <row r="594" customHeight="1" spans="1:64">
      <c r="A594" s="1" t="s">
        <v>333</v>
      </c>
      <c r="B594" s="33">
        <v>10060158</v>
      </c>
      <c r="C594" s="3">
        <v>312</v>
      </c>
      <c r="D594" s="3" t="s">
        <v>119</v>
      </c>
      <c r="E594" s="3">
        <v>980</v>
      </c>
      <c r="I594" s="3">
        <f>7473+2067</f>
        <v>9540</v>
      </c>
      <c r="K594" s="4">
        <f>13060-11146</f>
        <v>1914</v>
      </c>
      <c r="L594" s="5">
        <f>E594+F594+H594+I594+J594+G594+K594</f>
        <v>12434</v>
      </c>
      <c r="U594" s="7">
        <f>N594+O594+P594+Q594+S594+R594+T594</f>
        <v>0</v>
      </c>
      <c r="AD594" s="9">
        <f>W594+X594+Y594+Z594+AA594+AB594+AC594</f>
        <v>0</v>
      </c>
      <c r="AF594" s="34"/>
      <c r="AG594" s="34"/>
      <c r="AH594" s="34"/>
      <c r="AN594" s="9">
        <f>AG594+AH594+AI594+AJ594+AK594+AL594+AM594</f>
        <v>0</v>
      </c>
      <c r="AT594" s="11">
        <f>100+477+49</f>
        <v>626</v>
      </c>
      <c r="AV594" s="64">
        <f>L594+U594+AD594</f>
        <v>12434</v>
      </c>
      <c r="AW594" s="73">
        <f>AT594+AV594+AU594</f>
        <v>13060</v>
      </c>
      <c r="AY594" s="74">
        <f>AZ594+BA594+BB594+BC594+BD594+BE594</f>
        <v>13060</v>
      </c>
      <c r="AZ594" s="14">
        <v>13060</v>
      </c>
      <c r="BL594" s="18">
        <v>3</v>
      </c>
    </row>
    <row r="595" customHeight="1" spans="1:65">
      <c r="A595" s="1" t="s">
        <v>333</v>
      </c>
      <c r="B595" s="33">
        <v>10060159</v>
      </c>
      <c r="C595" s="3">
        <v>301</v>
      </c>
      <c r="D595" s="34"/>
      <c r="L595" s="5">
        <f>E595+F595+H595+I595+J595+G595+K595</f>
        <v>0</v>
      </c>
      <c r="U595" s="7">
        <f>N595+O595+P595+Q595+S595+R595+T595</f>
        <v>0</v>
      </c>
      <c r="V595" s="91" t="s">
        <v>185</v>
      </c>
      <c r="AD595" s="9">
        <f>W595+X595+Y595+Z595+AA595+AB595+AC595</f>
        <v>0</v>
      </c>
      <c r="AF595" s="34"/>
      <c r="AG595" s="34"/>
      <c r="AH595" s="34"/>
      <c r="AN595" s="9">
        <f>AG595+AH595+AI595+AJ595+AK595+AL595+AM595</f>
        <v>0</v>
      </c>
      <c r="AV595" s="64">
        <f>L595+U595+AD595</f>
        <v>0</v>
      </c>
      <c r="AW595" s="73">
        <f>AT595+AV595+AU595</f>
        <v>0</v>
      </c>
      <c r="AY595" s="74">
        <f>AZ595+BA595+BB595+BC595+BD595+BE595</f>
        <v>0</v>
      </c>
      <c r="BM595" s="90" t="s">
        <v>335</v>
      </c>
    </row>
    <row r="596" customHeight="1" spans="1:64">
      <c r="A596" s="1" t="s">
        <v>333</v>
      </c>
      <c r="B596" s="33">
        <v>10060160</v>
      </c>
      <c r="C596" s="3" t="s">
        <v>70</v>
      </c>
      <c r="D596" s="3" t="s">
        <v>82</v>
      </c>
      <c r="E596" s="3">
        <v>1880</v>
      </c>
      <c r="I596" s="3">
        <f>1785+2856</f>
        <v>4641</v>
      </c>
      <c r="K596" s="4">
        <f>8670-7257</f>
        <v>1413</v>
      </c>
      <c r="L596" s="5">
        <f>E596+F596+H596+I596+J596+G596+K596</f>
        <v>7934</v>
      </c>
      <c r="U596" s="7">
        <f>N596+O596+P596+Q596+S596+R596+T596</f>
        <v>0</v>
      </c>
      <c r="AD596" s="9">
        <f>W596+X596+Y596+Z596+AA596+AB596+AC596</f>
        <v>0</v>
      </c>
      <c r="AF596" s="34"/>
      <c r="AG596" s="34"/>
      <c r="AH596" s="34"/>
      <c r="AN596" s="9">
        <f>AG596+AH596+AI596+AJ596+AK596+AL596+AM596</f>
        <v>0</v>
      </c>
      <c r="AT596" s="11">
        <f>100+636</f>
        <v>736</v>
      </c>
      <c r="AV596" s="64">
        <f>L596+U596+AD596</f>
        <v>7934</v>
      </c>
      <c r="AW596" s="73">
        <f>AT596+AV596+AU596</f>
        <v>8670</v>
      </c>
      <c r="AY596" s="74">
        <f>AZ596+BA596+BB596+BC596+BD596+BE596</f>
        <v>8670</v>
      </c>
      <c r="AZ596" s="14">
        <v>8670</v>
      </c>
      <c r="BL596" s="18">
        <v>3</v>
      </c>
    </row>
    <row r="597" customHeight="1" spans="1:64">
      <c r="A597" s="1" t="s">
        <v>333</v>
      </c>
      <c r="B597" s="33">
        <v>10060161</v>
      </c>
      <c r="C597" s="3" t="s">
        <v>44</v>
      </c>
      <c r="D597" s="3" t="s">
        <v>267</v>
      </c>
      <c r="E597" s="3">
        <v>1880</v>
      </c>
      <c r="G597" s="3">
        <v>8690</v>
      </c>
      <c r="J597" s="3">
        <f>69</f>
        <v>69</v>
      </c>
      <c r="K597" s="4">
        <f>14200-11534</f>
        <v>2666</v>
      </c>
      <c r="L597" s="5">
        <f>E597+F597+H597+I597+J597+G597+K597</f>
        <v>13305</v>
      </c>
      <c r="U597" s="7">
        <f>N597+O597+P597+Q597+S597+R597+T597</f>
        <v>0</v>
      </c>
      <c r="AD597" s="9">
        <f>W597+X597+Y597+Z597+AA597+AB597+AC597</f>
        <v>0</v>
      </c>
      <c r="AF597" s="34"/>
      <c r="AG597" s="34"/>
      <c r="AH597" s="34"/>
      <c r="AN597" s="9">
        <f>AG597+AH597+AI597+AJ597+AK597+AL597+AM597</f>
        <v>0</v>
      </c>
      <c r="AT597" s="11">
        <f>100+795</f>
        <v>895</v>
      </c>
      <c r="AV597" s="64">
        <f>L597+U597+AD597</f>
        <v>13305</v>
      </c>
      <c r="AW597" s="73">
        <f>AT597+AV597+AU597</f>
        <v>14200</v>
      </c>
      <c r="AY597" s="74">
        <f>AZ597+BA597+BB597+BC597+BD597+BE597</f>
        <v>14200</v>
      </c>
      <c r="BA597" s="15">
        <v>14200</v>
      </c>
      <c r="BL597" s="18">
        <v>4</v>
      </c>
    </row>
    <row r="598" customHeight="1" spans="1:64">
      <c r="A598" s="1" t="s">
        <v>333</v>
      </c>
      <c r="B598" s="33">
        <v>10060162</v>
      </c>
      <c r="C598" s="34" t="s">
        <v>48</v>
      </c>
      <c r="D598" s="3" t="s">
        <v>119</v>
      </c>
      <c r="E598" s="3">
        <v>1880</v>
      </c>
      <c r="G598" s="3">
        <f>3290+11380</f>
        <v>14670</v>
      </c>
      <c r="J598" s="3">
        <f>79+98+169</f>
        <v>346</v>
      </c>
      <c r="K598" s="4">
        <f>21570-17840</f>
        <v>3730</v>
      </c>
      <c r="L598" s="5">
        <f>E598+F598+H598+I598+J598+G598+K598</f>
        <v>20626</v>
      </c>
      <c r="U598" s="7">
        <f>N598+O598+P598+Q598+S598+R598+T598</f>
        <v>0</v>
      </c>
      <c r="AD598" s="9">
        <f>W598+X598+Y598+Z598+AA598+AB598+AC598</f>
        <v>0</v>
      </c>
      <c r="AF598" s="34"/>
      <c r="AG598" s="34"/>
      <c r="AH598" s="34"/>
      <c r="AN598" s="9">
        <f>AG598+AH598+AI598+AJ598+AK598+AL598+AM598</f>
        <v>0</v>
      </c>
      <c r="AT598" s="11">
        <f>100+795+49</f>
        <v>944</v>
      </c>
      <c r="AV598" s="64">
        <f>L598+U598+AD598</f>
        <v>20626</v>
      </c>
      <c r="AW598" s="73">
        <f>AT598+AV598+AU598</f>
        <v>21570</v>
      </c>
      <c r="AY598" s="74">
        <f>AZ598+BA598+BB598+BC598+BD598+BE598</f>
        <v>21570</v>
      </c>
      <c r="AZ598" s="14">
        <v>21570</v>
      </c>
      <c r="BL598" s="18">
        <v>6</v>
      </c>
    </row>
    <row r="599" customHeight="1" spans="1:64">
      <c r="A599" s="1" t="s">
        <v>333</v>
      </c>
      <c r="B599" s="33">
        <v>10060163</v>
      </c>
      <c r="C599" s="3">
        <v>307</v>
      </c>
      <c r="D599" s="3" t="s">
        <v>176</v>
      </c>
      <c r="E599" s="3">
        <v>980</v>
      </c>
      <c r="I599" s="3">
        <v>1428</v>
      </c>
      <c r="J599" s="3">
        <v>129</v>
      </c>
      <c r="K599" s="4">
        <f>3900-3433</f>
        <v>467</v>
      </c>
      <c r="L599" s="5">
        <f>E599+F599+H599+I599+J599+G599+K599</f>
        <v>3004</v>
      </c>
      <c r="U599" s="7">
        <f>N599+O599+P599+Q599+S599+R599+T599</f>
        <v>0</v>
      </c>
      <c r="AD599" s="9">
        <f>W599+X599+Y599+Z599+AA599+AB599+AC599</f>
        <v>0</v>
      </c>
      <c r="AF599" s="34"/>
      <c r="AG599" s="34"/>
      <c r="AH599" s="34"/>
      <c r="AN599" s="9">
        <f>AG599+AH599+AI599+AJ599+AK599+AL599+AM599</f>
        <v>0</v>
      </c>
      <c r="AT599" s="11">
        <f>100</f>
        <v>100</v>
      </c>
      <c r="AU599" s="11">
        <v>796</v>
      </c>
      <c r="AV599" s="64">
        <f>L599+U599+AD599</f>
        <v>3004</v>
      </c>
      <c r="AW599" s="73">
        <f>AT599+AV599+AU599</f>
        <v>3900</v>
      </c>
      <c r="AY599" s="74">
        <f>AZ599+BA599+BB599+BC599+BD599+BE599</f>
        <v>3900</v>
      </c>
      <c r="BA599" s="15">
        <v>3900</v>
      </c>
      <c r="BL599" s="18">
        <v>2</v>
      </c>
    </row>
    <row r="600" customHeight="1" spans="1:64">
      <c r="A600" s="1" t="s">
        <v>333</v>
      </c>
      <c r="B600" s="33">
        <v>10060164</v>
      </c>
      <c r="C600" s="3">
        <v>310</v>
      </c>
      <c r="D600" s="3" t="s">
        <v>232</v>
      </c>
      <c r="E600" s="3">
        <v>980</v>
      </c>
      <c r="I600" s="3">
        <v>3816</v>
      </c>
      <c r="K600" s="4">
        <f>6000-5263</f>
        <v>737</v>
      </c>
      <c r="L600" s="5">
        <f>E600+F600+H600+I600+J600+G600+K600</f>
        <v>5533</v>
      </c>
      <c r="U600" s="7">
        <f>N600+O600+P600+Q600+S600+R600+T600</f>
        <v>0</v>
      </c>
      <c r="AD600" s="9">
        <f>W600+X600+Y600+Z600+AA600+AB600+AC600</f>
        <v>0</v>
      </c>
      <c r="AF600" s="34"/>
      <c r="AG600" s="34"/>
      <c r="AH600" s="34"/>
      <c r="AN600" s="9">
        <f>AG600+AH600+AI600+AJ600+AK600+AL600+AM600</f>
        <v>0</v>
      </c>
      <c r="AT600" s="11">
        <f>100+318+49</f>
        <v>467</v>
      </c>
      <c r="AV600" s="64">
        <f>L600+U600+AD600</f>
        <v>5533</v>
      </c>
      <c r="AW600" s="73">
        <f>AT600+AV600+AU600</f>
        <v>6000</v>
      </c>
      <c r="AY600" s="74">
        <f>AZ600+BA600+BB600+BC600+BD600+BE600</f>
        <v>6000</v>
      </c>
      <c r="BA600" s="15">
        <v>6000</v>
      </c>
      <c r="BL600" s="18">
        <v>2</v>
      </c>
    </row>
    <row r="601" customHeight="1" spans="1:64">
      <c r="A601" s="1" t="s">
        <v>333</v>
      </c>
      <c r="B601" s="33">
        <v>10060165</v>
      </c>
      <c r="C601" s="34" t="s">
        <v>107</v>
      </c>
      <c r="D601" s="3" t="s">
        <v>248</v>
      </c>
      <c r="E601" s="3">
        <v>1299</v>
      </c>
      <c r="H601" s="3">
        <v>4160</v>
      </c>
      <c r="J601" s="3">
        <v>258</v>
      </c>
      <c r="K601" s="4">
        <f>6950-6135</f>
        <v>815</v>
      </c>
      <c r="L601" s="5">
        <f>E601+F601+H601+I601+J601+G601+K601</f>
        <v>6532</v>
      </c>
      <c r="U601" s="7">
        <f>N601+O601+P601+Q601+S601+R601+T601</f>
        <v>0</v>
      </c>
      <c r="AD601" s="9">
        <f>W601+X601+Y601+Z601+AA601+AB601+AC601</f>
        <v>0</v>
      </c>
      <c r="AF601" s="34"/>
      <c r="AG601" s="34"/>
      <c r="AH601" s="34"/>
      <c r="AN601" s="9">
        <f>AG601+AH601+AI601+AJ601+AK601+AL601+AM601</f>
        <v>0</v>
      </c>
      <c r="AT601" s="11">
        <f>100+318</f>
        <v>418</v>
      </c>
      <c r="AV601" s="64">
        <f>L601+U601+AD601</f>
        <v>6532</v>
      </c>
      <c r="AW601" s="73">
        <f>AT601+AV601+AU601</f>
        <v>6950</v>
      </c>
      <c r="AY601" s="74">
        <f>AZ601+BA601+BB601+BC601+BD601+BE601</f>
        <v>6950</v>
      </c>
      <c r="BA601" s="15">
        <v>6950</v>
      </c>
      <c r="BL601" s="18">
        <v>2</v>
      </c>
    </row>
    <row r="602" customHeight="1" spans="1:64">
      <c r="A602" s="1" t="s">
        <v>333</v>
      </c>
      <c r="B602" s="33">
        <v>10060166</v>
      </c>
      <c r="C602" s="3">
        <v>315</v>
      </c>
      <c r="D602" s="3" t="s">
        <v>214</v>
      </c>
      <c r="E602" s="3">
        <v>980</v>
      </c>
      <c r="I602" s="3">
        <v>2856</v>
      </c>
      <c r="K602" s="4">
        <f>5450-4751</f>
        <v>699</v>
      </c>
      <c r="L602" s="5">
        <f>E602+F602+H602+I602+J602+G602+K602</f>
        <v>4535</v>
      </c>
      <c r="U602" s="7">
        <f>N602+O602+P602+Q602+S602+R602+T602</f>
        <v>0</v>
      </c>
      <c r="AD602" s="9">
        <f>W602+X602+Y602+Z602+AA602+AB602+AC602</f>
        <v>0</v>
      </c>
      <c r="AF602" s="34"/>
      <c r="AG602" s="34"/>
      <c r="AH602" s="34"/>
      <c r="AN602" s="9">
        <f>AG602+AH602+AI602+AJ602+AK602+AL602+AM602</f>
        <v>0</v>
      </c>
      <c r="AT602" s="11">
        <f>100+338+477</f>
        <v>915</v>
      </c>
      <c r="AV602" s="64">
        <f>L602+U602+AD602</f>
        <v>4535</v>
      </c>
      <c r="AW602" s="73">
        <f>AT602+AV602+AU602</f>
        <v>5450</v>
      </c>
      <c r="AY602" s="74">
        <f>AZ602+BA602+BB602+BC602+BD602+BE602</f>
        <v>5450</v>
      </c>
      <c r="BA602" s="15">
        <v>5450</v>
      </c>
      <c r="BL602" s="18">
        <v>3</v>
      </c>
    </row>
    <row r="603" customHeight="1" spans="1:64">
      <c r="A603" s="1" t="s">
        <v>333</v>
      </c>
      <c r="B603" s="33">
        <v>10060167</v>
      </c>
      <c r="C603" s="3">
        <v>318</v>
      </c>
      <c r="D603" s="3" t="s">
        <v>129</v>
      </c>
      <c r="E603" s="3">
        <v>980</v>
      </c>
      <c r="I603" s="3">
        <v>2261</v>
      </c>
      <c r="K603" s="4">
        <f>4100-3500</f>
        <v>600</v>
      </c>
      <c r="L603" s="5">
        <f>E603+F603+H603+I603+J603+G603+K603</f>
        <v>3841</v>
      </c>
      <c r="U603" s="7">
        <f>N603+O603+P603+Q603+S603+R603+T603</f>
        <v>0</v>
      </c>
      <c r="AD603" s="9">
        <f>W603+X603+Y603+Z603+AA603+AB603+AC603</f>
        <v>0</v>
      </c>
      <c r="AF603" s="34"/>
      <c r="AG603" s="34"/>
      <c r="AH603" s="34"/>
      <c r="AN603" s="9">
        <f>AG603+AH603+AI603+AJ603+AK603+AL603+AM603</f>
        <v>0</v>
      </c>
      <c r="AT603" s="11">
        <f>100+159</f>
        <v>259</v>
      </c>
      <c r="AV603" s="64">
        <f>L603+U603+AD603</f>
        <v>3841</v>
      </c>
      <c r="AW603" s="73">
        <f>AT603+AV603+AU603</f>
        <v>4100</v>
      </c>
      <c r="AY603" s="74">
        <f>AZ603+BA603+BB603+BC603+BD603+BE603</f>
        <v>4100</v>
      </c>
      <c r="BA603" s="15">
        <v>4100</v>
      </c>
      <c r="BL603" s="18">
        <v>3</v>
      </c>
    </row>
    <row r="604" customHeight="1" spans="1:64">
      <c r="A604" s="1" t="s">
        <v>333</v>
      </c>
      <c r="B604" s="33">
        <v>10060168</v>
      </c>
      <c r="C604" s="3">
        <v>316</v>
      </c>
      <c r="D604" s="3" t="s">
        <v>110</v>
      </c>
      <c r="K604" s="4">
        <v>2900</v>
      </c>
      <c r="L604" s="5">
        <f>E604+F604+H604+I604+J604+G604+K604</f>
        <v>2900</v>
      </c>
      <c r="U604" s="7">
        <f>N604+O604+P604+Q604+S604+R604+T604</f>
        <v>0</v>
      </c>
      <c r="AD604" s="9">
        <f>W604+X604+Y604+Z604+AA604+AB604+AC604</f>
        <v>0</v>
      </c>
      <c r="AF604" s="34"/>
      <c r="AG604" s="34"/>
      <c r="AH604" s="34"/>
      <c r="AN604" s="9">
        <f>AG604+AH604+AI604+AJ604+AK604+AL604+AM604</f>
        <v>0</v>
      </c>
      <c r="AT604" s="11">
        <f>100+49+318+30</f>
        <v>497</v>
      </c>
      <c r="AV604" s="64">
        <f>L604+U604+AD604</f>
        <v>2900</v>
      </c>
      <c r="AW604" s="73">
        <f>AT604+AV604+AU604</f>
        <v>3397</v>
      </c>
      <c r="AX604" s="75" t="s">
        <v>336</v>
      </c>
      <c r="AY604" s="74">
        <f>AZ604+BA604+BB604+BC604+BD604+BE604</f>
        <v>3397</v>
      </c>
      <c r="BB604" s="16">
        <v>3397</v>
      </c>
      <c r="BL604" s="18">
        <v>3</v>
      </c>
    </row>
    <row r="605" customHeight="1" spans="1:64">
      <c r="A605" s="1" t="s">
        <v>333</v>
      </c>
      <c r="B605" s="33">
        <v>10060169</v>
      </c>
      <c r="C605" s="3">
        <v>313</v>
      </c>
      <c r="L605" s="5">
        <f>E605+F605+H605+I605+J605+G605+K605</f>
        <v>0</v>
      </c>
      <c r="M605" s="3" t="s">
        <v>260</v>
      </c>
      <c r="N605" s="3">
        <v>980</v>
      </c>
      <c r="P605" s="3">
        <v>3290</v>
      </c>
      <c r="T605" s="6">
        <v>522</v>
      </c>
      <c r="U605" s="7">
        <f>N605+O605+P605+Q605+S605+R605+T605</f>
        <v>4792</v>
      </c>
      <c r="AD605" s="9">
        <f>W605+X605+Y605+Z605+AA605+AB605+AC605</f>
        <v>0</v>
      </c>
      <c r="AF605" s="34"/>
      <c r="AG605" s="34"/>
      <c r="AH605" s="34"/>
      <c r="AN605" s="9">
        <f>AG605+AH605+AI605+AJ605+AK605+AL605+AM605</f>
        <v>0</v>
      </c>
      <c r="AT605" s="11">
        <f>100+159+49</f>
        <v>308</v>
      </c>
      <c r="AV605" s="64">
        <f>L605+U605+AD605</f>
        <v>4792</v>
      </c>
      <c r="AW605" s="73">
        <f>AT605+AV605+AU605</f>
        <v>5100</v>
      </c>
      <c r="AY605" s="74">
        <f>AZ605+BA605+BB605+BC605+BD605+BE605</f>
        <v>5100</v>
      </c>
      <c r="BA605" s="15">
        <v>5100</v>
      </c>
      <c r="BL605" s="18">
        <v>1</v>
      </c>
    </row>
    <row r="606" customHeight="1" spans="1:64">
      <c r="A606" s="1" t="s">
        <v>333</v>
      </c>
      <c r="B606" s="33">
        <v>10060170</v>
      </c>
      <c r="C606" s="3">
        <v>320</v>
      </c>
      <c r="L606" s="5">
        <f>E606+F606+H606+I606+J606+G606+K606</f>
        <v>0</v>
      </c>
      <c r="M606" s="3" t="s">
        <v>178</v>
      </c>
      <c r="N606" s="3">
        <v>1299</v>
      </c>
      <c r="R606" s="3">
        <v>7632</v>
      </c>
      <c r="S606" s="3">
        <v>69</v>
      </c>
      <c r="T606" s="6">
        <v>1564</v>
      </c>
      <c r="U606" s="7">
        <f>N606+O606+P606+Q606+S606+R606+T606</f>
        <v>10564</v>
      </c>
      <c r="AD606" s="9">
        <f>W606+X606+Y606+Z606+AA606+AB606+AC606</f>
        <v>0</v>
      </c>
      <c r="AF606" s="34"/>
      <c r="AG606" s="34"/>
      <c r="AH606" s="34"/>
      <c r="AN606" s="9">
        <f>AG606+AH606+AI606+AJ606+AK606+AL606+AM606</f>
        <v>0</v>
      </c>
      <c r="AT606" s="11">
        <f>100+636</f>
        <v>736</v>
      </c>
      <c r="AV606" s="64">
        <f>L606+U606+AD606</f>
        <v>10564</v>
      </c>
      <c r="AW606" s="73">
        <f>AT606+AV606+AU606</f>
        <v>11300</v>
      </c>
      <c r="AY606" s="74">
        <f>AZ606+BA606+BB606+BC606+BD606+BE606</f>
        <v>13200</v>
      </c>
      <c r="BA606" s="15">
        <v>11300</v>
      </c>
      <c r="BC606" s="17">
        <v>1900</v>
      </c>
      <c r="BL606" s="18">
        <v>4</v>
      </c>
    </row>
    <row r="607" customHeight="1" spans="1:65">
      <c r="A607" s="1" t="s">
        <v>333</v>
      </c>
      <c r="B607" s="33">
        <v>10060171</v>
      </c>
      <c r="C607" s="3" t="s">
        <v>97</v>
      </c>
      <c r="L607" s="5">
        <f>E607+F607+H607+I607+J607+G607+K607</f>
        <v>0</v>
      </c>
      <c r="U607" s="7">
        <f>N607+O607+P607+Q607+S607+R607+T607</f>
        <v>0</v>
      </c>
      <c r="V607" s="3" t="s">
        <v>185</v>
      </c>
      <c r="AD607" s="9">
        <f>W607+X607+Y607+Z607+AA607+AB607+AC607</f>
        <v>0</v>
      </c>
      <c r="AF607" s="34"/>
      <c r="AG607" s="34"/>
      <c r="AH607" s="34"/>
      <c r="AN607" s="9">
        <f>AG607+AH607+AI607+AJ607+AK607+AL607+AM607</f>
        <v>0</v>
      </c>
      <c r="AV607" s="64">
        <f>L607+U607+AD607</f>
        <v>0</v>
      </c>
      <c r="AW607" s="73">
        <f>AT607+AV607+AU607</f>
        <v>0</v>
      </c>
      <c r="AY607" s="74">
        <f>AZ607+BA607+BB607+BC607+BD607+BE607</f>
        <v>0</v>
      </c>
      <c r="BM607" s="90" t="s">
        <v>337</v>
      </c>
    </row>
    <row r="608" customHeight="1" spans="1:64">
      <c r="A608" s="1" t="s">
        <v>333</v>
      </c>
      <c r="B608" s="33">
        <v>10060172</v>
      </c>
      <c r="C608" s="34" t="s">
        <v>62</v>
      </c>
      <c r="D608" s="3" t="s">
        <v>338</v>
      </c>
      <c r="E608" s="3">
        <v>2180</v>
      </c>
      <c r="G608" s="3">
        <v>4690</v>
      </c>
      <c r="I608" s="3">
        <v>834</v>
      </c>
      <c r="J608" s="3">
        <v>387</v>
      </c>
      <c r="K608" s="4">
        <f>11000-9136</f>
        <v>1864</v>
      </c>
      <c r="L608" s="5">
        <f>E608+F608+H608+I608+J608+G608+K608</f>
        <v>9955</v>
      </c>
      <c r="U608" s="7">
        <f>N608+O608+P608+Q608+S608+R608+T608</f>
        <v>0</v>
      </c>
      <c r="AD608" s="9">
        <f>W608+X608+Y608+Z608+AA608+AB608+AC608</f>
        <v>0</v>
      </c>
      <c r="AF608" s="34"/>
      <c r="AG608" s="34"/>
      <c r="AH608" s="34"/>
      <c r="AN608" s="9">
        <f>AG608+AH608+AI608+AJ608+AK608+AL608+AM608</f>
        <v>0</v>
      </c>
      <c r="AT608" s="11">
        <f>100+845+100</f>
        <v>1045</v>
      </c>
      <c r="AV608" s="64">
        <f>L608+U608+AD608</f>
        <v>9955</v>
      </c>
      <c r="AW608" s="73">
        <f>AT608+AV608+AU608</f>
        <v>11000</v>
      </c>
      <c r="AY608" s="74">
        <f>AZ608+BA608+BB608+BC608+BD608+BE608</f>
        <v>12600</v>
      </c>
      <c r="BA608" s="15">
        <v>11000</v>
      </c>
      <c r="BC608" s="17">
        <v>1550</v>
      </c>
      <c r="BD608" s="17">
        <v>50</v>
      </c>
      <c r="BL608" s="18">
        <v>6</v>
      </c>
    </row>
    <row r="609" customHeight="1" spans="1:54">
      <c r="A609" s="1" t="s">
        <v>333</v>
      </c>
      <c r="B609" s="33">
        <v>10060173</v>
      </c>
      <c r="C609" s="3">
        <v>302</v>
      </c>
      <c r="L609" s="5">
        <f>E609+F609+H609+I609+J609+G609+K609</f>
        <v>0</v>
      </c>
      <c r="M609" s="3" t="s">
        <v>339</v>
      </c>
      <c r="N609" s="3">
        <v>880</v>
      </c>
      <c r="S609" s="3">
        <v>1599</v>
      </c>
      <c r="T609" s="6">
        <v>1</v>
      </c>
      <c r="U609" s="7">
        <f>N609+O609+P609+Q609+S609+R609+T609</f>
        <v>2480</v>
      </c>
      <c r="AD609" s="9">
        <f>W609+X609+Y609+Z609+AA609+AB609+AC609</f>
        <v>0</v>
      </c>
      <c r="AF609" s="34"/>
      <c r="AG609" s="34"/>
      <c r="AH609" s="34"/>
      <c r="AN609" s="9">
        <f>AG609+AH609+AI609+AJ609+AK609+AL609+AM609</f>
        <v>0</v>
      </c>
      <c r="AT609" s="11">
        <v>100</v>
      </c>
      <c r="AV609" s="64">
        <f>L609+U609+AD609</f>
        <v>2480</v>
      </c>
      <c r="AW609" s="73">
        <f>AT609+AV609+AU609</f>
        <v>2580</v>
      </c>
      <c r="AY609" s="74">
        <f>AZ609+BA609+BB609+BC609+BD609+BE609</f>
        <v>2580</v>
      </c>
      <c r="BB609" s="16">
        <v>2580</v>
      </c>
    </row>
    <row r="610" customHeight="1" spans="1:64">
      <c r="A610" s="1" t="s">
        <v>333</v>
      </c>
      <c r="B610" s="33">
        <v>10060174</v>
      </c>
      <c r="C610" s="34" t="s">
        <v>54</v>
      </c>
      <c r="D610" s="3" t="s">
        <v>170</v>
      </c>
      <c r="E610" s="3">
        <v>2180</v>
      </c>
      <c r="I610" s="3">
        <v>9699</v>
      </c>
      <c r="K610" s="4">
        <f>14900-12684</f>
        <v>2216</v>
      </c>
      <c r="L610" s="5">
        <f>E610+F610+H610+I610+J610+G610+K610</f>
        <v>14095</v>
      </c>
      <c r="U610" s="7">
        <f>N610+O610+P610+Q610+S610+R610+T610</f>
        <v>0</v>
      </c>
      <c r="AD610" s="9">
        <f>W610+X610+Y610+Z610+AA610+AB610+AC610</f>
        <v>0</v>
      </c>
      <c r="AF610" s="34"/>
      <c r="AG610" s="34"/>
      <c r="AH610" s="34"/>
      <c r="AN610" s="9">
        <f>AG610+AH610+AI610+AJ610+AK610+AL610+AM610</f>
        <v>0</v>
      </c>
      <c r="AT610" s="11">
        <f>100+676+29</f>
        <v>805</v>
      </c>
      <c r="AV610" s="64">
        <f>L610+U610+AD610</f>
        <v>14095</v>
      </c>
      <c r="AW610" s="73">
        <f>AT610+AV610+AU610</f>
        <v>14900</v>
      </c>
      <c r="AY610" s="74">
        <f>AZ610+BA610+BB610+BC610+BD610+BE610</f>
        <v>21300</v>
      </c>
      <c r="BA610" s="15">
        <v>14900</v>
      </c>
      <c r="BE610" s="17">
        <v>6400</v>
      </c>
      <c r="BL610" s="18">
        <v>4</v>
      </c>
    </row>
    <row r="611" customHeight="1" spans="2:51">
      <c r="B611" s="33">
        <v>10060175</v>
      </c>
      <c r="L611" s="5">
        <f>E611+F611+H611+I611+J611+G611+K611</f>
        <v>0</v>
      </c>
      <c r="U611" s="7">
        <f>N611+O611+P611+Q611+S611+R611+T611</f>
        <v>0</v>
      </c>
      <c r="AD611" s="9">
        <f>W611+X611+Y611+Z611+AA611+AB611+AC611</f>
        <v>0</v>
      </c>
      <c r="AF611" s="34"/>
      <c r="AG611" s="34"/>
      <c r="AH611" s="34"/>
      <c r="AN611" s="9">
        <f>AG611+AH611+AI611+AJ611+AK611+AL611+AM611</f>
        <v>0</v>
      </c>
      <c r="AV611" s="64">
        <f>L611+U611+AD611</f>
        <v>0</v>
      </c>
      <c r="AW611" s="73">
        <f>AT611+AV611+AU611</f>
        <v>0</v>
      </c>
      <c r="AY611" s="74">
        <f>AZ611+BA611+BB611+BC611+BD611+BE611</f>
        <v>0</v>
      </c>
    </row>
    <row r="612" customHeight="1" spans="2:51">
      <c r="B612" s="33">
        <v>10060176</v>
      </c>
      <c r="L612" s="5">
        <f>E612+F612+H612+I612+J612+G612+K612</f>
        <v>0</v>
      </c>
      <c r="U612" s="7">
        <f>N612+O612+P612+Q612+S612+R612+T612</f>
        <v>0</v>
      </c>
      <c r="AD612" s="9">
        <f>W612+X612+Y612+Z612+AA612+AB612+AC612</f>
        <v>0</v>
      </c>
      <c r="AF612" s="34"/>
      <c r="AG612" s="34"/>
      <c r="AH612" s="34"/>
      <c r="AN612" s="9">
        <f>AG612+AH612+AI612+AJ612+AK612+AL612+AM612</f>
        <v>0</v>
      </c>
      <c r="AV612" s="64">
        <f>L612+U612+AD612</f>
        <v>0</v>
      </c>
      <c r="AW612" s="73">
        <f>AT612+AV612+AU612</f>
        <v>0</v>
      </c>
      <c r="AY612" s="74">
        <f>AZ612+BA612+BB612+BC612+BD612+BE612</f>
        <v>0</v>
      </c>
    </row>
    <row r="613" customHeight="1" spans="2:51">
      <c r="B613" s="33">
        <v>10060177</v>
      </c>
      <c r="L613" s="5">
        <f>E613+F613+H613+I613+J613+G613+K613</f>
        <v>0</v>
      </c>
      <c r="U613" s="7">
        <f>N613+O613+P613+Q613+S613+R613+T613</f>
        <v>0</v>
      </c>
      <c r="AD613" s="9">
        <f>W613+X613+Y613+Z613+AA613+AB613+AC613</f>
        <v>0</v>
      </c>
      <c r="AF613" s="34"/>
      <c r="AG613" s="34"/>
      <c r="AH613" s="34"/>
      <c r="AN613" s="9">
        <f>AG613+AH613+AI613+AJ613+AK613+AL613+AM613</f>
        <v>0</v>
      </c>
      <c r="AV613" s="64">
        <f>L613+U613+AD613</f>
        <v>0</v>
      </c>
      <c r="AW613" s="73">
        <f>AT613+AV613+AU613</f>
        <v>0</v>
      </c>
      <c r="AY613" s="74">
        <f>AZ613+BA613+BB613+BC613+BD613+BE613</f>
        <v>0</v>
      </c>
    </row>
    <row r="614" customHeight="1" spans="2:51">
      <c r="B614" s="33">
        <v>10060178</v>
      </c>
      <c r="L614" s="5">
        <f>E614+F614+H614+I614+J614+G614+K614</f>
        <v>0</v>
      </c>
      <c r="U614" s="7">
        <f>N614+O614+P614+Q614+S614+R614+T614</f>
        <v>0</v>
      </c>
      <c r="AD614" s="9">
        <f>W614+X614+Y614+Z614+AA614+AB614+AC614</f>
        <v>0</v>
      </c>
      <c r="AF614" s="34"/>
      <c r="AG614" s="34"/>
      <c r="AH614" s="34"/>
      <c r="AN614" s="9">
        <f>AG614+AH614+AI614+AJ614+AK614+AL614+AM614</f>
        <v>0</v>
      </c>
      <c r="AV614" s="64">
        <f>L614+U614+AD614</f>
        <v>0</v>
      </c>
      <c r="AW614" s="73">
        <f>AT614+AV614+AU614</f>
        <v>0</v>
      </c>
      <c r="AY614" s="74">
        <f>AZ614+BA614+BB614+BC614+BD614+BE614</f>
        <v>0</v>
      </c>
    </row>
    <row r="615" customHeight="1" spans="2:51">
      <c r="B615" s="33">
        <v>10060179</v>
      </c>
      <c r="L615" s="5">
        <f>E615+F615+H615+I615+J615+G615+K615</f>
        <v>0</v>
      </c>
      <c r="U615" s="7">
        <f>N615+O615+P615+Q615+S615+R615+T615</f>
        <v>0</v>
      </c>
      <c r="AD615" s="9">
        <f>W615+X615+Y615+Z615+AA615+AB615+AC615</f>
        <v>0</v>
      </c>
      <c r="AF615" s="34"/>
      <c r="AG615" s="34"/>
      <c r="AH615" s="34"/>
      <c r="AN615" s="9">
        <f>AG615+AH615+AI615+AJ615+AK615+AL615+AM615</f>
        <v>0</v>
      </c>
      <c r="AV615" s="64">
        <f>L615+U615+AD615</f>
        <v>0</v>
      </c>
      <c r="AW615" s="73">
        <f>AT615+AV615+AU615</f>
        <v>0</v>
      </c>
      <c r="AY615" s="74">
        <f>AZ615+BA615+BB615+BC615+BD615+BE615</f>
        <v>0</v>
      </c>
    </row>
    <row r="616" customHeight="1" spans="2:51">
      <c r="B616" s="33">
        <v>10060180</v>
      </c>
      <c r="L616" s="5">
        <f>E616+F616+H616+I616+J616+G616+K616</f>
        <v>0</v>
      </c>
      <c r="U616" s="7">
        <f>N616+O616+P616+Q616+S616+R616+T616</f>
        <v>0</v>
      </c>
      <c r="AD616" s="9">
        <f>W616+X616+Y616+Z616+AA616+AB616+AC616</f>
        <v>0</v>
      </c>
      <c r="AF616" s="34"/>
      <c r="AG616" s="34"/>
      <c r="AH616" s="34"/>
      <c r="AN616" s="9">
        <f>AG616+AH616+AI616+AJ616+AK616+AL616+AM616</f>
        <v>0</v>
      </c>
      <c r="AV616" s="64">
        <f>L616+U616+AD616</f>
        <v>0</v>
      </c>
      <c r="AW616" s="73">
        <f>AT616+AV616+AU616</f>
        <v>0</v>
      </c>
      <c r="AY616" s="74">
        <f>AZ616+BA616+BB616+BC616+BD616+BE616</f>
        <v>0</v>
      </c>
    </row>
    <row r="617" customHeight="1" spans="2:51">
      <c r="B617" s="33">
        <v>10060181</v>
      </c>
      <c r="L617" s="5">
        <f>E617+F617+H617+I617+J617+G617+K617</f>
        <v>0</v>
      </c>
      <c r="U617" s="7">
        <f>N617+O617+P617+Q617+S617+R617+T617</f>
        <v>0</v>
      </c>
      <c r="AD617" s="9">
        <f>W617+X617+Y617+Z617+AA617+AB617+AC617</f>
        <v>0</v>
      </c>
      <c r="AF617" s="34"/>
      <c r="AG617" s="34"/>
      <c r="AH617" s="34"/>
      <c r="AN617" s="9">
        <f>AG617+AH617+AI617+AJ617+AK617+AL617+AM617</f>
        <v>0</v>
      </c>
      <c r="AV617" s="64">
        <f>L617+U617+AD617</f>
        <v>0</v>
      </c>
      <c r="AW617" s="73">
        <f>AT617+AV617+AU617</f>
        <v>0</v>
      </c>
      <c r="AY617" s="74">
        <f>AZ617+BA617+BB617+BC617+BD617+BE617</f>
        <v>0</v>
      </c>
    </row>
    <row r="618" customHeight="1" spans="2:51">
      <c r="B618" s="33">
        <v>10060182</v>
      </c>
      <c r="L618" s="5">
        <f>E618+F618+H618+I618+J618+G618+K618</f>
        <v>0</v>
      </c>
      <c r="U618" s="7">
        <f>N618+O618+P618+Q618+S618+R618+T618</f>
        <v>0</v>
      </c>
      <c r="AD618" s="9">
        <f>W618+X618+Y618+Z618+AA618+AB618+AC618</f>
        <v>0</v>
      </c>
      <c r="AF618" s="34"/>
      <c r="AG618" s="34"/>
      <c r="AH618" s="34"/>
      <c r="AN618" s="9">
        <f>AG618+AH618+AI618+AJ618+AK618+AL618+AM618</f>
        <v>0</v>
      </c>
      <c r="AV618" s="64">
        <f>L618+U618+AD618</f>
        <v>0</v>
      </c>
      <c r="AW618" s="73">
        <f>AT618+AV618+AU618</f>
        <v>0</v>
      </c>
      <c r="AY618" s="74">
        <f>AZ618+BA618+BB618+BC618+BD618+BE618</f>
        <v>0</v>
      </c>
    </row>
    <row r="619" customHeight="1" spans="2:51">
      <c r="B619" s="33">
        <v>10060183</v>
      </c>
      <c r="L619" s="5">
        <f>E619+F619+H619+I619+J619+G619+K619</f>
        <v>0</v>
      </c>
      <c r="U619" s="7">
        <f>N619+O619+P619+Q619+S619+R619+T619</f>
        <v>0</v>
      </c>
      <c r="AD619" s="9">
        <f>W619+X619+Y619+Z619+AA619+AB619+AC619</f>
        <v>0</v>
      </c>
      <c r="AF619" s="34"/>
      <c r="AG619" s="34"/>
      <c r="AH619" s="34"/>
      <c r="AN619" s="9">
        <f>AG619+AH619+AI619+AJ619+AK619+AL619+AM619</f>
        <v>0</v>
      </c>
      <c r="AV619" s="64">
        <f>L619+U619+AD619</f>
        <v>0</v>
      </c>
      <c r="AW619" s="73">
        <f>AT619+AV619+AU619</f>
        <v>0</v>
      </c>
      <c r="AY619" s="74">
        <f>AZ619+BA619+BB619+BC619+BD619+BE619</f>
        <v>0</v>
      </c>
    </row>
    <row r="620" customHeight="1" spans="2:51">
      <c r="B620" s="33">
        <v>10060184</v>
      </c>
      <c r="L620" s="5">
        <f>E620+F620+H620+I620+J620+G620+K620</f>
        <v>0</v>
      </c>
      <c r="U620" s="7">
        <f>N620+O620+P620+Q620+S620+R620+T620</f>
        <v>0</v>
      </c>
      <c r="AD620" s="9">
        <f>W620+X620+Y620+Z620+AA620+AB620+AC620</f>
        <v>0</v>
      </c>
      <c r="AF620" s="34"/>
      <c r="AG620" s="34"/>
      <c r="AH620" s="34"/>
      <c r="AN620" s="9">
        <f>AG620+AH620+AI620+AJ620+AK620+AL620+AM620</f>
        <v>0</v>
      </c>
      <c r="AV620" s="64">
        <f>L620+U620+AD620</f>
        <v>0</v>
      </c>
      <c r="AW620" s="73">
        <f>AT620+AV620+AU620</f>
        <v>0</v>
      </c>
      <c r="AY620" s="74">
        <f>AZ620+BA620+BB620+BC620+BD620+BE620</f>
        <v>0</v>
      </c>
    </row>
    <row r="621" customHeight="1" spans="2:51">
      <c r="B621" s="33">
        <v>10060185</v>
      </c>
      <c r="L621" s="5">
        <f>E621+F621+H621+I621+J621+G621+K621</f>
        <v>0</v>
      </c>
      <c r="U621" s="7">
        <f>N621+O621+P621+Q621+S621+R621+T621</f>
        <v>0</v>
      </c>
      <c r="AD621" s="9">
        <f>W621+X621+Y621+Z621+AA621+AB621+AC621</f>
        <v>0</v>
      </c>
      <c r="AF621" s="34"/>
      <c r="AG621" s="34"/>
      <c r="AH621" s="34"/>
      <c r="AN621" s="9">
        <f>AG621+AH621+AI621+AJ621+AK621+AL621+AM621</f>
        <v>0</v>
      </c>
      <c r="AV621" s="64">
        <f>L621+U621+AD621</f>
        <v>0</v>
      </c>
      <c r="AW621" s="73">
        <f>AT621+AV621+AU621</f>
        <v>0</v>
      </c>
      <c r="AY621" s="74">
        <f>AZ621+BA621+BB621+BC621+BD621+BE621</f>
        <v>0</v>
      </c>
    </row>
    <row r="622" customHeight="1" spans="2:51">
      <c r="B622" s="33">
        <v>10060186</v>
      </c>
      <c r="L622" s="5">
        <f>E622+F622+H622+I622+J622+G622+K622</f>
        <v>0</v>
      </c>
      <c r="U622" s="7">
        <f>N622+O622+P622+Q622+S622+R622+T622</f>
        <v>0</v>
      </c>
      <c r="AD622" s="9">
        <f>W622+X622+Y622+Z622+AA622+AB622+AC622</f>
        <v>0</v>
      </c>
      <c r="AF622" s="34"/>
      <c r="AG622" s="34"/>
      <c r="AH622" s="34"/>
      <c r="AN622" s="9">
        <f>AG622+AH622+AI622+AJ622+AK622+AL622+AM622</f>
        <v>0</v>
      </c>
      <c r="AV622" s="64">
        <f>L622+U622+AD622</f>
        <v>0</v>
      </c>
      <c r="AW622" s="73">
        <f>AT622+AV622+AU622</f>
        <v>0</v>
      </c>
      <c r="AY622" s="74">
        <f>AZ622+BA622+BB622+BC622+BD622+BE622</f>
        <v>0</v>
      </c>
    </row>
    <row r="623" customHeight="1" spans="2:51">
      <c r="B623" s="33">
        <v>10060187</v>
      </c>
      <c r="L623" s="5">
        <f>E623+F623+H623+I623+J623+G623+K623</f>
        <v>0</v>
      </c>
      <c r="U623" s="7">
        <f>N623+O623+P623+Q623+S623+R623+T623</f>
        <v>0</v>
      </c>
      <c r="AD623" s="9">
        <f>W623+X623+Y623+Z623+AA623+AB623+AC623</f>
        <v>0</v>
      </c>
      <c r="AF623" s="34"/>
      <c r="AG623" s="34"/>
      <c r="AH623" s="34"/>
      <c r="AN623" s="9">
        <f>AG623+AH623+AI623+AJ623+AK623+AL623+AM623</f>
        <v>0</v>
      </c>
      <c r="AV623" s="64">
        <f>L623+U623+AD623</f>
        <v>0</v>
      </c>
      <c r="AW623" s="73">
        <f>AT623+AV623+AU623</f>
        <v>0</v>
      </c>
      <c r="AY623" s="74">
        <f>AZ623+BA623+BB623+BC623+BD623+BE623</f>
        <v>0</v>
      </c>
    </row>
    <row r="624" customHeight="1" spans="2:51">
      <c r="B624" s="33">
        <v>10060188</v>
      </c>
      <c r="L624" s="5">
        <f>E624+F624+H624+I624+J624+G624+K624</f>
        <v>0</v>
      </c>
      <c r="U624" s="7">
        <f>N624+O624+P624+Q624+S624+R624+T624</f>
        <v>0</v>
      </c>
      <c r="AD624" s="9">
        <f>W624+X624+Y624+Z624+AA624+AB624+AC624</f>
        <v>0</v>
      </c>
      <c r="AF624" s="34"/>
      <c r="AG624" s="34"/>
      <c r="AH624" s="34"/>
      <c r="AN624" s="9">
        <f>AG624+AH624+AI624+AJ624+AK624+AL624+AM624</f>
        <v>0</v>
      </c>
      <c r="AV624" s="64">
        <f>L624+U624+AD624</f>
        <v>0</v>
      </c>
      <c r="AW624" s="73">
        <f>AT624+AV624+AU624</f>
        <v>0</v>
      </c>
      <c r="AY624" s="74">
        <f>AZ624+BA624+BB624+BC624+BD624+BE624</f>
        <v>0</v>
      </c>
    </row>
    <row r="625" customHeight="1" spans="2:51">
      <c r="B625" s="33">
        <v>10060189</v>
      </c>
      <c r="L625" s="5">
        <f>E625+F625+H625+I625+J625+G625+K625</f>
        <v>0</v>
      </c>
      <c r="U625" s="7">
        <f>N625+O625+P625+Q625+S625+R625+T625</f>
        <v>0</v>
      </c>
      <c r="AD625" s="9">
        <f>W625+X625+Y625+Z625+AA625+AB625+AC625</f>
        <v>0</v>
      </c>
      <c r="AF625" s="34"/>
      <c r="AG625" s="34"/>
      <c r="AH625" s="34"/>
      <c r="AN625" s="9">
        <f>AG625+AH625+AI625+AJ625+AK625+AL625+AM625</f>
        <v>0</v>
      </c>
      <c r="AV625" s="64">
        <f>L625+U625+AD625</f>
        <v>0</v>
      </c>
      <c r="AW625" s="73">
        <f>AT625+AV625+AU625</f>
        <v>0</v>
      </c>
      <c r="AY625" s="74">
        <f>AZ625+BA625+BB625+BC625+BD625+BE625</f>
        <v>0</v>
      </c>
    </row>
    <row r="626" customHeight="1" spans="2:51">
      <c r="B626" s="33">
        <v>10060190</v>
      </c>
      <c r="L626" s="5">
        <f>E626+F626+H626+I626+J626+G626+K626</f>
        <v>0</v>
      </c>
      <c r="U626" s="7">
        <f>N626+O626+P626+Q626+S626+R626+T626</f>
        <v>0</v>
      </c>
      <c r="AD626" s="9">
        <f>W626+X626+Y626+Z626+AA626+AB626+AC626</f>
        <v>0</v>
      </c>
      <c r="AF626" s="34"/>
      <c r="AG626" s="34"/>
      <c r="AH626" s="34"/>
      <c r="AN626" s="9">
        <f>AG626+AH626+AI626+AJ626+AK626+AL626+AM626</f>
        <v>0</v>
      </c>
      <c r="AV626" s="64">
        <f>L626+U626+AD626</f>
        <v>0</v>
      </c>
      <c r="AW626" s="73">
        <f>AT626+AV626+AU626</f>
        <v>0</v>
      </c>
      <c r="AY626" s="74">
        <f>AZ626+BA626+BB626+BC626+BD626+BE626</f>
        <v>0</v>
      </c>
    </row>
    <row r="627" customHeight="1" spans="2:51">
      <c r="B627" s="33">
        <v>10060191</v>
      </c>
      <c r="L627" s="5">
        <f>E627+F627+H627+I627+J627+G627+K627</f>
        <v>0</v>
      </c>
      <c r="U627" s="7">
        <f>N627+O627+P627+Q627+S627+R627+T627</f>
        <v>0</v>
      </c>
      <c r="AD627" s="9">
        <f>W627+X627+Y627+Z627+AA627+AB627+AC627</f>
        <v>0</v>
      </c>
      <c r="AF627" s="34"/>
      <c r="AG627" s="34"/>
      <c r="AH627" s="34"/>
      <c r="AN627" s="9">
        <f>AG627+AH627+AI627+AJ627+AK627+AL627+AM627</f>
        <v>0</v>
      </c>
      <c r="AV627" s="64">
        <f>L627+U627+AD627</f>
        <v>0</v>
      </c>
      <c r="AW627" s="73">
        <f>AT627+AV627+AU627</f>
        <v>0</v>
      </c>
      <c r="AY627" s="74">
        <f>AZ627+BA627+BB627+BC627+BD627+BE627</f>
        <v>0</v>
      </c>
    </row>
    <row r="628" customHeight="1" spans="2:51">
      <c r="B628" s="33">
        <v>10060192</v>
      </c>
      <c r="L628" s="5">
        <f>E628+F628+H628+I628+J628+G628+K628</f>
        <v>0</v>
      </c>
      <c r="U628" s="7">
        <f>N628+O628+P628+Q628+S628+R628+T628</f>
        <v>0</v>
      </c>
      <c r="AD628" s="9">
        <f>W628+X628+Y628+Z628+AA628+AB628+AC628</f>
        <v>0</v>
      </c>
      <c r="AF628" s="34"/>
      <c r="AG628" s="34"/>
      <c r="AH628" s="34"/>
      <c r="AN628" s="9">
        <f>AG628+AH628+AI628+AJ628+AK628+AL628+AM628</f>
        <v>0</v>
      </c>
      <c r="AV628" s="64">
        <f>L628+U628+AD628</f>
        <v>0</v>
      </c>
      <c r="AW628" s="73">
        <f>AT628+AV628+AU628</f>
        <v>0</v>
      </c>
      <c r="AY628" s="74">
        <f>AZ628+BA628+BB628+BC628+BD628+BE628</f>
        <v>0</v>
      </c>
    </row>
    <row r="629" customHeight="1" spans="2:51">
      <c r="B629" s="33">
        <v>10060193</v>
      </c>
      <c r="L629" s="5">
        <f>E629+F629+H629+I629+J629+G629+K629</f>
        <v>0</v>
      </c>
      <c r="U629" s="7">
        <f>N629+O629+P629+Q629+S629+R629+T629</f>
        <v>0</v>
      </c>
      <c r="AD629" s="9">
        <f>W629+X629+Y629+Z629+AA629+AB629+AC629</f>
        <v>0</v>
      </c>
      <c r="AF629" s="34"/>
      <c r="AG629" s="34"/>
      <c r="AH629" s="34"/>
      <c r="AN629" s="9">
        <f>AG629+AH629+AI629+AJ629+AK629+AL629+AM629</f>
        <v>0</v>
      </c>
      <c r="AV629" s="64">
        <f>L629+U629+AD629</f>
        <v>0</v>
      </c>
      <c r="AW629" s="73">
        <f>AT629+AV629+AU629</f>
        <v>0</v>
      </c>
      <c r="AY629" s="74">
        <f>AZ629+BA629+BB629+BC629+BD629+BE629</f>
        <v>0</v>
      </c>
    </row>
    <row r="630" customHeight="1" spans="2:51">
      <c r="B630" s="33">
        <v>10060194</v>
      </c>
      <c r="L630" s="5">
        <f>E630+F630+H630+I630+J630+G630+K630</f>
        <v>0</v>
      </c>
      <c r="U630" s="7">
        <f>N630+O630+P630+Q630+S630+R630+T630</f>
        <v>0</v>
      </c>
      <c r="AD630" s="9">
        <f>W630+X630+Y630+Z630+AA630+AB630+AC630</f>
        <v>0</v>
      </c>
      <c r="AF630" s="34"/>
      <c r="AG630" s="34"/>
      <c r="AH630" s="34"/>
      <c r="AN630" s="9">
        <f>AG630+AH630+AI630+AJ630+AK630+AL630+AM630</f>
        <v>0</v>
      </c>
      <c r="AV630" s="64">
        <f>L630+U630+AD630</f>
        <v>0</v>
      </c>
      <c r="AW630" s="73">
        <f>AT630+AV630+AU630</f>
        <v>0</v>
      </c>
      <c r="AY630" s="74">
        <f>AZ630+BA630+BB630+BC630+BD630+BE630</f>
        <v>0</v>
      </c>
    </row>
    <row r="631" customHeight="1" spans="2:51">
      <c r="B631" s="33">
        <v>10060195</v>
      </c>
      <c r="L631" s="5">
        <f>E631+F631+H631+I631+J631+G631+K631</f>
        <v>0</v>
      </c>
      <c r="U631" s="7">
        <f>N631+O631+P631+Q631+S631+R631+T631</f>
        <v>0</v>
      </c>
      <c r="AD631" s="9">
        <f>W631+X631+Y631+Z631+AA631+AB631+AC631</f>
        <v>0</v>
      </c>
      <c r="AF631" s="34"/>
      <c r="AG631" s="34"/>
      <c r="AH631" s="34"/>
      <c r="AN631" s="9">
        <f>AG631+AH631+AI631+AJ631+AK631+AL631+AM631</f>
        <v>0</v>
      </c>
      <c r="AV631" s="64">
        <f>L631+U631+AD631</f>
        <v>0</v>
      </c>
      <c r="AW631" s="73">
        <f>AT631+AV631+AU631</f>
        <v>0</v>
      </c>
      <c r="AY631" s="74">
        <f>AZ631+BA631+BB631+BC631+BD631+BE631</f>
        <v>0</v>
      </c>
    </row>
    <row r="632" customHeight="1" spans="2:51">
      <c r="B632" s="33">
        <v>10060196</v>
      </c>
      <c r="L632" s="5">
        <f>E632+F632+H632+I632+J632+G632+K632</f>
        <v>0</v>
      </c>
      <c r="U632" s="7">
        <f>N632+O632+P632+Q632+S632+R632+T632</f>
        <v>0</v>
      </c>
      <c r="AD632" s="9">
        <f>W632+X632+Y632+Z632+AA632+AB632+AC632</f>
        <v>0</v>
      </c>
      <c r="AF632" s="34"/>
      <c r="AG632" s="34"/>
      <c r="AH632" s="34"/>
      <c r="AN632" s="9">
        <f>AG632+AH632+AI632+AJ632+AK632+AL632+AM632</f>
        <v>0</v>
      </c>
      <c r="AV632" s="64">
        <f>L632+U632+AD632</f>
        <v>0</v>
      </c>
      <c r="AW632" s="73">
        <f>AT632+AV632+AU632</f>
        <v>0</v>
      </c>
      <c r="AY632" s="74">
        <f>AZ632+BA632+BB632+BC632+BD632+BE632</f>
        <v>0</v>
      </c>
    </row>
    <row r="633" customHeight="1" spans="2:51">
      <c r="B633" s="33">
        <v>10060197</v>
      </c>
      <c r="L633" s="5">
        <f>E633+F633+H633+I633+J633+G633+K633</f>
        <v>0</v>
      </c>
      <c r="U633" s="7">
        <f>N633+O633+P633+Q633+S633+R633+T633</f>
        <v>0</v>
      </c>
      <c r="AD633" s="9">
        <f>W633+X633+Y633+Z633+AA633+AB633+AC633</f>
        <v>0</v>
      </c>
      <c r="AF633" s="34"/>
      <c r="AG633" s="34"/>
      <c r="AH633" s="34"/>
      <c r="AN633" s="9">
        <f>AG633+AH633+AI633+AJ633+AK633+AL633+AM633</f>
        <v>0</v>
      </c>
      <c r="AV633" s="64">
        <f>L633+U633+AD633</f>
        <v>0</v>
      </c>
      <c r="AW633" s="73">
        <f>AT633+AV633+AU633</f>
        <v>0</v>
      </c>
      <c r="AY633" s="74">
        <f>AZ633+BA633+BB633+BC633+BD633+BE633</f>
        <v>0</v>
      </c>
    </row>
    <row r="634" customHeight="1" spans="2:51">
      <c r="B634" s="33">
        <v>10060198</v>
      </c>
      <c r="L634" s="5">
        <f>E634+F634+H634+I634+J634+G634+K634</f>
        <v>0</v>
      </c>
      <c r="U634" s="7">
        <f>N634+O634+P634+Q634+S634+R634+T634</f>
        <v>0</v>
      </c>
      <c r="AD634" s="9">
        <f>W634+X634+Y634+Z634+AA634+AB634+AC634</f>
        <v>0</v>
      </c>
      <c r="AF634" s="34"/>
      <c r="AG634" s="34"/>
      <c r="AH634" s="34"/>
      <c r="AN634" s="9">
        <f>AG634+AH634+AI634+AJ634+AK634+AL634+AM634</f>
        <v>0</v>
      </c>
      <c r="AV634" s="64">
        <f>L634+U634+AD634</f>
        <v>0</v>
      </c>
      <c r="AW634" s="73">
        <f>AT634+AV634+AU634</f>
        <v>0</v>
      </c>
      <c r="AY634" s="74">
        <f>AZ634+BA634+BB634+BC634+BD634+BE634</f>
        <v>0</v>
      </c>
    </row>
    <row r="635" customHeight="1" spans="2:51">
      <c r="B635" s="33">
        <v>10060199</v>
      </c>
      <c r="L635" s="5">
        <f>E635+F635+H635+I635+J635+G635+K635</f>
        <v>0</v>
      </c>
      <c r="U635" s="7">
        <f>N635+O635+P635+Q635+S635+R635+T635</f>
        <v>0</v>
      </c>
      <c r="AD635" s="9">
        <f>W635+X635+Y635+Z635+AA635+AB635+AC635</f>
        <v>0</v>
      </c>
      <c r="AF635" s="34"/>
      <c r="AG635" s="34"/>
      <c r="AH635" s="34"/>
      <c r="AN635" s="9">
        <f>AG635+AH635+AI635+AJ635+AK635+AL635+AM635</f>
        <v>0</v>
      </c>
      <c r="AV635" s="64">
        <f>L635+U635+AD635</f>
        <v>0</v>
      </c>
      <c r="AW635" s="73">
        <f>AT635+AV635+AU635</f>
        <v>0</v>
      </c>
      <c r="AY635" s="74">
        <f>AZ635+BA635+BB635+BC635+BD635+BE635</f>
        <v>0</v>
      </c>
    </row>
    <row r="636" customHeight="1" spans="2:51">
      <c r="B636" s="33">
        <v>10060200</v>
      </c>
      <c r="L636" s="5">
        <f>E636+F636+H636+I636+J636+G636+K636</f>
        <v>0</v>
      </c>
      <c r="U636" s="7">
        <f>N636+O636+P636+Q636+S636+R636+T636</f>
        <v>0</v>
      </c>
      <c r="AD636" s="9">
        <f>W636+X636+Y636+Z636+AA636+AB636+AC636</f>
        <v>0</v>
      </c>
      <c r="AF636" s="34"/>
      <c r="AG636" s="34"/>
      <c r="AH636" s="34"/>
      <c r="AN636" s="9">
        <f>AG636+AH636+AI636+AJ636+AK636+AL636+AM636</f>
        <v>0</v>
      </c>
      <c r="AV636" s="64">
        <f>L636+U636+AD636</f>
        <v>0</v>
      </c>
      <c r="AW636" s="73">
        <f>AT636+AV636+AU636</f>
        <v>0</v>
      </c>
      <c r="AY636" s="74">
        <f>AZ636+BA636+BB636+BC636+BD636+BE636</f>
        <v>0</v>
      </c>
    </row>
    <row r="637" customHeight="1" spans="2:51">
      <c r="B637" s="33">
        <v>10060201</v>
      </c>
      <c r="L637" s="5">
        <f>E637+F637+H637+I637+J637+G637+K637</f>
        <v>0</v>
      </c>
      <c r="U637" s="7">
        <f>N637+O637+P637+Q637+S637+R637+T637</f>
        <v>0</v>
      </c>
      <c r="AD637" s="9">
        <f>W637+X637+Y637+Z637+AA637+AB637+AC637</f>
        <v>0</v>
      </c>
      <c r="AF637" s="34"/>
      <c r="AG637" s="34"/>
      <c r="AH637" s="34"/>
      <c r="AN637" s="9">
        <f>AG637+AH637+AI637+AJ637+AK637+AL637+AM637</f>
        <v>0</v>
      </c>
      <c r="AV637" s="64">
        <f>L637+U637+AD637</f>
        <v>0</v>
      </c>
      <c r="AW637" s="73">
        <f>AT637+AV637+AU637</f>
        <v>0</v>
      </c>
      <c r="AY637" s="74">
        <f>AZ637+BA637+BB637+BC637+BD637+BE637</f>
        <v>0</v>
      </c>
    </row>
    <row r="638" customHeight="1" spans="2:51">
      <c r="B638" s="33">
        <v>10060202</v>
      </c>
      <c r="L638" s="5">
        <f>E638+F638+H638+I638+J638+G638+K638</f>
        <v>0</v>
      </c>
      <c r="U638" s="7">
        <f>N638+O638+P638+Q638+S638+R638+T638</f>
        <v>0</v>
      </c>
      <c r="AD638" s="9">
        <f>W638+X638+Y638+Z638+AA638+AB638+AC638</f>
        <v>0</v>
      </c>
      <c r="AF638" s="34"/>
      <c r="AG638" s="34"/>
      <c r="AH638" s="34"/>
      <c r="AN638" s="9">
        <f>AG638+AH638+AI638+AJ638+AK638+AL638+AM638</f>
        <v>0</v>
      </c>
      <c r="AV638" s="64">
        <f>L638+U638+AD638</f>
        <v>0</v>
      </c>
      <c r="AW638" s="73">
        <f>AT638+AV638+AU638</f>
        <v>0</v>
      </c>
      <c r="AY638" s="74">
        <f>AZ638+BA638+BB638+BC638+BD638+BE638</f>
        <v>0</v>
      </c>
    </row>
    <row r="639" customHeight="1" spans="2:51">
      <c r="B639" s="33">
        <v>10060203</v>
      </c>
      <c r="L639" s="5">
        <f>E639+F639+H639+I639+J639+G639+K639</f>
        <v>0</v>
      </c>
      <c r="U639" s="7">
        <f>N639+O639+P639+Q639+S639+R639+T639</f>
        <v>0</v>
      </c>
      <c r="AD639" s="9">
        <f>W639+X639+Y639+Z639+AA639+AB639+AC639</f>
        <v>0</v>
      </c>
      <c r="AF639" s="34"/>
      <c r="AG639" s="34"/>
      <c r="AH639" s="34"/>
      <c r="AN639" s="9">
        <f>AG639+AH639+AI639+AJ639+AK639+AL639+AM639</f>
        <v>0</v>
      </c>
      <c r="AV639" s="64">
        <f>L639+U639+AD639</f>
        <v>0</v>
      </c>
      <c r="AW639" s="73">
        <f>AT639+AV639+AU639</f>
        <v>0</v>
      </c>
      <c r="AY639" s="74">
        <f>AZ639+BA639+BB639+BC639+BD639+BE639</f>
        <v>0</v>
      </c>
    </row>
    <row r="640" customHeight="1" spans="2:51">
      <c r="B640" s="33">
        <v>10060204</v>
      </c>
      <c r="L640" s="5">
        <f>E640+F640+H640+I640+J640+G640+K640</f>
        <v>0</v>
      </c>
      <c r="U640" s="7">
        <f>N640+O640+P640+Q640+S640+R640+T640</f>
        <v>0</v>
      </c>
      <c r="AD640" s="9">
        <f>W640+X640+Y640+Z640+AA640+AB640+AC640</f>
        <v>0</v>
      </c>
      <c r="AF640" s="34"/>
      <c r="AG640" s="34"/>
      <c r="AH640" s="34"/>
      <c r="AN640" s="9">
        <f>AG640+AH640+AI640+AJ640+AK640+AL640+AM640</f>
        <v>0</v>
      </c>
      <c r="AV640" s="64">
        <f>L640+U640+AD640</f>
        <v>0</v>
      </c>
      <c r="AW640" s="73">
        <f>AT640+AV640+AU640</f>
        <v>0</v>
      </c>
      <c r="AY640" s="74">
        <f>AZ640+BA640+BB640+BC640+BD640+BE640</f>
        <v>0</v>
      </c>
    </row>
    <row r="641" customHeight="1" spans="2:51">
      <c r="B641" s="33">
        <v>10060205</v>
      </c>
      <c r="L641" s="5">
        <f>E641+F641+H641+I641+J641+G641+K641</f>
        <v>0</v>
      </c>
      <c r="U641" s="7">
        <f>N641+O641+P641+Q641+S641+R641+T641</f>
        <v>0</v>
      </c>
      <c r="AD641" s="9">
        <f>W641+X641+Y641+Z641+AA641+AB641+AC641</f>
        <v>0</v>
      </c>
      <c r="AF641" s="34"/>
      <c r="AG641" s="34"/>
      <c r="AH641" s="34"/>
      <c r="AN641" s="9">
        <f>AG641+AH641+AI641+AJ641+AK641+AL641+AM641</f>
        <v>0</v>
      </c>
      <c r="AV641" s="64">
        <f>L641+U641+AD641</f>
        <v>0</v>
      </c>
      <c r="AW641" s="73">
        <f>AT641+AV641+AU641</f>
        <v>0</v>
      </c>
      <c r="AY641" s="74">
        <f>AZ641+BA641+BB641+BC641+BD641+BE641</f>
        <v>0</v>
      </c>
    </row>
    <row r="642" customHeight="1" spans="2:51">
      <c r="B642" s="33">
        <v>10060206</v>
      </c>
      <c r="L642" s="5">
        <f>E642+F642+H642+I642+J642+G642+K642</f>
        <v>0</v>
      </c>
      <c r="U642" s="7">
        <f>N642+O642+P642+Q642+S642+R642+T642</f>
        <v>0</v>
      </c>
      <c r="AD642" s="9">
        <f>W642+X642+Y642+Z642+AA642+AB642+AC642</f>
        <v>0</v>
      </c>
      <c r="AF642" s="34"/>
      <c r="AG642" s="34"/>
      <c r="AH642" s="34"/>
      <c r="AN642" s="9">
        <f>AG642+AH642+AI642+AJ642+AK642+AL642+AM642</f>
        <v>0</v>
      </c>
      <c r="AV642" s="64">
        <f>L642+U642+AD642</f>
        <v>0</v>
      </c>
      <c r="AW642" s="73">
        <f>AT642+AV642+AU642</f>
        <v>0</v>
      </c>
      <c r="AY642" s="74">
        <f>AZ642+BA642+BB642+BC642+BD642+BE642</f>
        <v>0</v>
      </c>
    </row>
    <row r="643" customHeight="1" spans="2:51">
      <c r="B643" s="33">
        <v>10060207</v>
      </c>
      <c r="L643" s="5">
        <f>E643+F643+H643+I643+J643+G643+K643</f>
        <v>0</v>
      </c>
      <c r="U643" s="7">
        <f>N643+O643+P643+Q643+S643+R643+T643</f>
        <v>0</v>
      </c>
      <c r="AD643" s="9">
        <f>W643+X643+Y643+Z643+AA643+AB643+AC643</f>
        <v>0</v>
      </c>
      <c r="AF643" s="34"/>
      <c r="AG643" s="34"/>
      <c r="AH643" s="34"/>
      <c r="AN643" s="9">
        <f>AG643+AH643+AI643+AJ643+AK643+AL643+AM643</f>
        <v>0</v>
      </c>
      <c r="AV643" s="64">
        <f>L643+U643+AD643</f>
        <v>0</v>
      </c>
      <c r="AW643" s="73">
        <f>AT643+AV643+AU643</f>
        <v>0</v>
      </c>
      <c r="AY643" s="74">
        <f>AZ643+BA643+BB643+BC643+BD643+BE643</f>
        <v>0</v>
      </c>
    </row>
    <row r="644" customHeight="1" spans="2:51">
      <c r="B644" s="33">
        <v>10060208</v>
      </c>
      <c r="L644" s="5">
        <f>E644+F644+H644+I644+J644+G644+K644</f>
        <v>0</v>
      </c>
      <c r="U644" s="7">
        <f>N644+O644+P644+Q644+S644+R644+T644</f>
        <v>0</v>
      </c>
      <c r="AD644" s="9">
        <f>W644+X644+Y644+Z644+AA644+AB644+AC644</f>
        <v>0</v>
      </c>
      <c r="AF644" s="34"/>
      <c r="AG644" s="34"/>
      <c r="AH644" s="34"/>
      <c r="AN644" s="9">
        <f>AG644+AH644+AI644+AJ644+AK644+AL644+AM644</f>
        <v>0</v>
      </c>
      <c r="AV644" s="64">
        <f>L644+U644+AD644</f>
        <v>0</v>
      </c>
      <c r="AW644" s="73">
        <f>AT644+AV644+AU644</f>
        <v>0</v>
      </c>
      <c r="AY644" s="74">
        <f>AZ644+BA644+BB644+BC644+BD644+BE644</f>
        <v>0</v>
      </c>
    </row>
    <row r="645" customHeight="1" spans="2:51">
      <c r="B645" s="33">
        <v>10060209</v>
      </c>
      <c r="L645" s="5">
        <f>E645+F645+H645+I645+J645+G645+K645</f>
        <v>0</v>
      </c>
      <c r="U645" s="7">
        <f>N645+O645+P645+Q645+S645+R645+T645</f>
        <v>0</v>
      </c>
      <c r="AD645" s="9">
        <f>W645+X645+Y645+Z645+AA645+AB645+AC645</f>
        <v>0</v>
      </c>
      <c r="AF645" s="34"/>
      <c r="AG645" s="34"/>
      <c r="AH645" s="34"/>
      <c r="AN645" s="9">
        <f>AG645+AH645+AI645+AJ645+AK645+AL645+AM645</f>
        <v>0</v>
      </c>
      <c r="AV645" s="64">
        <f>L645+U645+AD645</f>
        <v>0</v>
      </c>
      <c r="AW645" s="73">
        <f>AT645+AV645+AU645</f>
        <v>0</v>
      </c>
      <c r="AY645" s="74">
        <f>AZ645+BA645+BB645+BC645+BD645+BE645</f>
        <v>0</v>
      </c>
    </row>
    <row r="646" customHeight="1" spans="2:51">
      <c r="B646" s="33">
        <v>10060210</v>
      </c>
      <c r="L646" s="5">
        <f>E646+F646+H646+I646+J646+G646+K646</f>
        <v>0</v>
      </c>
      <c r="U646" s="7">
        <f>N646+O646+P646+Q646+S646+R646+T646</f>
        <v>0</v>
      </c>
      <c r="AD646" s="9">
        <f>W646+X646+Y646+Z646+AA646+AB646+AC646</f>
        <v>0</v>
      </c>
      <c r="AF646" s="34"/>
      <c r="AG646" s="34"/>
      <c r="AH646" s="34"/>
      <c r="AN646" s="9">
        <f>AG646+AH646+AI646+AJ646+AK646+AL646+AM646</f>
        <v>0</v>
      </c>
      <c r="AV646" s="64">
        <f>L646+U646+AD646</f>
        <v>0</v>
      </c>
      <c r="AW646" s="73">
        <f>AT646+AV646+AU646</f>
        <v>0</v>
      </c>
      <c r="AY646" s="74">
        <f>AZ646+BA646+BB646+BC646+BD646+BE646</f>
        <v>0</v>
      </c>
    </row>
    <row r="647" customHeight="1" spans="2:51">
      <c r="B647" s="33">
        <v>10060211</v>
      </c>
      <c r="L647" s="5">
        <f>E647+F647+H647+I647+J647+G647+K647</f>
        <v>0</v>
      </c>
      <c r="U647" s="7">
        <f>N647+O647+P647+Q647+S647+R647+T647</f>
        <v>0</v>
      </c>
      <c r="AD647" s="9">
        <f>W647+X647+Y647+Z647+AA647+AB647+AC647</f>
        <v>0</v>
      </c>
      <c r="AF647" s="34"/>
      <c r="AG647" s="34"/>
      <c r="AH647" s="34"/>
      <c r="AN647" s="9">
        <f>AG647+AH647+AI647+AJ647+AK647+AL647+AM647</f>
        <v>0</v>
      </c>
      <c r="AV647" s="64">
        <f>L647+U647+AD647</f>
        <v>0</v>
      </c>
      <c r="AW647" s="73">
        <f>AT647+AV647+AU647</f>
        <v>0</v>
      </c>
      <c r="AY647" s="74">
        <f>AZ647+BA647+BB647+BC647+BD647+BE647</f>
        <v>0</v>
      </c>
    </row>
    <row r="648" customHeight="1" spans="2:51">
      <c r="B648" s="33">
        <v>10060212</v>
      </c>
      <c r="L648" s="5">
        <f>E648+F648+H648+I648+J648+G648+K648</f>
        <v>0</v>
      </c>
      <c r="U648" s="7">
        <f>N648+O648+P648+Q648+S648+R648+T648</f>
        <v>0</v>
      </c>
      <c r="AD648" s="9">
        <f>W648+X648+Y648+Z648+AA648+AB648+AC648</f>
        <v>0</v>
      </c>
      <c r="AF648" s="34"/>
      <c r="AG648" s="34"/>
      <c r="AH648" s="34"/>
      <c r="AN648" s="9">
        <f>AG648+AH648+AI648+AJ648+AK648+AL648+AM648</f>
        <v>0</v>
      </c>
      <c r="AV648" s="64">
        <f>L648+U648+AD648</f>
        <v>0</v>
      </c>
      <c r="AW648" s="73">
        <f>AT648+AV648+AU648</f>
        <v>0</v>
      </c>
      <c r="AY648" s="74">
        <f>AZ648+BA648+BB648+BC648+BD648+BE648</f>
        <v>0</v>
      </c>
    </row>
    <row r="649" customHeight="1" spans="2:51">
      <c r="B649" s="33">
        <v>10060213</v>
      </c>
      <c r="L649" s="5">
        <f>E649+F649+H649+I649+J649+G649+K649</f>
        <v>0</v>
      </c>
      <c r="U649" s="7">
        <f>N649+O649+P649+Q649+S649+R649+T649</f>
        <v>0</v>
      </c>
      <c r="AD649" s="9">
        <f>W649+X649+Y649+Z649+AA649+AB649+AC649</f>
        <v>0</v>
      </c>
      <c r="AF649" s="34"/>
      <c r="AG649" s="34"/>
      <c r="AH649" s="34"/>
      <c r="AN649" s="9">
        <f>AG649+AH649+AI649+AJ649+AK649+AL649+AM649</f>
        <v>0</v>
      </c>
      <c r="AV649" s="64">
        <f>L649+U649+AD649</f>
        <v>0</v>
      </c>
      <c r="AW649" s="73">
        <f>AT649+AV649+AU649</f>
        <v>0</v>
      </c>
      <c r="AY649" s="74">
        <f>AZ649+BA649+BB649+BC649+BD649+BE649</f>
        <v>0</v>
      </c>
    </row>
    <row r="650" customHeight="1" spans="2:51">
      <c r="B650" s="33">
        <v>10060214</v>
      </c>
      <c r="L650" s="5">
        <f>E650+F650+H650+I650+J650+G650+K650</f>
        <v>0</v>
      </c>
      <c r="U650" s="7">
        <f>N650+O650+P650+Q650+S650+R650+T650</f>
        <v>0</v>
      </c>
      <c r="AD650" s="9">
        <f>W650+X650+Y650+Z650+AA650+AB650+AC650</f>
        <v>0</v>
      </c>
      <c r="AF650" s="34"/>
      <c r="AG650" s="34"/>
      <c r="AH650" s="34"/>
      <c r="AN650" s="9">
        <f>AG650+AH650+AI650+AJ650+AK650+AL650+AM650</f>
        <v>0</v>
      </c>
      <c r="AV650" s="64">
        <f>L650+U650+AD650</f>
        <v>0</v>
      </c>
      <c r="AW650" s="73">
        <f>AT650+AV650+AU650</f>
        <v>0</v>
      </c>
      <c r="AY650" s="74">
        <f>AZ650+BA650+BB650+BC650+BD650+BE650</f>
        <v>0</v>
      </c>
    </row>
    <row r="651" customHeight="1" spans="2:51">
      <c r="B651" s="33">
        <v>10060215</v>
      </c>
      <c r="L651" s="5">
        <f>E651+F651+H651+I651+J651+G651+K651</f>
        <v>0</v>
      </c>
      <c r="U651" s="7">
        <f>N651+O651+P651+Q651+S651+R651+T651</f>
        <v>0</v>
      </c>
      <c r="AD651" s="9">
        <f>W651+X651+Y651+Z651+AA651+AB651+AC651</f>
        <v>0</v>
      </c>
      <c r="AF651" s="34"/>
      <c r="AG651" s="34"/>
      <c r="AH651" s="34"/>
      <c r="AN651" s="9">
        <f>AG651+AH651+AI651+AJ651+AK651+AL651+AM651</f>
        <v>0</v>
      </c>
      <c r="AV651" s="64">
        <f>L651+U651+AD651</f>
        <v>0</v>
      </c>
      <c r="AW651" s="73">
        <f>AT651+AV651+AU651</f>
        <v>0</v>
      </c>
      <c r="AY651" s="74">
        <f>AZ651+BA651+BB651+BC651+BD651+BE651</f>
        <v>0</v>
      </c>
    </row>
    <row r="652" customHeight="1" spans="2:51">
      <c r="B652" s="33">
        <v>10060216</v>
      </c>
      <c r="L652" s="5">
        <f>E652+F652+H652+I652+J652+G652+K652</f>
        <v>0</v>
      </c>
      <c r="U652" s="7">
        <f>N652+O652+P652+Q652+S652+R652+T652</f>
        <v>0</v>
      </c>
      <c r="AD652" s="9">
        <f>W652+X652+Y652+Z652+AA652+AB652+AC652</f>
        <v>0</v>
      </c>
      <c r="AF652" s="34"/>
      <c r="AG652" s="34"/>
      <c r="AH652" s="34"/>
      <c r="AN652" s="9">
        <f>AG652+AH652+AI652+AJ652+AK652+AL652+AM652</f>
        <v>0</v>
      </c>
      <c r="AV652" s="64">
        <f>L652+U652+AD652</f>
        <v>0</v>
      </c>
      <c r="AW652" s="73">
        <f>AT652+AV652+AU652</f>
        <v>0</v>
      </c>
      <c r="AY652" s="74">
        <f>AZ652+BA652+BB652+BC652+BD652+BE652</f>
        <v>0</v>
      </c>
    </row>
    <row r="653" customHeight="1" spans="2:51">
      <c r="B653" s="33">
        <v>10060217</v>
      </c>
      <c r="L653" s="5">
        <f>E653+F653+H653+I653+J653+G653+K653</f>
        <v>0</v>
      </c>
      <c r="U653" s="7">
        <f>N653+O653+P653+Q653+S653+R653+T653</f>
        <v>0</v>
      </c>
      <c r="AD653" s="9">
        <f>W653+X653+Y653+Z653+AA653+AB653+AC653</f>
        <v>0</v>
      </c>
      <c r="AF653" s="34"/>
      <c r="AG653" s="34"/>
      <c r="AH653" s="34"/>
      <c r="AN653" s="9">
        <f>AG653+AH653+AI653+AJ653+AK653+AL653+AM653</f>
        <v>0</v>
      </c>
      <c r="AV653" s="64">
        <f>L653+U653+AD653</f>
        <v>0</v>
      </c>
      <c r="AW653" s="73">
        <f>AT653+AV653+AU653</f>
        <v>0</v>
      </c>
      <c r="AY653" s="74">
        <f>AZ653+BA653+BB653+BC653+BD653+BE653</f>
        <v>0</v>
      </c>
    </row>
    <row r="654" customHeight="1" spans="2:51">
      <c r="B654" s="33">
        <v>10060218</v>
      </c>
      <c r="L654" s="5">
        <f>E654+F654+H654+I654+J654+G654+K654</f>
        <v>0</v>
      </c>
      <c r="U654" s="7">
        <f>N654+O654+P654+Q654+S654+R654+T654</f>
        <v>0</v>
      </c>
      <c r="AD654" s="9">
        <f>W654+X654+Y654+Z654+AA654+AB654+AC654</f>
        <v>0</v>
      </c>
      <c r="AF654" s="34"/>
      <c r="AG654" s="34"/>
      <c r="AH654" s="34"/>
      <c r="AN654" s="9">
        <f>AG654+AH654+AI654+AJ654+AK654+AL654+AM654</f>
        <v>0</v>
      </c>
      <c r="AV654" s="64">
        <f>L654+U654+AD654</f>
        <v>0</v>
      </c>
      <c r="AW654" s="73">
        <f>AT654+AV654+AU654</f>
        <v>0</v>
      </c>
      <c r="AY654" s="74">
        <f>AZ654+BA654+BB654+BC654+BD654+BE654</f>
        <v>0</v>
      </c>
    </row>
    <row r="655" customHeight="1" spans="2:51">
      <c r="B655" s="33">
        <v>10060219</v>
      </c>
      <c r="L655" s="5">
        <f>E655+F655+H655+I655+J655+G655+K655</f>
        <v>0</v>
      </c>
      <c r="U655" s="7">
        <f>N655+O655+P655+Q655+S655+R655+T655</f>
        <v>0</v>
      </c>
      <c r="AD655" s="9">
        <f>W655+X655+Y655+Z655+AA655+AB655+AC655</f>
        <v>0</v>
      </c>
      <c r="AF655" s="34"/>
      <c r="AG655" s="34"/>
      <c r="AH655" s="34"/>
      <c r="AN655" s="9">
        <f>AG655+AH655+AI655+AJ655+AK655+AL655+AM655</f>
        <v>0</v>
      </c>
      <c r="AV655" s="64">
        <f>L655+U655+AD655</f>
        <v>0</v>
      </c>
      <c r="AW655" s="73">
        <f>AT655+AV655+AU655</f>
        <v>0</v>
      </c>
      <c r="AY655" s="74">
        <f>AZ655+BA655+BB655+BC655+BD655+BE655</f>
        <v>0</v>
      </c>
    </row>
    <row r="656" customHeight="1" spans="2:51">
      <c r="B656" s="33">
        <v>10060220</v>
      </c>
      <c r="L656" s="5">
        <f>E656+F656+H656+I656+J656+G656+K656</f>
        <v>0</v>
      </c>
      <c r="U656" s="7">
        <f>N656+O656+P656+Q656+S656+R656+T656</f>
        <v>0</v>
      </c>
      <c r="AD656" s="9">
        <f>W656+X656+Y656+Z656+AA656+AB656+AC656</f>
        <v>0</v>
      </c>
      <c r="AF656" s="34"/>
      <c r="AG656" s="34"/>
      <c r="AH656" s="34"/>
      <c r="AN656" s="9">
        <f>AG656+AH656+AI656+AJ656+AK656+AL656+AM656</f>
        <v>0</v>
      </c>
      <c r="AV656" s="64">
        <f>L656+U656+AD656</f>
        <v>0</v>
      </c>
      <c r="AW656" s="73">
        <f>AT656+AV656+AU656</f>
        <v>0</v>
      </c>
      <c r="AY656" s="74">
        <f>AZ656+BA656+BB656+BC656+BD656+BE656</f>
        <v>0</v>
      </c>
    </row>
    <row r="657" customHeight="1" spans="2:51">
      <c r="B657" s="33">
        <v>10060221</v>
      </c>
      <c r="L657" s="5">
        <f>E657+F657+H657+I657+J657+G657+K657</f>
        <v>0</v>
      </c>
      <c r="U657" s="7">
        <f>N657+O657+P657+Q657+S657+R657+T657</f>
        <v>0</v>
      </c>
      <c r="AD657" s="9">
        <f>W657+X657+Y657+Z657+AA657+AB657+AC657</f>
        <v>0</v>
      </c>
      <c r="AF657" s="34"/>
      <c r="AG657" s="34"/>
      <c r="AH657" s="34"/>
      <c r="AN657" s="9">
        <f>AG657+AH657+AI657+AJ657+AK657+AL657+AM657</f>
        <v>0</v>
      </c>
      <c r="AV657" s="64">
        <f>L657+U657+AD657</f>
        <v>0</v>
      </c>
      <c r="AW657" s="73">
        <f>AT657+AV657+AU657</f>
        <v>0</v>
      </c>
      <c r="AY657" s="74">
        <f>AZ657+BA657+BB657+BC657+BD657+BE657</f>
        <v>0</v>
      </c>
    </row>
    <row r="658" customHeight="1" spans="2:51">
      <c r="B658" s="33">
        <v>10060222</v>
      </c>
      <c r="L658" s="5">
        <f>E658+F658+H658+I658+J658+G658+K658</f>
        <v>0</v>
      </c>
      <c r="U658" s="7">
        <f>N658+O658+P658+Q658+S658+R658+T658</f>
        <v>0</v>
      </c>
      <c r="AD658" s="9">
        <f>W658+X658+Y658+Z658+AA658+AB658+AC658</f>
        <v>0</v>
      </c>
      <c r="AF658" s="34"/>
      <c r="AG658" s="34"/>
      <c r="AH658" s="34"/>
      <c r="AN658" s="9">
        <f>AG658+AH658+AI658+AJ658+AK658+AL658+AM658</f>
        <v>0</v>
      </c>
      <c r="AV658" s="64">
        <f>L658+U658+AD658</f>
        <v>0</v>
      </c>
      <c r="AW658" s="73">
        <f>AT658+AV658+AU658</f>
        <v>0</v>
      </c>
      <c r="AY658" s="74">
        <f>AZ658+BA658+BB658+BC658+BD658+BE658</f>
        <v>0</v>
      </c>
    </row>
    <row r="659" customHeight="1" spans="2:51">
      <c r="B659" s="33">
        <v>10060223</v>
      </c>
      <c r="L659" s="5">
        <f>E659+F659+H659+I659+J659+G659+K659</f>
        <v>0</v>
      </c>
      <c r="U659" s="7">
        <f>N659+O659+P659+Q659+S659+R659+T659</f>
        <v>0</v>
      </c>
      <c r="AD659" s="9">
        <f>W659+X659+Y659+Z659+AA659+AB659+AC659</f>
        <v>0</v>
      </c>
      <c r="AF659" s="34"/>
      <c r="AG659" s="34"/>
      <c r="AH659" s="34"/>
      <c r="AN659" s="9">
        <f>AG659+AH659+AI659+AJ659+AK659+AL659+AM659</f>
        <v>0</v>
      </c>
      <c r="AV659" s="64">
        <f>L659+U659+AD659</f>
        <v>0</v>
      </c>
      <c r="AW659" s="73">
        <f>AT659+AV659+AU659</f>
        <v>0</v>
      </c>
      <c r="AY659" s="74">
        <f>AZ659+BA659+BB659+BC659+BD659+BE659</f>
        <v>0</v>
      </c>
    </row>
    <row r="660" customHeight="1" spans="2:51">
      <c r="B660" s="33">
        <v>10060224</v>
      </c>
      <c r="L660" s="5">
        <f>E660+F660+H660+I660+J660+G660+K660</f>
        <v>0</v>
      </c>
      <c r="U660" s="7">
        <f>N660+O660+P660+Q660+S660+R660+T660</f>
        <v>0</v>
      </c>
      <c r="AD660" s="9">
        <f>W660+X660+Y660+Z660+AA660+AB660+AC660</f>
        <v>0</v>
      </c>
      <c r="AF660" s="34"/>
      <c r="AG660" s="34"/>
      <c r="AH660" s="34"/>
      <c r="AN660" s="9">
        <f>AG660+AH660+AI660+AJ660+AK660+AL660+AM660</f>
        <v>0</v>
      </c>
      <c r="AV660" s="64">
        <f>L660+U660+AD660</f>
        <v>0</v>
      </c>
      <c r="AW660" s="73">
        <f>AT660+AV660+AU660</f>
        <v>0</v>
      </c>
      <c r="AY660" s="74">
        <f>AZ660+BA660+BB660+BC660+BD660+BE660</f>
        <v>0</v>
      </c>
    </row>
    <row r="661" customHeight="1" spans="2:51">
      <c r="B661" s="33">
        <v>10060225</v>
      </c>
      <c r="L661" s="5">
        <f>E661+F661+H661+I661+J661+G661+K661</f>
        <v>0</v>
      </c>
      <c r="U661" s="7">
        <f>N661+O661+P661+Q661+S661+R661+T661</f>
        <v>0</v>
      </c>
      <c r="AD661" s="9">
        <f>W661+X661+Y661+Z661+AA661+AB661+AC661</f>
        <v>0</v>
      </c>
      <c r="AF661" s="34"/>
      <c r="AG661" s="34"/>
      <c r="AH661" s="34"/>
      <c r="AN661" s="9">
        <f>AG661+AH661+AI661+AJ661+AK661+AL661+AM661</f>
        <v>0</v>
      </c>
      <c r="AV661" s="64">
        <f>L661+U661+AD661</f>
        <v>0</v>
      </c>
      <c r="AW661" s="73">
        <f>AT661+AV661+AU661</f>
        <v>0</v>
      </c>
      <c r="AY661" s="74">
        <f>AZ661+BA661+BB661+BC661+BD661+BE661</f>
        <v>0</v>
      </c>
    </row>
    <row r="662" customHeight="1" spans="2:51">
      <c r="B662" s="33">
        <v>10060226</v>
      </c>
      <c r="L662" s="5">
        <f>E662+F662+H662+I662+J662+G662+K662</f>
        <v>0</v>
      </c>
      <c r="U662" s="7">
        <f>N662+O662+P662+Q662+S662+R662+T662</f>
        <v>0</v>
      </c>
      <c r="AD662" s="9">
        <f>W662+X662+Y662+Z662+AA662+AB662+AC662</f>
        <v>0</v>
      </c>
      <c r="AF662" s="34"/>
      <c r="AG662" s="34"/>
      <c r="AH662" s="34"/>
      <c r="AN662" s="9">
        <f>AG662+AH662+AI662+AJ662+AK662+AL662+AM662</f>
        <v>0</v>
      </c>
      <c r="AV662" s="64">
        <f>L662+U662+AD662</f>
        <v>0</v>
      </c>
      <c r="AW662" s="73">
        <f>AT662+AV662+AU662</f>
        <v>0</v>
      </c>
      <c r="AY662" s="74">
        <f>AZ662+BA662+BB662+BC662+BD662+BE662</f>
        <v>0</v>
      </c>
    </row>
    <row r="663" customHeight="1" spans="2:51">
      <c r="B663" s="33">
        <v>10060227</v>
      </c>
      <c r="L663" s="5">
        <f>E663+F663+H663+I663+J663+G663+K663</f>
        <v>0</v>
      </c>
      <c r="U663" s="7">
        <f>N663+O663+P663+Q663+S663+R663+T663</f>
        <v>0</v>
      </c>
      <c r="AD663" s="9">
        <f>W663+X663+Y663+Z663+AA663+AB663+AC663</f>
        <v>0</v>
      </c>
      <c r="AF663" s="34"/>
      <c r="AG663" s="34"/>
      <c r="AH663" s="34"/>
      <c r="AN663" s="9">
        <f>AG663+AH663+AI663+AJ663+AK663+AL663+AM663</f>
        <v>0</v>
      </c>
      <c r="AV663" s="64">
        <f>L663+U663+AD663</f>
        <v>0</v>
      </c>
      <c r="AW663" s="73">
        <f>AT663+AV663+AU663</f>
        <v>0</v>
      </c>
      <c r="AY663" s="74">
        <f>AZ663+BA663+BB663+BC663+BD663+BE663</f>
        <v>0</v>
      </c>
    </row>
    <row r="664" customHeight="1" spans="2:51">
      <c r="B664" s="33">
        <v>10060228</v>
      </c>
      <c r="L664" s="5">
        <f>E664+F664+H664+I664+J664+G664+K664</f>
        <v>0</v>
      </c>
      <c r="U664" s="7">
        <f>N664+O664+P664+Q664+S664+R664+T664</f>
        <v>0</v>
      </c>
      <c r="AD664" s="9">
        <f>W664+X664+Y664+Z664+AA664+AB664+AC664</f>
        <v>0</v>
      </c>
      <c r="AF664" s="34"/>
      <c r="AG664" s="34"/>
      <c r="AH664" s="34"/>
      <c r="AN664" s="9">
        <f>AG664+AH664+AI664+AJ664+AK664+AL664+AM664</f>
        <v>0</v>
      </c>
      <c r="AV664" s="64">
        <f>L664+U664+AD664</f>
        <v>0</v>
      </c>
      <c r="AW664" s="73">
        <f>AT664+AV664+AU664</f>
        <v>0</v>
      </c>
      <c r="AY664" s="74">
        <f>AZ664+BA664+BB664+BC664+BD664+BE664</f>
        <v>0</v>
      </c>
    </row>
    <row r="665" customHeight="1" spans="2:51">
      <c r="B665" s="33">
        <v>10060229</v>
      </c>
      <c r="L665" s="5">
        <f>E665+F665+H665+I665+J665+G665+K665</f>
        <v>0</v>
      </c>
      <c r="U665" s="7">
        <f>N665+O665+P665+Q665+S665+R665+T665</f>
        <v>0</v>
      </c>
      <c r="AD665" s="9">
        <f>W665+X665+Y665+Z665+AA665+AB665+AC665</f>
        <v>0</v>
      </c>
      <c r="AF665" s="34"/>
      <c r="AG665" s="34"/>
      <c r="AH665" s="34"/>
      <c r="AN665" s="9">
        <f>AG665+AH665+AI665+AJ665+AK665+AL665+AM665</f>
        <v>0</v>
      </c>
      <c r="AV665" s="64">
        <f>L665+U665+AD665</f>
        <v>0</v>
      </c>
      <c r="AW665" s="73">
        <f>AT665+AV665+AU665</f>
        <v>0</v>
      </c>
      <c r="AY665" s="74">
        <f>AZ665+BA665+BB665+BC665+BD665+BE665</f>
        <v>0</v>
      </c>
    </row>
    <row r="666" customHeight="1" spans="2:51">
      <c r="B666" s="33">
        <v>10060230</v>
      </c>
      <c r="L666" s="5">
        <f>E666+F666+H666+I666+J666+G666+K666</f>
        <v>0</v>
      </c>
      <c r="U666" s="7">
        <f>N666+O666+P666+Q666+S666+R666+T666</f>
        <v>0</v>
      </c>
      <c r="AD666" s="9">
        <f>W666+X666+Y666+Z666+AA666+AB666+AC666</f>
        <v>0</v>
      </c>
      <c r="AF666" s="34"/>
      <c r="AG666" s="34"/>
      <c r="AH666" s="34"/>
      <c r="AN666" s="9">
        <f>AG666+AH666+AI666+AJ666+AK666+AL666+AM666</f>
        <v>0</v>
      </c>
      <c r="AV666" s="64">
        <f>L666+U666+AD666</f>
        <v>0</v>
      </c>
      <c r="AW666" s="73">
        <f>AT666+AV666+AU666</f>
        <v>0</v>
      </c>
      <c r="AY666" s="74">
        <f>AZ666+BA666+BB666+BC666+BD666+BE666</f>
        <v>0</v>
      </c>
    </row>
    <row r="667" customHeight="1" spans="2:51">
      <c r="B667" s="33">
        <v>10060231</v>
      </c>
      <c r="L667" s="5">
        <f>E667+F667+H667+I667+J667+G667+K667</f>
        <v>0</v>
      </c>
      <c r="U667" s="7">
        <f>N667+O667+P667+Q667+S667+R667+T667</f>
        <v>0</v>
      </c>
      <c r="AD667" s="9">
        <f>W667+X667+Y667+Z667+AA667+AB667+AC667</f>
        <v>0</v>
      </c>
      <c r="AF667" s="34"/>
      <c r="AG667" s="34"/>
      <c r="AH667" s="34"/>
      <c r="AN667" s="9">
        <f>AG667+AH667+AI667+AJ667+AK667+AL667+AM667</f>
        <v>0</v>
      </c>
      <c r="AV667" s="64">
        <f>L667+U667+AD667</f>
        <v>0</v>
      </c>
      <c r="AW667" s="73">
        <f>AT667+AV667+AU667</f>
        <v>0</v>
      </c>
      <c r="AY667" s="74">
        <f>AZ667+BA667+BB667+BC667+BD667+BE667</f>
        <v>0</v>
      </c>
    </row>
    <row r="668" customHeight="1" spans="2:51">
      <c r="B668" s="33">
        <v>10060232</v>
      </c>
      <c r="L668" s="5">
        <f>E668+F668+H668+I668+J668+G668+K668</f>
        <v>0</v>
      </c>
      <c r="U668" s="7">
        <f>N668+O668+P668+Q668+S668+R668+T668</f>
        <v>0</v>
      </c>
      <c r="AD668" s="9">
        <f>W668+X668+Y668+Z668+AA668+AB668+AC668</f>
        <v>0</v>
      </c>
      <c r="AF668" s="34"/>
      <c r="AG668" s="34"/>
      <c r="AH668" s="34"/>
      <c r="AN668" s="9">
        <f>AG668+AH668+AI668+AJ668+AK668+AL668+AM668</f>
        <v>0</v>
      </c>
      <c r="AV668" s="64">
        <f>L668+U668+AD668</f>
        <v>0</v>
      </c>
      <c r="AW668" s="73">
        <f>AT668+AV668+AU668</f>
        <v>0</v>
      </c>
      <c r="AY668" s="74">
        <f>AZ668+BA668+BB668+BC668+BD668+BE668</f>
        <v>0</v>
      </c>
    </row>
    <row r="669" customHeight="1" spans="2:51">
      <c r="B669" s="33">
        <v>10060233</v>
      </c>
      <c r="L669" s="5">
        <f>E669+F669+H669+I669+J669+G669+K669</f>
        <v>0</v>
      </c>
      <c r="U669" s="7">
        <f>N669+O669+P669+Q669+S669+R669+T669</f>
        <v>0</v>
      </c>
      <c r="AD669" s="9">
        <f>W669+X669+Y669+Z669+AA669+AB669+AC669</f>
        <v>0</v>
      </c>
      <c r="AF669" s="34"/>
      <c r="AG669" s="34"/>
      <c r="AH669" s="34"/>
      <c r="AN669" s="9">
        <f>AG669+AH669+AI669+AJ669+AK669+AL669+AM669</f>
        <v>0</v>
      </c>
      <c r="AV669" s="64">
        <f>L669+U669+AD669</f>
        <v>0</v>
      </c>
      <c r="AW669" s="73">
        <f>AT669+AV669+AU669</f>
        <v>0</v>
      </c>
      <c r="AY669" s="74">
        <f>AZ669+BA669+BB669+BC669+BD669+BE669</f>
        <v>0</v>
      </c>
    </row>
    <row r="670" customHeight="1" spans="2:51">
      <c r="B670" s="33">
        <v>10060234</v>
      </c>
      <c r="L670" s="5">
        <f>E670+F670+H670+I670+J670+G670+K670</f>
        <v>0</v>
      </c>
      <c r="U670" s="7">
        <f>N670+O670+P670+Q670+S670+R670+T670</f>
        <v>0</v>
      </c>
      <c r="AD670" s="9">
        <f>W670+X670+Y670+Z670+AA670+AB670+AC670</f>
        <v>0</v>
      </c>
      <c r="AF670" s="34"/>
      <c r="AG670" s="34"/>
      <c r="AH670" s="34"/>
      <c r="AN670" s="9">
        <f>AG670+AH670+AI670+AJ670+AK670+AL670+AM670</f>
        <v>0</v>
      </c>
      <c r="AV670" s="64">
        <f>L670+U670+AD670</f>
        <v>0</v>
      </c>
      <c r="AW670" s="73">
        <f>AT670+AV670+AU670</f>
        <v>0</v>
      </c>
      <c r="AY670" s="74">
        <f>AZ670+BA670+BB670+BC670+BD670+BE670</f>
        <v>0</v>
      </c>
    </row>
    <row r="671" customHeight="1" spans="2:51">
      <c r="B671" s="33">
        <v>10060235</v>
      </c>
      <c r="L671" s="5">
        <f>E671+F671+H671+I671+J671+G671+K671</f>
        <v>0</v>
      </c>
      <c r="U671" s="7">
        <f>N671+O671+P671+Q671+S671+R671+T671</f>
        <v>0</v>
      </c>
      <c r="AD671" s="9">
        <f>W671+X671+Y671+Z671+AA671+AB671+AC671</f>
        <v>0</v>
      </c>
      <c r="AF671" s="34"/>
      <c r="AG671" s="34"/>
      <c r="AH671" s="34"/>
      <c r="AN671" s="9">
        <f>AG671+AH671+AI671+AJ671+AK671+AL671+AM671</f>
        <v>0</v>
      </c>
      <c r="AV671" s="64">
        <f>L671+U671+AD671</f>
        <v>0</v>
      </c>
      <c r="AW671" s="73">
        <f>AT671+AV671+AU671</f>
        <v>0</v>
      </c>
      <c r="AY671" s="74">
        <f>AZ671+BA671+BB671+BC671+BD671+BE671</f>
        <v>0</v>
      </c>
    </row>
    <row r="672" customHeight="1" spans="2:51">
      <c r="B672" s="33">
        <v>10060236</v>
      </c>
      <c r="L672" s="5">
        <f>E672+F672+H672+I672+J672+G672+K672</f>
        <v>0</v>
      </c>
      <c r="U672" s="7">
        <f>N672+O672+P672+Q672+S672+R672+T672</f>
        <v>0</v>
      </c>
      <c r="AD672" s="9">
        <f>W672+X672+Y672+Z672+AA672+AB672+AC672</f>
        <v>0</v>
      </c>
      <c r="AF672" s="34"/>
      <c r="AG672" s="34"/>
      <c r="AH672" s="34"/>
      <c r="AN672" s="9">
        <f>AG672+AH672+AI672+AJ672+AK672+AL672+AM672</f>
        <v>0</v>
      </c>
      <c r="AV672" s="64">
        <f>L672+U672+AD672</f>
        <v>0</v>
      </c>
      <c r="AW672" s="73">
        <f>AT672+AV672+AU672</f>
        <v>0</v>
      </c>
      <c r="AY672" s="74">
        <f>AZ672+BA672+BB672+BC672+BD672+BE672</f>
        <v>0</v>
      </c>
    </row>
    <row r="673" customHeight="1" spans="2:51">
      <c r="B673" s="33">
        <v>10060237</v>
      </c>
      <c r="L673" s="5">
        <f>E673+F673+H673+I673+J673+G673+K673</f>
        <v>0</v>
      </c>
      <c r="U673" s="7">
        <f>N673+O673+P673+Q673+S673+R673+T673</f>
        <v>0</v>
      </c>
      <c r="AD673" s="9">
        <f>W673+X673+Y673+Z673+AA673+AB673+AC673</f>
        <v>0</v>
      </c>
      <c r="AF673" s="34"/>
      <c r="AG673" s="34"/>
      <c r="AH673" s="34"/>
      <c r="AN673" s="9">
        <f>AG673+AH673+AI673+AJ673+AK673+AL673+AM673</f>
        <v>0</v>
      </c>
      <c r="AV673" s="64">
        <f>L673+U673+AD673</f>
        <v>0</v>
      </c>
      <c r="AW673" s="73">
        <f>AT673+AV673+AU673</f>
        <v>0</v>
      </c>
      <c r="AY673" s="74">
        <f>AZ673+BA673+BB673+BC673+BD673+BE673</f>
        <v>0</v>
      </c>
    </row>
    <row r="674" customHeight="1" spans="2:51">
      <c r="B674" s="33">
        <v>10060238</v>
      </c>
      <c r="L674" s="5">
        <f>E674+F674+H674+I674+J674+G674+K674</f>
        <v>0</v>
      </c>
      <c r="U674" s="7">
        <f>N674+O674+P674+Q674+S674+R674+T674</f>
        <v>0</v>
      </c>
      <c r="AD674" s="9">
        <f>W674+X674+Y674+Z674+AA674+AB674+AC674</f>
        <v>0</v>
      </c>
      <c r="AF674" s="34"/>
      <c r="AG674" s="34"/>
      <c r="AH674" s="34"/>
      <c r="AN674" s="9">
        <f>AG674+AH674+AI674+AJ674+AK674+AL674+AM674</f>
        <v>0</v>
      </c>
      <c r="AV674" s="64">
        <f>L674+U674+AD674</f>
        <v>0</v>
      </c>
      <c r="AW674" s="73">
        <f>AT674+AV674+AU674</f>
        <v>0</v>
      </c>
      <c r="AY674" s="74">
        <f>AZ674+BA674+BB674+BC674+BD674+BE674</f>
        <v>0</v>
      </c>
    </row>
    <row r="675" customHeight="1" spans="2:51">
      <c r="B675" s="33">
        <v>10060239</v>
      </c>
      <c r="L675" s="5">
        <f>E675+F675+H675+I675+J675+G675+K675</f>
        <v>0</v>
      </c>
      <c r="U675" s="7">
        <f>N675+O675+P675+Q675+S675+R675+T675</f>
        <v>0</v>
      </c>
      <c r="AD675" s="9">
        <f>W675+X675+Y675+Z675+AA675+AB675+AC675</f>
        <v>0</v>
      </c>
      <c r="AF675" s="34"/>
      <c r="AG675" s="34"/>
      <c r="AH675" s="34"/>
      <c r="AN675" s="9">
        <f>AG675+AH675+AI675+AJ675+AK675+AL675+AM675</f>
        <v>0</v>
      </c>
      <c r="AV675" s="64">
        <f>L675+U675+AD675</f>
        <v>0</v>
      </c>
      <c r="AW675" s="73">
        <f>AT675+AV675+AU675</f>
        <v>0</v>
      </c>
      <c r="AY675" s="74">
        <f>AZ675+BA675+BB675+BC675+BD675+BE675</f>
        <v>0</v>
      </c>
    </row>
    <row r="676" customHeight="1" spans="2:51">
      <c r="B676" s="33">
        <v>10060240</v>
      </c>
      <c r="L676" s="5">
        <f>E676+F676+H676+I676+J676+G676+K676</f>
        <v>0</v>
      </c>
      <c r="U676" s="7">
        <f>N676+O676+P676+Q676+S676+R676+T676</f>
        <v>0</v>
      </c>
      <c r="AD676" s="9">
        <f>W676+X676+Y676+Z676+AA676+AB676+AC676</f>
        <v>0</v>
      </c>
      <c r="AF676" s="34"/>
      <c r="AG676" s="34"/>
      <c r="AH676" s="34"/>
      <c r="AN676" s="9">
        <f>AG676+AH676+AI676+AJ676+AK676+AL676+AM676</f>
        <v>0</v>
      </c>
      <c r="AV676" s="64">
        <f>L676+U676+AD676</f>
        <v>0</v>
      </c>
      <c r="AW676" s="73">
        <f>AT676+AV676+AU676</f>
        <v>0</v>
      </c>
      <c r="AY676" s="74">
        <f>AZ676+BA676+BB676+BC676+BD676+BE676</f>
        <v>0</v>
      </c>
    </row>
    <row r="677" customHeight="1" spans="2:51">
      <c r="B677" s="33">
        <v>10060241</v>
      </c>
      <c r="L677" s="5">
        <f>E677+F677+H677+I677+J677+G677+K677</f>
        <v>0</v>
      </c>
      <c r="U677" s="7">
        <f>N677+O677+P677+Q677+S677+R677+T677</f>
        <v>0</v>
      </c>
      <c r="AD677" s="9">
        <f>W677+X677+Y677+Z677+AA677+AB677+AC677</f>
        <v>0</v>
      </c>
      <c r="AF677" s="34"/>
      <c r="AG677" s="34"/>
      <c r="AH677" s="34"/>
      <c r="AN677" s="9">
        <f>AG677+AH677+AI677+AJ677+AK677+AL677+AM677</f>
        <v>0</v>
      </c>
      <c r="AV677" s="64">
        <f>L677+U677+AD677</f>
        <v>0</v>
      </c>
      <c r="AW677" s="73">
        <f>AT677+AV677+AU677</f>
        <v>0</v>
      </c>
      <c r="AY677" s="74">
        <f>AZ677+BA677+BB677+BC677+BD677+BE677</f>
        <v>0</v>
      </c>
    </row>
    <row r="678" customHeight="1" spans="2:51">
      <c r="B678" s="33">
        <v>10060242</v>
      </c>
      <c r="L678" s="5">
        <f>E678+F678+H678+I678+J678+G678+K678</f>
        <v>0</v>
      </c>
      <c r="U678" s="7">
        <f>N678+O678+P678+Q678+S678+R678+T678</f>
        <v>0</v>
      </c>
      <c r="AD678" s="9">
        <f>W678+X678+Y678+Z678+AA678+AB678+AC678</f>
        <v>0</v>
      </c>
      <c r="AF678" s="34"/>
      <c r="AG678" s="34"/>
      <c r="AH678" s="34"/>
      <c r="AN678" s="9">
        <f>AG678+AH678+AI678+AJ678+AK678+AL678+AM678</f>
        <v>0</v>
      </c>
      <c r="AV678" s="64">
        <f>L678+U678+AD678</f>
        <v>0</v>
      </c>
      <c r="AW678" s="73">
        <f>AT678+AV678+AU678</f>
        <v>0</v>
      </c>
      <c r="AY678" s="74">
        <f>AZ678+BA678+BB678+BC678+BD678+BE678</f>
        <v>0</v>
      </c>
    </row>
    <row r="679" customHeight="1" spans="2:51">
      <c r="B679" s="33">
        <v>10060243</v>
      </c>
      <c r="L679" s="5">
        <f>E679+F679+H679+I679+J679+G679+K679</f>
        <v>0</v>
      </c>
      <c r="U679" s="7">
        <f>N679+O679+P679+Q679+S679+R679+T679</f>
        <v>0</v>
      </c>
      <c r="AD679" s="9">
        <f>W679+X679+Y679+Z679+AA679+AB679+AC679</f>
        <v>0</v>
      </c>
      <c r="AF679" s="34"/>
      <c r="AG679" s="34"/>
      <c r="AH679" s="34"/>
      <c r="AN679" s="9">
        <f>AG679+AH679+AI679+AJ679+AK679+AL679+AM679</f>
        <v>0</v>
      </c>
      <c r="AV679" s="64">
        <f>L679+U679+AD679</f>
        <v>0</v>
      </c>
      <c r="AW679" s="73">
        <f>AT679+AV679+AU679</f>
        <v>0</v>
      </c>
      <c r="AY679" s="74">
        <f>AZ679+BA679+BB679+BC679+BD679+BE679</f>
        <v>0</v>
      </c>
    </row>
    <row r="680" customHeight="1" spans="2:51">
      <c r="B680" s="33">
        <v>10060244</v>
      </c>
      <c r="L680" s="5">
        <f>E680+F680+H680+I680+J680+G680+K680</f>
        <v>0</v>
      </c>
      <c r="U680" s="7">
        <f>N680+O680+P680+Q680+S680+R680+T680</f>
        <v>0</v>
      </c>
      <c r="AD680" s="9">
        <f>W680+X680+Y680+Z680+AA680+AB680+AC680</f>
        <v>0</v>
      </c>
      <c r="AF680" s="34"/>
      <c r="AG680" s="34"/>
      <c r="AH680" s="34"/>
      <c r="AN680" s="9">
        <f>AG680+AH680+AI680+AJ680+AK680+AL680+AM680</f>
        <v>0</v>
      </c>
      <c r="AV680" s="64">
        <f>L680+U680+AD680</f>
        <v>0</v>
      </c>
      <c r="AW680" s="73">
        <f>AT680+AV680+AU680</f>
        <v>0</v>
      </c>
      <c r="AY680" s="74">
        <f>AZ680+BA680+BB680+BC680+BD680+BE680</f>
        <v>0</v>
      </c>
    </row>
    <row r="681" customHeight="1" spans="2:51">
      <c r="B681" s="33">
        <v>10060245</v>
      </c>
      <c r="L681" s="5">
        <f>E681+F681+H681+I681+J681+G681+K681</f>
        <v>0</v>
      </c>
      <c r="U681" s="7">
        <f>N681+O681+P681+Q681+S681+R681+T681</f>
        <v>0</v>
      </c>
      <c r="AD681" s="9">
        <f>W681+X681+Y681+Z681+AA681+AB681+AC681</f>
        <v>0</v>
      </c>
      <c r="AF681" s="34"/>
      <c r="AG681" s="34"/>
      <c r="AH681" s="34"/>
      <c r="AN681" s="9">
        <f>AG681+AH681+AI681+AJ681+AK681+AL681+AM681</f>
        <v>0</v>
      </c>
      <c r="AV681" s="64">
        <f>L681+U681+AD681</f>
        <v>0</v>
      </c>
      <c r="AW681" s="73">
        <f>AT681+AV681+AU681</f>
        <v>0</v>
      </c>
      <c r="AY681" s="74">
        <f>AZ681+BA681+BB681+BC681+BD681+BE681</f>
        <v>0</v>
      </c>
    </row>
    <row r="682" customHeight="1" spans="2:51">
      <c r="B682" s="33">
        <v>10060246</v>
      </c>
      <c r="L682" s="5">
        <f>E682+F682+H682+I682+J682+G682+K682</f>
        <v>0</v>
      </c>
      <c r="U682" s="7">
        <f>N682+O682+P682+Q682+S682+R682+T682</f>
        <v>0</v>
      </c>
      <c r="AD682" s="9">
        <f>W682+X682+Y682+Z682+AA682+AB682+AC682</f>
        <v>0</v>
      </c>
      <c r="AF682" s="34"/>
      <c r="AG682" s="34"/>
      <c r="AH682" s="34"/>
      <c r="AN682" s="9">
        <f>AG682+AH682+AI682+AJ682+AK682+AL682+AM682</f>
        <v>0</v>
      </c>
      <c r="AV682" s="64">
        <f>L682+U682+AD682</f>
        <v>0</v>
      </c>
      <c r="AW682" s="73">
        <f>AT682+AV682+AU682</f>
        <v>0</v>
      </c>
      <c r="AY682" s="74">
        <f>AZ682+BA682+BB682+BC682+BD682+BE682</f>
        <v>0</v>
      </c>
    </row>
    <row r="683" customHeight="1" spans="2:51">
      <c r="B683" s="33">
        <v>10060247</v>
      </c>
      <c r="L683" s="5">
        <f>E683+F683+H683+I683+J683+G683+K683</f>
        <v>0</v>
      </c>
      <c r="U683" s="7">
        <f>N683+O683+P683+Q683+S683+R683+T683</f>
        <v>0</v>
      </c>
      <c r="AD683" s="9">
        <f>W683+X683+Y683+Z683+AA683+AB683+AC683</f>
        <v>0</v>
      </c>
      <c r="AF683" s="34"/>
      <c r="AG683" s="34"/>
      <c r="AH683" s="34"/>
      <c r="AN683" s="9">
        <f>AG683+AH683+AI683+AJ683+AK683+AL683+AM683</f>
        <v>0</v>
      </c>
      <c r="AV683" s="64">
        <f>L683+U683+AD683</f>
        <v>0</v>
      </c>
      <c r="AW683" s="73">
        <f>AT683+AV683+AU683</f>
        <v>0</v>
      </c>
      <c r="AY683" s="74">
        <f>AZ683+BA683+BB683+BC683+BD683+BE683</f>
        <v>0</v>
      </c>
    </row>
    <row r="684" customHeight="1" spans="2:51">
      <c r="B684" s="33">
        <v>10060248</v>
      </c>
      <c r="L684" s="5">
        <f>E684+F684+H684+I684+J684+G684+K684</f>
        <v>0</v>
      </c>
      <c r="U684" s="7">
        <f>N684+O684+P684+Q684+S684+R684+T684</f>
        <v>0</v>
      </c>
      <c r="AD684" s="9">
        <f>W684+X684+Y684+Z684+AA684+AB684+AC684</f>
        <v>0</v>
      </c>
      <c r="AF684" s="34"/>
      <c r="AG684" s="34"/>
      <c r="AH684" s="34"/>
      <c r="AN684" s="9">
        <f>AG684+AH684+AI684+AJ684+AK684+AL684+AM684</f>
        <v>0</v>
      </c>
      <c r="AV684" s="64">
        <f>L684+U684+AD684</f>
        <v>0</v>
      </c>
      <c r="AW684" s="73">
        <f>AT684+AV684+AU684</f>
        <v>0</v>
      </c>
      <c r="AY684" s="74">
        <f>AZ684+BA684+BB684+BC684+BD684+BE684</f>
        <v>0</v>
      </c>
    </row>
    <row r="685" customHeight="1" spans="2:51">
      <c r="B685" s="33">
        <v>10060249</v>
      </c>
      <c r="L685" s="5">
        <f>E685+F685+H685+I685+J685+G685+K685</f>
        <v>0</v>
      </c>
      <c r="U685" s="7">
        <f>N685+O685+P685+Q685+S685+R685+T685</f>
        <v>0</v>
      </c>
      <c r="AD685" s="9">
        <f>W685+X685+Y685+Z685+AA685+AB685+AC685</f>
        <v>0</v>
      </c>
      <c r="AF685" s="34"/>
      <c r="AG685" s="34"/>
      <c r="AH685" s="34"/>
      <c r="AN685" s="9">
        <f>AG685+AH685+AI685+AJ685+AK685+AL685+AM685</f>
        <v>0</v>
      </c>
      <c r="AV685" s="64">
        <f>L685+U685+AD685</f>
        <v>0</v>
      </c>
      <c r="AW685" s="73">
        <f>AT685+AV685+AU685</f>
        <v>0</v>
      </c>
      <c r="AY685" s="74">
        <f>AZ685+BA685+BB685+BC685+BD685+BE685</f>
        <v>0</v>
      </c>
    </row>
    <row r="686" customHeight="1" spans="2:51">
      <c r="B686" s="33">
        <v>10060250</v>
      </c>
      <c r="L686" s="5">
        <f>E686+F686+H686+I686+J686+G686+K686</f>
        <v>0</v>
      </c>
      <c r="U686" s="7">
        <f>N686+O686+P686+Q686+S686+R686+T686</f>
        <v>0</v>
      </c>
      <c r="AD686" s="9">
        <f>W686+X686+Y686+Z686+AA686+AB686+AC686</f>
        <v>0</v>
      </c>
      <c r="AF686" s="34"/>
      <c r="AG686" s="34"/>
      <c r="AH686" s="34"/>
      <c r="AN686" s="9">
        <f>AG686+AH686+AI686+AJ686+AK686+AL686+AM686</f>
        <v>0</v>
      </c>
      <c r="AV686" s="64">
        <f>L686+U686+AD686</f>
        <v>0</v>
      </c>
      <c r="AW686" s="73">
        <f>AT686+AV686+AU686</f>
        <v>0</v>
      </c>
      <c r="AY686" s="74">
        <f>AZ686+BA686+BB686+BC686+BD686+BE686</f>
        <v>0</v>
      </c>
    </row>
    <row r="687" customHeight="1" spans="2:51">
      <c r="B687" s="33">
        <v>10060251</v>
      </c>
      <c r="L687" s="5">
        <f>E687+F687+H687+I687+J687+G687+K687</f>
        <v>0</v>
      </c>
      <c r="U687" s="7">
        <f>N687+O687+P687+Q687+S687+R687+T687</f>
        <v>0</v>
      </c>
      <c r="AD687" s="9">
        <f>W687+X687+Y687+Z687+AA687+AB687+AC687</f>
        <v>0</v>
      </c>
      <c r="AF687" s="34"/>
      <c r="AG687" s="34"/>
      <c r="AH687" s="34"/>
      <c r="AN687" s="9">
        <f>AG687+AH687+AI687+AJ687+AK687+AL687+AM687</f>
        <v>0</v>
      </c>
      <c r="AV687" s="64">
        <f>L687+U687+AD687</f>
        <v>0</v>
      </c>
      <c r="AW687" s="73">
        <f>AT687+AV687+AU687</f>
        <v>0</v>
      </c>
      <c r="AY687" s="74">
        <f>AZ687+BA687+BB687+BC687+BD687+BE687</f>
        <v>0</v>
      </c>
    </row>
    <row r="688" customHeight="1" spans="2:51">
      <c r="B688" s="33">
        <v>10060252</v>
      </c>
      <c r="L688" s="5">
        <f>E688+F688+H688+I688+J688+G688+K688</f>
        <v>0</v>
      </c>
      <c r="U688" s="7">
        <f>N688+O688+P688+Q688+S688+R688+T688</f>
        <v>0</v>
      </c>
      <c r="AD688" s="9">
        <f>W688+X688+Y688+Z688+AA688+AB688+AC688</f>
        <v>0</v>
      </c>
      <c r="AF688" s="34"/>
      <c r="AG688" s="34"/>
      <c r="AH688" s="34"/>
      <c r="AN688" s="9">
        <f>AG688+AH688+AI688+AJ688+AK688+AL688+AM688</f>
        <v>0</v>
      </c>
      <c r="AV688" s="64">
        <f>L688+U688+AD688</f>
        <v>0</v>
      </c>
      <c r="AW688" s="73">
        <f>AT688+AV688+AU688</f>
        <v>0</v>
      </c>
      <c r="AY688" s="74">
        <f>AZ688+BA688+BB688+BC688+BD688+BE688</f>
        <v>0</v>
      </c>
    </row>
    <row r="689" customHeight="1" spans="2:51">
      <c r="B689" s="33">
        <v>10060253</v>
      </c>
      <c r="L689" s="5">
        <f>E689+F689+H689+I689+J689+G689+K689</f>
        <v>0</v>
      </c>
      <c r="U689" s="7">
        <f>N689+O689+P689+Q689+S689+R689+T689</f>
        <v>0</v>
      </c>
      <c r="AD689" s="9">
        <f>W689+X689+Y689+Z689+AA689+AB689+AC689</f>
        <v>0</v>
      </c>
      <c r="AF689" s="34"/>
      <c r="AG689" s="34"/>
      <c r="AH689" s="34"/>
      <c r="AN689" s="9">
        <f>AG689+AH689+AI689+AJ689+AK689+AL689+AM689</f>
        <v>0</v>
      </c>
      <c r="AV689" s="64">
        <f>L689+U689+AD689</f>
        <v>0</v>
      </c>
      <c r="AW689" s="73">
        <f>AT689+AV689+AU689</f>
        <v>0</v>
      </c>
      <c r="AY689" s="74">
        <f>AZ689+BA689+BB689+BC689+BD689+BE689</f>
        <v>0</v>
      </c>
    </row>
    <row r="690" customHeight="1" spans="2:51">
      <c r="B690" s="33">
        <v>10060254</v>
      </c>
      <c r="L690" s="5">
        <f>E690+F690+H690+I690+J690+G690+K690</f>
        <v>0</v>
      </c>
      <c r="U690" s="7">
        <f>N690+O690+P690+Q690+S690+R690+T690</f>
        <v>0</v>
      </c>
      <c r="AD690" s="9">
        <f>W690+X690+Y690+Z690+AA690+AB690+AC690</f>
        <v>0</v>
      </c>
      <c r="AF690" s="34"/>
      <c r="AG690" s="34"/>
      <c r="AH690" s="34"/>
      <c r="AN690" s="9">
        <f>AG690+AH690+AI690+AJ690+AK690+AL690+AM690</f>
        <v>0</v>
      </c>
      <c r="AV690" s="64">
        <f>L690+U690+AD690</f>
        <v>0</v>
      </c>
      <c r="AW690" s="73">
        <f>AT690+AV690+AU690</f>
        <v>0</v>
      </c>
      <c r="AY690" s="74">
        <f>AZ690+BA690+BB690+BC690+BD690+BE690</f>
        <v>0</v>
      </c>
    </row>
    <row r="691" customHeight="1" spans="2:51">
      <c r="B691" s="33">
        <v>10060255</v>
      </c>
      <c r="L691" s="5">
        <f>E691+F691+H691+I691+J691+G691+K691</f>
        <v>0</v>
      </c>
      <c r="U691" s="7">
        <f>N691+O691+P691+Q691+S691+R691+T691</f>
        <v>0</v>
      </c>
      <c r="AD691" s="9">
        <f>W691+X691+Y691+Z691+AA691+AB691+AC691</f>
        <v>0</v>
      </c>
      <c r="AF691" s="34"/>
      <c r="AG691" s="34"/>
      <c r="AH691" s="34"/>
      <c r="AN691" s="9">
        <f>AG691+AH691+AI691+AJ691+AK691+AL691+AM691</f>
        <v>0</v>
      </c>
      <c r="AV691" s="64">
        <f>L691+U691+AD691</f>
        <v>0</v>
      </c>
      <c r="AW691" s="73">
        <f>AT691+AV691+AU691</f>
        <v>0</v>
      </c>
      <c r="AY691" s="74">
        <f>AZ691+BA691+BB691+BC691+BD691+BE691</f>
        <v>0</v>
      </c>
    </row>
    <row r="692" customHeight="1" spans="2:51">
      <c r="B692" s="33">
        <v>10060256</v>
      </c>
      <c r="L692" s="5">
        <f>E692+F692+H692+I692+J692+G692+K692</f>
        <v>0</v>
      </c>
      <c r="U692" s="7">
        <f>N692+O692+P692+Q692+S692+R692+T692</f>
        <v>0</v>
      </c>
      <c r="AD692" s="9">
        <f>W692+X692+Y692+Z692+AA692+AB692+AC692</f>
        <v>0</v>
      </c>
      <c r="AF692" s="34"/>
      <c r="AG692" s="34"/>
      <c r="AH692" s="34"/>
      <c r="AN692" s="9">
        <f>AG692+AH692+AI692+AJ692+AK692+AL692+AM692</f>
        <v>0</v>
      </c>
      <c r="AV692" s="64">
        <f>L692+U692+AD692</f>
        <v>0</v>
      </c>
      <c r="AW692" s="73">
        <f>AT692+AV692+AU692</f>
        <v>0</v>
      </c>
      <c r="AY692" s="74">
        <f>AZ692+BA692+BB692+BC692+BD692+BE692</f>
        <v>0</v>
      </c>
    </row>
    <row r="693" customHeight="1" spans="2:51">
      <c r="B693" s="33">
        <v>10060257</v>
      </c>
      <c r="L693" s="5">
        <f>E693+F693+H693+I693+J693+G693+K693</f>
        <v>0</v>
      </c>
      <c r="U693" s="7">
        <f>N693+O693+P693+Q693+S693+R693+T693</f>
        <v>0</v>
      </c>
      <c r="AD693" s="9">
        <f>W693+X693+Y693+Z693+AA693+AB693+AC693</f>
        <v>0</v>
      </c>
      <c r="AF693" s="34"/>
      <c r="AG693" s="34"/>
      <c r="AH693" s="34"/>
      <c r="AN693" s="9">
        <f>AG693+AH693+AI693+AJ693+AK693+AL693+AM693</f>
        <v>0</v>
      </c>
      <c r="AV693" s="64">
        <f>L693+U693+AD693</f>
        <v>0</v>
      </c>
      <c r="AW693" s="73">
        <f>AT693+AV693+AU693</f>
        <v>0</v>
      </c>
      <c r="AY693" s="74">
        <f>AZ693+BA693+BB693+BC693+BD693+BE693</f>
        <v>0</v>
      </c>
    </row>
    <row r="694" customHeight="1" spans="2:51">
      <c r="B694" s="33">
        <v>10060258</v>
      </c>
      <c r="L694" s="5">
        <f>E694+F694+H694+I694+J694+G694+K694</f>
        <v>0</v>
      </c>
      <c r="U694" s="7">
        <f>N694+O694+P694+Q694+S694+R694+T694</f>
        <v>0</v>
      </c>
      <c r="AD694" s="9">
        <f>W694+X694+Y694+Z694+AA694+AB694+AC694</f>
        <v>0</v>
      </c>
      <c r="AF694" s="34"/>
      <c r="AG694" s="34"/>
      <c r="AH694" s="34"/>
      <c r="AN694" s="9">
        <f>AG694+AH694+AI694+AJ694+AK694+AL694+AM694</f>
        <v>0</v>
      </c>
      <c r="AV694" s="64">
        <f>L694+U694+AD694</f>
        <v>0</v>
      </c>
      <c r="AW694" s="73">
        <f>AT694+AV694+AU694</f>
        <v>0</v>
      </c>
      <c r="AY694" s="74">
        <f>AZ694+BA694+BB694+BC694+BD694+BE694</f>
        <v>0</v>
      </c>
    </row>
    <row r="695" customHeight="1" spans="2:51">
      <c r="B695" s="33">
        <v>10060259</v>
      </c>
      <c r="L695" s="5">
        <f>E695+F695+H695+I695+J695+G695+K695</f>
        <v>0</v>
      </c>
      <c r="U695" s="7">
        <f>N695+O695+P695+Q695+S695+R695+T695</f>
        <v>0</v>
      </c>
      <c r="AD695" s="9">
        <f>W695+X695+Y695+Z695+AA695+AB695+AC695</f>
        <v>0</v>
      </c>
      <c r="AF695" s="34"/>
      <c r="AG695" s="34"/>
      <c r="AH695" s="34"/>
      <c r="AN695" s="9">
        <f>AG695+AH695+AI695+AJ695+AK695+AL695+AM695</f>
        <v>0</v>
      </c>
      <c r="AV695" s="64">
        <f>L695+U695+AD695</f>
        <v>0</v>
      </c>
      <c r="AW695" s="73">
        <f>AT695+AV695+AU695</f>
        <v>0</v>
      </c>
      <c r="AY695" s="74">
        <f>AZ695+BA695+BB695+BC695+BD695+BE695</f>
        <v>0</v>
      </c>
    </row>
  </sheetData>
  <autoFilter ref="A5:BQ695">
    <extLst/>
  </autoFilter>
  <mergeCells count="23">
    <mergeCell ref="AP3:AQ3"/>
    <mergeCell ref="AY3:BE3"/>
    <mergeCell ref="BH3:BK3"/>
    <mergeCell ref="AZ4:BB4"/>
    <mergeCell ref="BC4:BE4"/>
    <mergeCell ref="A3:A5"/>
    <mergeCell ref="B3:B5"/>
    <mergeCell ref="C3:C5"/>
    <mergeCell ref="AT3:AT5"/>
    <mergeCell ref="AU3:AU5"/>
    <mergeCell ref="AV3:AV5"/>
    <mergeCell ref="AW3:AW5"/>
    <mergeCell ref="AX3:AX5"/>
    <mergeCell ref="AY4:AY5"/>
    <mergeCell ref="BL3:BL5"/>
    <mergeCell ref="BM3:BM5"/>
    <mergeCell ref="A1:BM2"/>
    <mergeCell ref="D3:L4"/>
    <mergeCell ref="M3:U4"/>
    <mergeCell ref="V3:AD4"/>
    <mergeCell ref="AE3:AO4"/>
    <mergeCell ref="AR3:AS4"/>
    <mergeCell ref="BF3:BG4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3F账单统计表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王月</cp:lastModifiedBy>
  <dcterms:created xsi:type="dcterms:W3CDTF">2024-05-16T02:46:17Z</dcterms:created>
  <dcterms:modified xsi:type="dcterms:W3CDTF">2024-05-16T02:46:44Z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52BF3CD8AFD54F798CC1410061E5D096_11</vt:lpwstr>
  </property>
  <property fmtid="{D5CDD505-2E9C-101B-9397-08002B2CF9AE}" pid="3" name="KSOProductBuildVer">
    <vt:lpwstr>2052-12.1.0.16729</vt:lpwstr>
  </property>
</Properties>
</file>