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t\stock_learn\300144_宋城演艺\"/>
    </mc:Choice>
  </mc:AlternateContent>
  <bookViews>
    <workbookView minimized="1" xWindow="0" yWindow="0" windowWidth="28800" windowHeight="12240" firstSheet="2" activeTab="2"/>
  </bookViews>
  <sheets>
    <sheet name="DCF速算" sheetId="1" r:id="rId1"/>
    <sheet name="增速估值" sheetId="2" r:id="rId2"/>
    <sheet name="真实数据估值" sheetId="11" r:id="rId3"/>
    <sheet name="各营业业务分析" sheetId="6" r:id="rId4"/>
    <sheet name="在建工程历史" sheetId="12" r:id="rId5"/>
    <sheet name="宋城发展史" sheetId="13" r:id="rId6"/>
    <sheet name="营业收入分析" sheetId="3" r:id="rId7"/>
    <sheet name="营业成本分析" sheetId="5" r:id="rId8"/>
    <sheet name="合并利润表预估" sheetId="10" r:id="rId9"/>
    <sheet name="合并资产表" sheetId="8" r:id="rId10"/>
    <sheet name="合并利润表" sheetId="7" r:id="rId11"/>
    <sheet name="合并现金流表" sheetId="9" r:id="rId12"/>
  </sheets>
  <definedNames>
    <definedName name="_xlnm._FilterDatabase" localSheetId="4" hidden="1">在建工程历史!$A$1:$P$121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B224" i="6"/>
  <c r="B223" i="6"/>
  <c r="B185" i="6"/>
  <c r="B158" i="6"/>
  <c r="B132" i="6"/>
  <c r="B108" i="6"/>
  <c r="B107" i="6"/>
  <c r="B84" i="6"/>
  <c r="B83" i="6"/>
  <c r="B82" i="6"/>
  <c r="B63" i="6"/>
  <c r="B62" i="6"/>
  <c r="B61" i="6"/>
  <c r="B42" i="6"/>
  <c r="B41" i="6"/>
  <c r="B40" i="6"/>
  <c r="B39" i="6"/>
  <c r="B16" i="6"/>
  <c r="B15" i="6"/>
  <c r="B186" i="6" l="1"/>
  <c r="B187" i="6" s="1"/>
  <c r="B188" i="6" s="1"/>
  <c r="B189" i="6" s="1"/>
  <c r="B134" i="6"/>
  <c r="B135" i="6" s="1"/>
  <c r="B85" i="6"/>
  <c r="B86" i="6" s="1"/>
  <c r="A82" i="6"/>
  <c r="B286" i="6"/>
  <c r="A185" i="6"/>
  <c r="B159" i="6"/>
  <c r="B160" i="6" s="1"/>
  <c r="B161" i="6" s="1"/>
  <c r="B133" i="6"/>
  <c r="B287" i="6" s="1"/>
  <c r="B109" i="6"/>
  <c r="B110" i="6" s="1"/>
  <c r="B64" i="6"/>
  <c r="B65" i="6" s="1"/>
  <c r="B43" i="6"/>
  <c r="B31" i="6" l="1"/>
  <c r="D31" i="6"/>
  <c r="M111" i="12" l="1"/>
  <c r="L108" i="12"/>
  <c r="P108" i="12" s="1"/>
  <c r="M107" i="12"/>
  <c r="M108" i="12" s="1"/>
  <c r="M100" i="12"/>
  <c r="L100" i="12"/>
  <c r="N100" i="12" s="1"/>
  <c r="L85" i="12"/>
  <c r="M82" i="12"/>
  <c r="L82" i="12"/>
  <c r="P82" i="12" s="1"/>
  <c r="M75" i="12"/>
  <c r="L75" i="12"/>
  <c r="P75" i="12" s="1"/>
  <c r="M66" i="12"/>
  <c r="L66" i="12"/>
  <c r="N66" i="12" s="1"/>
  <c r="L41" i="12"/>
  <c r="P41" i="12" s="1"/>
  <c r="N41" i="12"/>
  <c r="M49" i="12"/>
  <c r="L16" i="12"/>
  <c r="N16" i="12" s="1"/>
  <c r="M16" i="12"/>
  <c r="L21" i="12"/>
  <c r="L22" i="12" s="1"/>
  <c r="M22" i="12"/>
  <c r="M98" i="12"/>
  <c r="M99" i="12" s="1"/>
  <c r="M87" i="12"/>
  <c r="M88" i="12" s="1"/>
  <c r="M89" i="12" s="1"/>
  <c r="M81" i="12"/>
  <c r="L81" i="12"/>
  <c r="P81" i="12" s="1"/>
  <c r="M74" i="12"/>
  <c r="L74" i="12"/>
  <c r="N74" i="12" s="1"/>
  <c r="P100" i="12" l="1"/>
  <c r="P74" i="12"/>
  <c r="P66" i="12"/>
  <c r="P16" i="12"/>
  <c r="P22" i="12"/>
  <c r="N81" i="12"/>
  <c r="N75" i="12"/>
  <c r="N82" i="12"/>
  <c r="N108" i="12"/>
  <c r="N22" i="12"/>
  <c r="M40" i="12"/>
  <c r="M41" i="12" s="1"/>
  <c r="L40" i="12"/>
  <c r="P40" i="12" s="1"/>
  <c r="M48" i="12"/>
  <c r="P48" i="12" s="1"/>
  <c r="L48" i="12"/>
  <c r="L49" i="12" s="1"/>
  <c r="N49" i="12" s="1"/>
  <c r="N21" i="12"/>
  <c r="M21" i="12"/>
  <c r="P21" i="12" s="1"/>
  <c r="M23" i="12"/>
  <c r="P23" i="12" s="1"/>
  <c r="L23" i="12"/>
  <c r="N23" i="12" s="1"/>
  <c r="M19" i="12"/>
  <c r="M20" i="12" s="1"/>
  <c r="M73" i="12"/>
  <c r="M72" i="12"/>
  <c r="L73" i="12"/>
  <c r="N73" i="12" s="1"/>
  <c r="L72" i="12"/>
  <c r="N72" i="12" s="1"/>
  <c r="L61" i="12"/>
  <c r="L34" i="12"/>
  <c r="P34" i="12" s="1"/>
  <c r="L19" i="12"/>
  <c r="L20" i="12" s="1"/>
  <c r="L18" i="12"/>
  <c r="P18" i="12" s="1"/>
  <c r="M10" i="12"/>
  <c r="P119" i="12"/>
  <c r="N119" i="12"/>
  <c r="L101" i="12"/>
  <c r="N101" i="12" s="1"/>
  <c r="L105" i="12"/>
  <c r="N105" i="12" s="1"/>
  <c r="L109" i="12"/>
  <c r="L112" i="12"/>
  <c r="L113" i="12" s="1"/>
  <c r="L114" i="12" s="1"/>
  <c r="L115" i="12"/>
  <c r="L117" i="12"/>
  <c r="P117" i="12" s="1"/>
  <c r="L118" i="12"/>
  <c r="P118" i="12" s="1"/>
  <c r="L86" i="12"/>
  <c r="P86" i="12" s="1"/>
  <c r="M47" i="12"/>
  <c r="M50" i="12" s="1"/>
  <c r="L47" i="12"/>
  <c r="N47" i="12" s="1"/>
  <c r="L36" i="12"/>
  <c r="N36" i="12" s="1"/>
  <c r="L33" i="12"/>
  <c r="P33" i="12" s="1"/>
  <c r="L17" i="12"/>
  <c r="N17" i="12" s="1"/>
  <c r="L9" i="12"/>
  <c r="L10" i="12" s="1"/>
  <c r="N10" i="12" s="1"/>
  <c r="M9" i="12"/>
  <c r="P9" i="12" s="1"/>
  <c r="L96" i="12"/>
  <c r="N96" i="12" s="1"/>
  <c r="L91" i="12"/>
  <c r="L92" i="12" s="1"/>
  <c r="N85" i="12"/>
  <c r="M71" i="12"/>
  <c r="L62" i="12"/>
  <c r="L35" i="12"/>
  <c r="N35" i="12" s="1"/>
  <c r="L32" i="12"/>
  <c r="N32" i="12" s="1"/>
  <c r="M8" i="12"/>
  <c r="L8" i="12"/>
  <c r="N8" i="12" s="1"/>
  <c r="M70" i="12"/>
  <c r="N61" i="12"/>
  <c r="M61" i="12"/>
  <c r="M62" i="12" s="1"/>
  <c r="M63" i="12" s="1"/>
  <c r="M64" i="12" s="1"/>
  <c r="M65" i="12" s="1"/>
  <c r="L56" i="12"/>
  <c r="N56" i="12" s="1"/>
  <c r="L31" i="12"/>
  <c r="N31" i="12" s="1"/>
  <c r="M46" i="12"/>
  <c r="L60" i="12"/>
  <c r="M60" i="12"/>
  <c r="L55" i="12"/>
  <c r="P55" i="12" s="1"/>
  <c r="L30" i="12"/>
  <c r="P30" i="12" s="1"/>
  <c r="L77" i="12"/>
  <c r="N68" i="12"/>
  <c r="L68" i="12"/>
  <c r="L69" i="12" s="1"/>
  <c r="L59" i="12"/>
  <c r="N59" i="12" s="1"/>
  <c r="L54" i="12"/>
  <c r="N54" i="12" s="1"/>
  <c r="L53" i="12"/>
  <c r="P53" i="12" s="1"/>
  <c r="L26" i="12"/>
  <c r="P26" i="12" s="1"/>
  <c r="L27" i="12"/>
  <c r="N27" i="12" s="1"/>
  <c r="L29" i="12"/>
  <c r="P29" i="12" s="1"/>
  <c r="L43" i="12"/>
  <c r="N43" i="12" s="1"/>
  <c r="L12" i="12"/>
  <c r="N12" i="12" s="1"/>
  <c r="L4" i="12"/>
  <c r="P4" i="12" s="1"/>
  <c r="L11" i="12"/>
  <c r="N11" i="12" s="1"/>
  <c r="L25" i="12"/>
  <c r="N25" i="12" s="1"/>
  <c r="L28" i="12"/>
  <c r="N28" i="12" s="1"/>
  <c r="L42" i="12"/>
  <c r="N42" i="12" s="1"/>
  <c r="L52" i="12"/>
  <c r="N52" i="12" s="1"/>
  <c r="L57" i="12"/>
  <c r="P57" i="12" s="1"/>
  <c r="L58" i="12"/>
  <c r="P58" i="12" s="1"/>
  <c r="L67" i="12"/>
  <c r="N67" i="12" s="1"/>
  <c r="L76" i="12"/>
  <c r="N76" i="12" s="1"/>
  <c r="P77" i="12"/>
  <c r="L78" i="12"/>
  <c r="N78" i="12" s="1"/>
  <c r="L83" i="12"/>
  <c r="N83" i="12" s="1"/>
  <c r="P85" i="12"/>
  <c r="L3" i="12"/>
  <c r="P3" i="12" s="1"/>
  <c r="L2" i="12"/>
  <c r="N2" i="12" s="1"/>
  <c r="I190" i="6"/>
  <c r="K190" i="6" s="1"/>
  <c r="E190" i="6"/>
  <c r="A186" i="6"/>
  <c r="A187" i="6" s="1"/>
  <c r="A188" i="6" s="1"/>
  <c r="A189" i="6" s="1"/>
  <c r="D184" i="6"/>
  <c r="E184" i="6" s="1"/>
  <c r="B184" i="6"/>
  <c r="C190" i="6" s="1"/>
  <c r="I183" i="6"/>
  <c r="K183" i="6" s="1"/>
  <c r="D183" i="6"/>
  <c r="C183" i="6"/>
  <c r="B183" i="6"/>
  <c r="F183" i="6" s="1"/>
  <c r="D182" i="6"/>
  <c r="E183" i="6" s="1"/>
  <c r="B182" i="6"/>
  <c r="C182" i="6" s="1"/>
  <c r="I181" i="6"/>
  <c r="K181" i="6" s="1"/>
  <c r="E181" i="6"/>
  <c r="D181" i="6"/>
  <c r="B181" i="6"/>
  <c r="F181" i="6" s="1"/>
  <c r="D180" i="6"/>
  <c r="E180" i="6" s="1"/>
  <c r="B180" i="6"/>
  <c r="I180" i="6" s="1"/>
  <c r="K180" i="6" s="1"/>
  <c r="I179" i="6"/>
  <c r="K179" i="6" s="1"/>
  <c r="D179" i="6"/>
  <c r="C179" i="6"/>
  <c r="B179" i="6"/>
  <c r="F179" i="6" s="1"/>
  <c r="D178" i="6"/>
  <c r="E179" i="6" s="1"/>
  <c r="B178" i="6"/>
  <c r="C178" i="6" s="1"/>
  <c r="I177" i="6"/>
  <c r="K177" i="6" s="1"/>
  <c r="E177" i="6"/>
  <c r="D177" i="6"/>
  <c r="B177" i="6"/>
  <c r="F177" i="6" s="1"/>
  <c r="D176" i="6"/>
  <c r="E176" i="6" s="1"/>
  <c r="B176" i="6"/>
  <c r="I176" i="6" s="1"/>
  <c r="K176" i="6" s="1"/>
  <c r="I175" i="6"/>
  <c r="K175" i="6" s="1"/>
  <c r="D175" i="6"/>
  <c r="C175" i="6"/>
  <c r="B175" i="6"/>
  <c r="F175" i="6" s="1"/>
  <c r="D174" i="6"/>
  <c r="E175" i="6" s="1"/>
  <c r="B174" i="6"/>
  <c r="C174" i="6" s="1"/>
  <c r="K165" i="6"/>
  <c r="I165" i="6"/>
  <c r="G165" i="6"/>
  <c r="E165" i="6"/>
  <c r="C165" i="6"/>
  <c r="K164" i="6"/>
  <c r="I164" i="6"/>
  <c r="C14" i="2"/>
  <c r="D205" i="6"/>
  <c r="D206" i="6"/>
  <c r="E207" i="6" s="1"/>
  <c r="D207" i="6"/>
  <c r="D208" i="6"/>
  <c r="F208" i="6" s="1"/>
  <c r="G208" i="6" s="1"/>
  <c r="D204" i="6"/>
  <c r="D267" i="6"/>
  <c r="D268" i="6"/>
  <c r="D269" i="6"/>
  <c r="D270" i="6"/>
  <c r="D266" i="6"/>
  <c r="B205" i="6"/>
  <c r="B206" i="6"/>
  <c r="B207" i="6"/>
  <c r="B208" i="6"/>
  <c r="C208" i="6" s="1"/>
  <c r="B204" i="6"/>
  <c r="B267" i="6"/>
  <c r="B268" i="6"/>
  <c r="B269" i="6"/>
  <c r="B270" i="6"/>
  <c r="B266" i="6"/>
  <c r="I266" i="6"/>
  <c r="K266" i="6" s="1"/>
  <c r="I267" i="6"/>
  <c r="K267" i="6" s="1"/>
  <c r="I268" i="6"/>
  <c r="K268" i="6" s="1"/>
  <c r="I269" i="6"/>
  <c r="K269" i="6" s="1"/>
  <c r="F266" i="6"/>
  <c r="H266" i="6" s="1"/>
  <c r="F267" i="6"/>
  <c r="H267" i="6" s="1"/>
  <c r="F268" i="6"/>
  <c r="G268" i="6" s="1"/>
  <c r="F269" i="6"/>
  <c r="E267" i="6"/>
  <c r="E268" i="6"/>
  <c r="E269" i="6"/>
  <c r="C267" i="6"/>
  <c r="C268" i="6"/>
  <c r="C269" i="6"/>
  <c r="C270" i="6"/>
  <c r="K204" i="6"/>
  <c r="I204" i="6"/>
  <c r="I206" i="6"/>
  <c r="K206" i="6" s="1"/>
  <c r="I207" i="6"/>
  <c r="K207" i="6" s="1"/>
  <c r="H204" i="6"/>
  <c r="F204" i="6"/>
  <c r="F205" i="6"/>
  <c r="H205" i="6" s="1"/>
  <c r="F206" i="6"/>
  <c r="F207" i="6"/>
  <c r="E205" i="6"/>
  <c r="E206" i="6"/>
  <c r="E208" i="6"/>
  <c r="C205" i="6"/>
  <c r="C206" i="6"/>
  <c r="C207" i="6"/>
  <c r="H29" i="10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E78" i="10"/>
  <c r="F78" i="10" s="1"/>
  <c r="G78" i="10" s="1"/>
  <c r="H78" i="10" s="1"/>
  <c r="I78" i="10" s="1"/>
  <c r="J78" i="10" s="1"/>
  <c r="K78" i="10" s="1"/>
  <c r="L78" i="10" s="1"/>
  <c r="M78" i="10" s="1"/>
  <c r="N78" i="10" s="1"/>
  <c r="O78" i="10" s="1"/>
  <c r="O37" i="10"/>
  <c r="O92" i="10" s="1"/>
  <c r="N37" i="10"/>
  <c r="N92" i="10" s="1"/>
  <c r="M37" i="10"/>
  <c r="M92" i="10" s="1"/>
  <c r="L37" i="10"/>
  <c r="L92" i="10" s="1"/>
  <c r="K37" i="10"/>
  <c r="K92" i="10" s="1"/>
  <c r="J37" i="10"/>
  <c r="J92" i="10" s="1"/>
  <c r="I37" i="10"/>
  <c r="I92" i="10" s="1"/>
  <c r="H37" i="10"/>
  <c r="H92" i="10" s="1"/>
  <c r="G37" i="10"/>
  <c r="G92" i="10" s="1"/>
  <c r="F37" i="10"/>
  <c r="F92" i="10" s="1"/>
  <c r="E37" i="10"/>
  <c r="E92" i="10" s="1"/>
  <c r="D37" i="10"/>
  <c r="D92" i="10" s="1"/>
  <c r="E1" i="10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A5" i="6"/>
  <c r="A6" i="6" s="1"/>
  <c r="A7" i="6" s="1"/>
  <c r="A8" i="6" s="1"/>
  <c r="A9" i="6" s="1"/>
  <c r="A10" i="6" s="1"/>
  <c r="A11" i="6" s="1"/>
  <c r="A12" i="6" s="1"/>
  <c r="A13" i="6" s="1"/>
  <c r="A14" i="6" s="1"/>
  <c r="I291" i="6"/>
  <c r="I271" i="6"/>
  <c r="I272" i="6"/>
  <c r="I273" i="6"/>
  <c r="I247" i="6"/>
  <c r="K247" i="6" s="1"/>
  <c r="I248" i="6"/>
  <c r="K248" i="6" s="1"/>
  <c r="I249" i="6"/>
  <c r="K249" i="6" s="1"/>
  <c r="I250" i="6"/>
  <c r="K250" i="6" s="1"/>
  <c r="I251" i="6"/>
  <c r="K251" i="6" s="1"/>
  <c r="I252" i="6"/>
  <c r="K252" i="6" s="1"/>
  <c r="I253" i="6"/>
  <c r="K253" i="6" s="1"/>
  <c r="I228" i="6"/>
  <c r="K228" i="6" s="1"/>
  <c r="I229" i="6"/>
  <c r="K229" i="6" s="1"/>
  <c r="I209" i="6"/>
  <c r="K209" i="6" s="1"/>
  <c r="I210" i="6"/>
  <c r="K210" i="6" s="1"/>
  <c r="I137" i="6"/>
  <c r="K137" i="6" s="1"/>
  <c r="I138" i="6"/>
  <c r="K138" i="6" s="1"/>
  <c r="I163" i="6"/>
  <c r="K163" i="6" s="1"/>
  <c r="I191" i="6"/>
  <c r="K191" i="6" s="1"/>
  <c r="I112" i="6"/>
  <c r="K112" i="6" s="1"/>
  <c r="I113" i="6"/>
  <c r="K113" i="6" s="1"/>
  <c r="I67" i="6"/>
  <c r="K67" i="6" s="1"/>
  <c r="I68" i="6"/>
  <c r="K68" i="6" s="1"/>
  <c r="I87" i="6"/>
  <c r="K87" i="6" s="1"/>
  <c r="I88" i="6"/>
  <c r="K88" i="6" s="1"/>
  <c r="I46" i="6"/>
  <c r="K46" i="6" s="1"/>
  <c r="I47" i="6"/>
  <c r="K47" i="6" s="1"/>
  <c r="I66" i="6"/>
  <c r="K66" i="6" s="1"/>
  <c r="I20" i="6"/>
  <c r="K20" i="6" s="1"/>
  <c r="I21" i="6"/>
  <c r="K21" i="6" s="1"/>
  <c r="I22" i="6"/>
  <c r="K22" i="6" s="1"/>
  <c r="I23" i="6"/>
  <c r="K23" i="6" s="1"/>
  <c r="I24" i="6"/>
  <c r="K24" i="6" s="1"/>
  <c r="I44" i="6"/>
  <c r="K44" i="6" s="1"/>
  <c r="I45" i="6"/>
  <c r="K45" i="6" s="1"/>
  <c r="N2" i="3"/>
  <c r="N3" i="3"/>
  <c r="N4" i="3"/>
  <c r="N5" i="3"/>
  <c r="N6" i="3"/>
  <c r="N7" i="3"/>
  <c r="N8" i="3"/>
  <c r="N9" i="3"/>
  <c r="N10" i="3"/>
  <c r="N11" i="3"/>
  <c r="N12" i="3"/>
  <c r="N9" i="12" l="1"/>
  <c r="P20" i="12"/>
  <c r="P73" i="12"/>
  <c r="N19" i="12"/>
  <c r="P8" i="12"/>
  <c r="P91" i="12"/>
  <c r="L50" i="12"/>
  <c r="P60" i="12"/>
  <c r="P17" i="12"/>
  <c r="P61" i="12"/>
  <c r="L84" i="12"/>
  <c r="N84" i="12" s="1"/>
  <c r="L93" i="12"/>
  <c r="P92" i="12"/>
  <c r="N92" i="12"/>
  <c r="P69" i="12"/>
  <c r="N69" i="12"/>
  <c r="L70" i="12"/>
  <c r="L5" i="12"/>
  <c r="P62" i="12"/>
  <c r="P68" i="12"/>
  <c r="N60" i="12"/>
  <c r="L79" i="12"/>
  <c r="P47" i="12"/>
  <c r="N18" i="12"/>
  <c r="P19" i="12"/>
  <c r="P72" i="12"/>
  <c r="L44" i="12"/>
  <c r="P114" i="12"/>
  <c r="N114" i="12"/>
  <c r="L97" i="12"/>
  <c r="N48" i="12"/>
  <c r="N40" i="12"/>
  <c r="N91" i="12"/>
  <c r="P49" i="12"/>
  <c r="P115" i="12"/>
  <c r="L116" i="12"/>
  <c r="P116" i="12" s="1"/>
  <c r="L87" i="12"/>
  <c r="N86" i="12"/>
  <c r="P112" i="12"/>
  <c r="P109" i="12"/>
  <c r="L110" i="12"/>
  <c r="L111" i="12" s="1"/>
  <c r="N33" i="12"/>
  <c r="N34" i="12"/>
  <c r="N55" i="12"/>
  <c r="P52" i="12"/>
  <c r="P35" i="12"/>
  <c r="P59" i="12"/>
  <c r="P56" i="12"/>
  <c r="P36" i="12"/>
  <c r="L37" i="12"/>
  <c r="N30" i="12"/>
  <c r="P31" i="12"/>
  <c r="P32" i="12"/>
  <c r="L102" i="12"/>
  <c r="N20" i="12"/>
  <c r="L106" i="12"/>
  <c r="L63" i="12"/>
  <c r="N117" i="12"/>
  <c r="N109" i="12"/>
  <c r="N116" i="12"/>
  <c r="P10" i="12"/>
  <c r="N115" i="12"/>
  <c r="N118" i="12"/>
  <c r="N112" i="12"/>
  <c r="P105" i="12"/>
  <c r="P101" i="12"/>
  <c r="P96" i="12"/>
  <c r="N62" i="12"/>
  <c r="P54" i="12"/>
  <c r="P12" i="12"/>
  <c r="P83" i="12"/>
  <c r="P43" i="12"/>
  <c r="P27" i="12"/>
  <c r="L13" i="12"/>
  <c r="L14" i="12" s="1"/>
  <c r="P28" i="12"/>
  <c r="P79" i="12"/>
  <c r="P42" i="12"/>
  <c r="N29" i="12"/>
  <c r="N53" i="12"/>
  <c r="P78" i="12"/>
  <c r="P25" i="12"/>
  <c r="P76" i="12"/>
  <c r="P67" i="12"/>
  <c r="N4" i="12"/>
  <c r="N77" i="12"/>
  <c r="N57" i="12"/>
  <c r="N26" i="12"/>
  <c r="N58" i="12"/>
  <c r="P2" i="12"/>
  <c r="P11" i="12"/>
  <c r="N3" i="12"/>
  <c r="H177" i="6"/>
  <c r="H181" i="6"/>
  <c r="H175" i="6"/>
  <c r="H179" i="6"/>
  <c r="H183" i="6"/>
  <c r="F176" i="6"/>
  <c r="F184" i="6"/>
  <c r="E174" i="6"/>
  <c r="I174" i="6"/>
  <c r="K174" i="6" s="1"/>
  <c r="C176" i="6"/>
  <c r="E178" i="6"/>
  <c r="I178" i="6"/>
  <c r="K178" i="6" s="1"/>
  <c r="C180" i="6"/>
  <c r="E182" i="6"/>
  <c r="I182" i="6"/>
  <c r="K182" i="6" s="1"/>
  <c r="C184" i="6"/>
  <c r="F174" i="6"/>
  <c r="C177" i="6"/>
  <c r="F178" i="6"/>
  <c r="C181" i="6"/>
  <c r="F182" i="6"/>
  <c r="F180" i="6"/>
  <c r="I184" i="6"/>
  <c r="K184" i="6" s="1"/>
  <c r="I205" i="6"/>
  <c r="K205" i="6" s="1"/>
  <c r="G207" i="6"/>
  <c r="G206" i="6"/>
  <c r="E270" i="6"/>
  <c r="G269" i="6"/>
  <c r="H208" i="6"/>
  <c r="H207" i="6"/>
  <c r="I208" i="6"/>
  <c r="K208" i="6" s="1"/>
  <c r="H206" i="6"/>
  <c r="G205" i="6"/>
  <c r="H269" i="6"/>
  <c r="H268" i="6"/>
  <c r="F270" i="6"/>
  <c r="I270" i="6"/>
  <c r="K270" i="6" s="1"/>
  <c r="G267" i="6"/>
  <c r="A15" i="6"/>
  <c r="A16" i="6" s="1"/>
  <c r="A17" i="6" s="1"/>
  <c r="A18" i="6" s="1"/>
  <c r="A19" i="6" s="1"/>
  <c r="A242" i="6"/>
  <c r="A243" i="6" s="1"/>
  <c r="A244" i="6" s="1"/>
  <c r="A245" i="6" s="1"/>
  <c r="A246" i="6" s="1"/>
  <c r="A223" i="6"/>
  <c r="A224" i="6" s="1"/>
  <c r="A225" i="6" s="1"/>
  <c r="A226" i="6" s="1"/>
  <c r="A227" i="6" s="1"/>
  <c r="A158" i="6"/>
  <c r="A159" i="6" s="1"/>
  <c r="A160" i="6" s="1"/>
  <c r="A161" i="6" s="1"/>
  <c r="A162" i="6" s="1"/>
  <c r="A107" i="6"/>
  <c r="A108" i="6" s="1"/>
  <c r="A109" i="6" s="1"/>
  <c r="A110" i="6" s="1"/>
  <c r="A111" i="6" s="1"/>
  <c r="A61" i="6"/>
  <c r="A62" i="6" s="1"/>
  <c r="A63" i="6" s="1"/>
  <c r="A64" i="6" s="1"/>
  <c r="A65" i="6" s="1"/>
  <c r="A204" i="6"/>
  <c r="A205" i="6" s="1"/>
  <c r="A206" i="6" s="1"/>
  <c r="A207" i="6" s="1"/>
  <c r="A208" i="6" s="1"/>
  <c r="A132" i="6"/>
  <c r="A133" i="6" s="1"/>
  <c r="A134" i="6" s="1"/>
  <c r="A135" i="6" s="1"/>
  <c r="A136" i="6" s="1"/>
  <c r="A83" i="6"/>
  <c r="A84" i="6" s="1"/>
  <c r="A85" i="6" s="1"/>
  <c r="A86" i="6" s="1"/>
  <c r="A286" i="6"/>
  <c r="A287" i="6" s="1"/>
  <c r="A288" i="6" s="1"/>
  <c r="A289" i="6" s="1"/>
  <c r="A290" i="6" s="1"/>
  <c r="A266" i="6"/>
  <c r="A267" i="6" s="1"/>
  <c r="A268" i="6" s="1"/>
  <c r="A269" i="6" s="1"/>
  <c r="A270" i="6" s="1"/>
  <c r="A39" i="6"/>
  <c r="A40" i="6" s="1"/>
  <c r="A41" i="6" s="1"/>
  <c r="A42" i="6" s="1"/>
  <c r="A43" i="6" s="1"/>
  <c r="F1" i="9"/>
  <c r="G1" i="9" s="1"/>
  <c r="H1" i="9" s="1"/>
  <c r="I1" i="9" s="1"/>
  <c r="J1" i="9" s="1"/>
  <c r="K1" i="9" s="1"/>
  <c r="L1" i="9" s="1"/>
  <c r="M1" i="9" s="1"/>
  <c r="N1" i="9" s="1"/>
  <c r="O1" i="9" s="1"/>
  <c r="P1" i="9" s="1"/>
  <c r="E1" i="8"/>
  <c r="F1" i="8" s="1"/>
  <c r="G1" i="8" s="1"/>
  <c r="H1" i="8" s="1"/>
  <c r="I1" i="8" s="1"/>
  <c r="J1" i="8" s="1"/>
  <c r="K1" i="8" s="1"/>
  <c r="L1" i="8" s="1"/>
  <c r="M1" i="8" s="1"/>
  <c r="N1" i="8" s="1"/>
  <c r="O1" i="8" s="1"/>
  <c r="N70" i="7"/>
  <c r="O70" i="7"/>
  <c r="E70" i="7"/>
  <c r="F70" i="7"/>
  <c r="G70" i="7"/>
  <c r="H70" i="7"/>
  <c r="I70" i="7"/>
  <c r="J70" i="7"/>
  <c r="K70" i="7"/>
  <c r="L70" i="7"/>
  <c r="M70" i="7"/>
  <c r="D70" i="7"/>
  <c r="O15" i="7"/>
  <c r="E15" i="7"/>
  <c r="F15" i="7"/>
  <c r="G15" i="7"/>
  <c r="H15" i="7"/>
  <c r="I15" i="7"/>
  <c r="J15" i="7"/>
  <c r="K15" i="7"/>
  <c r="L15" i="7"/>
  <c r="M15" i="7"/>
  <c r="N15" i="7"/>
  <c r="D15" i="7"/>
  <c r="E63" i="7"/>
  <c r="F63" i="7"/>
  <c r="G63" i="7"/>
  <c r="H63" i="7"/>
  <c r="I63" i="7"/>
  <c r="J63" i="7"/>
  <c r="K63" i="7"/>
  <c r="L63" i="7"/>
  <c r="M63" i="7"/>
  <c r="N63" i="7"/>
  <c r="O63" i="7"/>
  <c r="E62" i="7"/>
  <c r="F62" i="7"/>
  <c r="G62" i="7"/>
  <c r="H62" i="7"/>
  <c r="I62" i="7"/>
  <c r="J62" i="7"/>
  <c r="K62" i="7"/>
  <c r="L62" i="7"/>
  <c r="M62" i="7"/>
  <c r="N62" i="7"/>
  <c r="O62" i="7"/>
  <c r="D62" i="7"/>
  <c r="D63" i="7"/>
  <c r="E67" i="7"/>
  <c r="F67" i="7"/>
  <c r="G67" i="7"/>
  <c r="H67" i="7"/>
  <c r="I67" i="7"/>
  <c r="J67" i="7"/>
  <c r="K67" i="7"/>
  <c r="L67" i="7"/>
  <c r="M67" i="7"/>
  <c r="N67" i="7"/>
  <c r="O67" i="7"/>
  <c r="E66" i="7"/>
  <c r="F66" i="7"/>
  <c r="G66" i="7"/>
  <c r="H66" i="7"/>
  <c r="I66" i="7"/>
  <c r="J66" i="7"/>
  <c r="K66" i="7"/>
  <c r="L66" i="7"/>
  <c r="M66" i="7"/>
  <c r="N66" i="7"/>
  <c r="O66" i="7"/>
  <c r="E65" i="7"/>
  <c r="F65" i="7"/>
  <c r="G65" i="7"/>
  <c r="H65" i="7"/>
  <c r="I65" i="7"/>
  <c r="J65" i="7"/>
  <c r="K65" i="7"/>
  <c r="L65" i="7"/>
  <c r="M65" i="7"/>
  <c r="N65" i="7"/>
  <c r="O65" i="7"/>
  <c r="D67" i="7"/>
  <c r="D66" i="7"/>
  <c r="D65" i="7"/>
  <c r="E64" i="7"/>
  <c r="F64" i="7"/>
  <c r="G64" i="7"/>
  <c r="H64" i="7"/>
  <c r="I64" i="7"/>
  <c r="J64" i="7"/>
  <c r="K64" i="7"/>
  <c r="L64" i="7"/>
  <c r="M64" i="7"/>
  <c r="N64" i="7"/>
  <c r="O64" i="7"/>
  <c r="D64" i="7"/>
  <c r="N84" i="7"/>
  <c r="O84" i="7"/>
  <c r="E84" i="7"/>
  <c r="F84" i="7"/>
  <c r="G84" i="7"/>
  <c r="H84" i="7"/>
  <c r="I84" i="7"/>
  <c r="J84" i="7"/>
  <c r="K84" i="7"/>
  <c r="L84" i="7"/>
  <c r="M84" i="7"/>
  <c r="D84" i="7"/>
  <c r="E56" i="7"/>
  <c r="F56" i="7" s="1"/>
  <c r="G56" i="7" s="1"/>
  <c r="H56" i="7" s="1"/>
  <c r="I56" i="7" s="1"/>
  <c r="J56" i="7" s="1"/>
  <c r="K56" i="7" s="1"/>
  <c r="L56" i="7" s="1"/>
  <c r="M56" i="7" s="1"/>
  <c r="N56" i="7" s="1"/>
  <c r="O56" i="7" s="1"/>
  <c r="E1" i="7"/>
  <c r="F1" i="7" s="1"/>
  <c r="G1" i="7" s="1"/>
  <c r="H1" i="7" s="1"/>
  <c r="I1" i="7" s="1"/>
  <c r="J1" i="7" s="1"/>
  <c r="K1" i="7" s="1"/>
  <c r="L1" i="7" s="1"/>
  <c r="M1" i="7" s="1"/>
  <c r="N1" i="7" s="1"/>
  <c r="O1" i="7" s="1"/>
  <c r="D276" i="6"/>
  <c r="D277" i="6"/>
  <c r="D278" i="6"/>
  <c r="D279" i="6"/>
  <c r="D280" i="6"/>
  <c r="D281" i="6"/>
  <c r="D282" i="6"/>
  <c r="D283" i="6"/>
  <c r="D284" i="6"/>
  <c r="D285" i="6"/>
  <c r="D275" i="6"/>
  <c r="E275" i="6" s="1"/>
  <c r="B283" i="6"/>
  <c r="B284" i="6"/>
  <c r="F284" i="6" s="1"/>
  <c r="B285" i="6"/>
  <c r="B276" i="6"/>
  <c r="B277" i="6"/>
  <c r="B278" i="6"/>
  <c r="B279" i="6"/>
  <c r="B280" i="6"/>
  <c r="B281" i="6"/>
  <c r="B282" i="6"/>
  <c r="B275" i="6"/>
  <c r="C275" i="6" s="1"/>
  <c r="K273" i="6"/>
  <c r="G273" i="6"/>
  <c r="E273" i="6"/>
  <c r="C273" i="6"/>
  <c r="K271" i="6"/>
  <c r="K272" i="6"/>
  <c r="K291" i="6"/>
  <c r="G21" i="6"/>
  <c r="G22" i="6"/>
  <c r="G23" i="6"/>
  <c r="G24" i="6"/>
  <c r="G45" i="6"/>
  <c r="G46" i="6"/>
  <c r="G47" i="6"/>
  <c r="G67" i="6"/>
  <c r="G68" i="6"/>
  <c r="G88" i="6"/>
  <c r="G113" i="6"/>
  <c r="G138" i="6"/>
  <c r="G191" i="6"/>
  <c r="G210" i="6"/>
  <c r="G229" i="6"/>
  <c r="G248" i="6"/>
  <c r="G249" i="6"/>
  <c r="G250" i="6"/>
  <c r="G251" i="6"/>
  <c r="G252" i="6"/>
  <c r="G253" i="6"/>
  <c r="G272" i="6"/>
  <c r="E21" i="6"/>
  <c r="E22" i="6"/>
  <c r="E23" i="6"/>
  <c r="E24" i="6"/>
  <c r="E45" i="6"/>
  <c r="E46" i="6"/>
  <c r="E47" i="6"/>
  <c r="E67" i="6"/>
  <c r="E68" i="6"/>
  <c r="E88" i="6"/>
  <c r="E113" i="6"/>
  <c r="E138" i="6"/>
  <c r="E191" i="6"/>
  <c r="E210" i="6"/>
  <c r="E229" i="6"/>
  <c r="E248" i="6"/>
  <c r="E249" i="6"/>
  <c r="E250" i="6"/>
  <c r="E251" i="6"/>
  <c r="E252" i="6"/>
  <c r="E253" i="6"/>
  <c r="E272" i="6"/>
  <c r="C229" i="6"/>
  <c r="C248" i="6"/>
  <c r="C249" i="6"/>
  <c r="C250" i="6"/>
  <c r="C251" i="6"/>
  <c r="C252" i="6"/>
  <c r="C253" i="6"/>
  <c r="C210" i="6"/>
  <c r="C191" i="6"/>
  <c r="C138" i="6"/>
  <c r="C113" i="6"/>
  <c r="C88" i="6"/>
  <c r="C45" i="6"/>
  <c r="C46" i="6"/>
  <c r="C47" i="6"/>
  <c r="C67" i="6"/>
  <c r="C68" i="6"/>
  <c r="C21" i="6"/>
  <c r="C22" i="6"/>
  <c r="C23" i="6"/>
  <c r="C24" i="6"/>
  <c r="M8" i="5"/>
  <c r="A1" i="6"/>
  <c r="A24" i="6"/>
  <c r="A47" i="6"/>
  <c r="A68" i="6"/>
  <c r="A253" i="6"/>
  <c r="D232" i="6"/>
  <c r="D233" i="6"/>
  <c r="D234" i="6"/>
  <c r="D235" i="6"/>
  <c r="D236" i="6"/>
  <c r="D237" i="6"/>
  <c r="D238" i="6"/>
  <c r="D239" i="6"/>
  <c r="D240" i="6"/>
  <c r="D241" i="6"/>
  <c r="D231" i="6"/>
  <c r="E231" i="6" s="1"/>
  <c r="B232" i="6"/>
  <c r="B233" i="6"/>
  <c r="B234" i="6"/>
  <c r="B235" i="6"/>
  <c r="B236" i="6"/>
  <c r="B237" i="6"/>
  <c r="B238" i="6"/>
  <c r="B239" i="6"/>
  <c r="B240" i="6"/>
  <c r="B241" i="6"/>
  <c r="B242" i="6" s="1"/>
  <c r="B231" i="6"/>
  <c r="A229" i="6"/>
  <c r="D213" i="6"/>
  <c r="D214" i="6"/>
  <c r="D215" i="6"/>
  <c r="D216" i="6"/>
  <c r="D217" i="6"/>
  <c r="D218" i="6"/>
  <c r="D219" i="6"/>
  <c r="D220" i="6"/>
  <c r="D221" i="6"/>
  <c r="D222" i="6"/>
  <c r="D212" i="6"/>
  <c r="E212" i="6" s="1"/>
  <c r="B213" i="6"/>
  <c r="B214" i="6"/>
  <c r="B215" i="6"/>
  <c r="B216" i="6"/>
  <c r="B217" i="6"/>
  <c r="B218" i="6"/>
  <c r="B219" i="6"/>
  <c r="B220" i="6"/>
  <c r="B221" i="6"/>
  <c r="B222" i="6"/>
  <c r="B212" i="6"/>
  <c r="A210" i="6"/>
  <c r="D194" i="6"/>
  <c r="D195" i="6"/>
  <c r="D196" i="6"/>
  <c r="D197" i="6"/>
  <c r="D198" i="6"/>
  <c r="D199" i="6"/>
  <c r="D200" i="6"/>
  <c r="D201" i="6"/>
  <c r="D202" i="6"/>
  <c r="D203" i="6"/>
  <c r="D193" i="6"/>
  <c r="E193" i="6" s="1"/>
  <c r="B194" i="6"/>
  <c r="B195" i="6"/>
  <c r="B196" i="6"/>
  <c r="B197" i="6"/>
  <c r="B198" i="6"/>
  <c r="B199" i="6"/>
  <c r="B200" i="6"/>
  <c r="B201" i="6"/>
  <c r="B202" i="6"/>
  <c r="B203" i="6"/>
  <c r="C204" i="6" s="1"/>
  <c r="B193" i="6"/>
  <c r="A191" i="6"/>
  <c r="D148" i="6"/>
  <c r="D149" i="6"/>
  <c r="D150" i="6"/>
  <c r="D151" i="6"/>
  <c r="D152" i="6"/>
  <c r="D153" i="6"/>
  <c r="D154" i="6"/>
  <c r="D155" i="6"/>
  <c r="D156" i="6"/>
  <c r="D157" i="6"/>
  <c r="E163" i="6" s="1"/>
  <c r="D147" i="6"/>
  <c r="E147" i="6" s="1"/>
  <c r="B148" i="6"/>
  <c r="B149" i="6"/>
  <c r="B150" i="6"/>
  <c r="B151" i="6"/>
  <c r="B152" i="6"/>
  <c r="B153" i="6"/>
  <c r="B154" i="6"/>
  <c r="B155" i="6"/>
  <c r="B156" i="6"/>
  <c r="B157" i="6"/>
  <c r="C164" i="6" s="1"/>
  <c r="B147" i="6"/>
  <c r="A138" i="6"/>
  <c r="D122" i="6"/>
  <c r="D123" i="6"/>
  <c r="D124" i="6"/>
  <c r="D125" i="6"/>
  <c r="D126" i="6"/>
  <c r="D127" i="6"/>
  <c r="D128" i="6"/>
  <c r="D129" i="6"/>
  <c r="D130" i="6"/>
  <c r="D131" i="6"/>
  <c r="D121" i="6"/>
  <c r="E121" i="6" s="1"/>
  <c r="B122" i="6"/>
  <c r="B123" i="6"/>
  <c r="B124" i="6"/>
  <c r="B125" i="6"/>
  <c r="B126" i="6"/>
  <c r="B127" i="6"/>
  <c r="B128" i="6"/>
  <c r="B129" i="6"/>
  <c r="B130" i="6"/>
  <c r="B131" i="6"/>
  <c r="B121" i="6"/>
  <c r="A113" i="6"/>
  <c r="D97" i="6"/>
  <c r="D98" i="6"/>
  <c r="D99" i="6"/>
  <c r="D100" i="6"/>
  <c r="D101" i="6"/>
  <c r="D102" i="6"/>
  <c r="D103" i="6"/>
  <c r="D104" i="6"/>
  <c r="D105" i="6"/>
  <c r="D106" i="6"/>
  <c r="D96" i="6"/>
  <c r="E96" i="6" s="1"/>
  <c r="B97" i="6"/>
  <c r="B98" i="6"/>
  <c r="B99" i="6"/>
  <c r="B100" i="6"/>
  <c r="B101" i="6"/>
  <c r="B102" i="6"/>
  <c r="B103" i="6"/>
  <c r="B104" i="6"/>
  <c r="B105" i="6"/>
  <c r="B106" i="6"/>
  <c r="B96" i="6"/>
  <c r="A88" i="6"/>
  <c r="D72" i="6"/>
  <c r="D73" i="6"/>
  <c r="D74" i="6"/>
  <c r="D75" i="6"/>
  <c r="D76" i="6"/>
  <c r="D77" i="6"/>
  <c r="D78" i="6"/>
  <c r="D79" i="6"/>
  <c r="D80" i="6"/>
  <c r="D81" i="6"/>
  <c r="D71" i="6"/>
  <c r="E71" i="6" s="1"/>
  <c r="B72" i="6"/>
  <c r="B73" i="6"/>
  <c r="B74" i="6"/>
  <c r="B75" i="6"/>
  <c r="B76" i="6"/>
  <c r="B77" i="6"/>
  <c r="B78" i="6"/>
  <c r="B79" i="6"/>
  <c r="B80" i="6"/>
  <c r="B81" i="6"/>
  <c r="B71" i="6"/>
  <c r="B255" i="6"/>
  <c r="D255" i="6"/>
  <c r="B256" i="6"/>
  <c r="D256" i="6"/>
  <c r="B257" i="6"/>
  <c r="D257" i="6"/>
  <c r="B258" i="6"/>
  <c r="D258" i="6"/>
  <c r="B259" i="6"/>
  <c r="D259" i="6"/>
  <c r="B260" i="6"/>
  <c r="D260" i="6"/>
  <c r="B261" i="6"/>
  <c r="D261" i="6"/>
  <c r="B262" i="6"/>
  <c r="D262" i="6"/>
  <c r="B263" i="6"/>
  <c r="D263" i="6"/>
  <c r="D51" i="6"/>
  <c r="D52" i="6"/>
  <c r="D53" i="6"/>
  <c r="D54" i="6"/>
  <c r="D55" i="6"/>
  <c r="D56" i="6"/>
  <c r="D57" i="6"/>
  <c r="D58" i="6"/>
  <c r="D59" i="6"/>
  <c r="D60" i="6"/>
  <c r="D50" i="6"/>
  <c r="E50" i="6" s="1"/>
  <c r="B51" i="6"/>
  <c r="B52" i="6"/>
  <c r="B53" i="6"/>
  <c r="B54" i="6"/>
  <c r="B55" i="6"/>
  <c r="B56" i="6"/>
  <c r="B57" i="6"/>
  <c r="B58" i="6"/>
  <c r="B59" i="6"/>
  <c r="B60" i="6"/>
  <c r="B50" i="6"/>
  <c r="D29" i="6"/>
  <c r="D30" i="6"/>
  <c r="D32" i="6"/>
  <c r="D33" i="6"/>
  <c r="D34" i="6"/>
  <c r="D35" i="6"/>
  <c r="D36" i="6"/>
  <c r="D37" i="6"/>
  <c r="D38" i="6"/>
  <c r="E44" i="6" s="1"/>
  <c r="D28" i="6"/>
  <c r="E28" i="6" s="1"/>
  <c r="B29" i="6"/>
  <c r="B30" i="6"/>
  <c r="B32" i="6"/>
  <c r="B33" i="6"/>
  <c r="B34" i="6"/>
  <c r="B35" i="6"/>
  <c r="B36" i="6"/>
  <c r="B37" i="6"/>
  <c r="B38" i="6"/>
  <c r="B28" i="6"/>
  <c r="D5" i="6"/>
  <c r="D6" i="6"/>
  <c r="D7" i="6"/>
  <c r="D8" i="6"/>
  <c r="D9" i="6"/>
  <c r="D10" i="6"/>
  <c r="D11" i="6"/>
  <c r="D12" i="6"/>
  <c r="D13" i="6"/>
  <c r="D14" i="6"/>
  <c r="D4" i="6"/>
  <c r="B5" i="6"/>
  <c r="B6" i="6"/>
  <c r="B7" i="6"/>
  <c r="B8" i="6"/>
  <c r="B9" i="6"/>
  <c r="B10" i="6"/>
  <c r="B11" i="6"/>
  <c r="B12" i="6"/>
  <c r="B13" i="6"/>
  <c r="B14" i="6"/>
  <c r="B4" i="6"/>
  <c r="B264" i="6"/>
  <c r="B265" i="6"/>
  <c r="C266" i="6" s="1"/>
  <c r="D264" i="6"/>
  <c r="D265" i="6"/>
  <c r="N2" i="5"/>
  <c r="P10" i="5"/>
  <c r="P11" i="5"/>
  <c r="O18" i="5"/>
  <c r="O19" i="5"/>
  <c r="O20" i="5"/>
  <c r="O21" i="5"/>
  <c r="O22" i="5"/>
  <c r="O23" i="5"/>
  <c r="O24" i="5"/>
  <c r="O25" i="5"/>
  <c r="O26" i="5"/>
  <c r="O27" i="5"/>
  <c r="O17" i="5"/>
  <c r="N11" i="5"/>
  <c r="N12" i="5"/>
  <c r="L27" i="5" s="1"/>
  <c r="L26" i="5"/>
  <c r="N10" i="5"/>
  <c r="K25" i="5" s="1"/>
  <c r="N9" i="5"/>
  <c r="L24" i="5" s="1"/>
  <c r="N8" i="5"/>
  <c r="J23" i="5" s="1"/>
  <c r="N7" i="5"/>
  <c r="K22" i="5" s="1"/>
  <c r="N6" i="5"/>
  <c r="L21" i="5" s="1"/>
  <c r="N5" i="5"/>
  <c r="K20" i="5" s="1"/>
  <c r="N4" i="5"/>
  <c r="C19" i="5" s="1"/>
  <c r="N19" i="5" s="1"/>
  <c r="N3" i="5"/>
  <c r="C18" i="5" s="1"/>
  <c r="N18" i="5" s="1"/>
  <c r="F27" i="3"/>
  <c r="M21" i="3"/>
  <c r="M22" i="3"/>
  <c r="M23" i="3"/>
  <c r="M24" i="3"/>
  <c r="M25" i="3"/>
  <c r="M26" i="3"/>
  <c r="M20" i="3"/>
  <c r="L21" i="3"/>
  <c r="L22" i="3"/>
  <c r="L23" i="3"/>
  <c r="L24" i="3"/>
  <c r="L25" i="3"/>
  <c r="L26" i="3"/>
  <c r="L20" i="3"/>
  <c r="N20" i="3" s="1"/>
  <c r="K21" i="3"/>
  <c r="K22" i="3"/>
  <c r="K23" i="3"/>
  <c r="K24" i="3"/>
  <c r="K25" i="3"/>
  <c r="K26" i="3"/>
  <c r="K20" i="3"/>
  <c r="J23" i="3"/>
  <c r="J24" i="3"/>
  <c r="J25" i="3"/>
  <c r="J26" i="3"/>
  <c r="J22" i="3"/>
  <c r="H26" i="3"/>
  <c r="G26" i="3"/>
  <c r="G25" i="3"/>
  <c r="F22" i="3"/>
  <c r="F23" i="3"/>
  <c r="F24" i="3"/>
  <c r="F25" i="3"/>
  <c r="F26" i="3"/>
  <c r="F21" i="3"/>
  <c r="E22" i="3"/>
  <c r="E23" i="3"/>
  <c r="E24" i="3"/>
  <c r="E25" i="3"/>
  <c r="E26" i="3"/>
  <c r="E21" i="3"/>
  <c r="D21" i="3"/>
  <c r="D22" i="3"/>
  <c r="D23" i="3"/>
  <c r="D24" i="3"/>
  <c r="D25" i="3"/>
  <c r="D26" i="3"/>
  <c r="D20" i="3"/>
  <c r="C19" i="3"/>
  <c r="N19" i="3" s="1"/>
  <c r="C20" i="3"/>
  <c r="C21" i="3"/>
  <c r="C22" i="3"/>
  <c r="C23" i="3"/>
  <c r="C24" i="3"/>
  <c r="C25" i="3"/>
  <c r="C26" i="3"/>
  <c r="C18" i="3"/>
  <c r="N18" i="3" s="1"/>
  <c r="C17" i="3"/>
  <c r="N17" i="3" s="1"/>
  <c r="P84" i="12" l="1"/>
  <c r="N50" i="12"/>
  <c r="L51" i="12"/>
  <c r="P50" i="12"/>
  <c r="P70" i="12"/>
  <c r="N70" i="12"/>
  <c r="L71" i="12"/>
  <c r="N44" i="12"/>
  <c r="P44" i="12"/>
  <c r="L45" i="12"/>
  <c r="L94" i="12"/>
  <c r="P93" i="12"/>
  <c r="N93" i="12"/>
  <c r="P14" i="12"/>
  <c r="N14" i="12"/>
  <c r="L15" i="12"/>
  <c r="L98" i="12"/>
  <c r="N97" i="12"/>
  <c r="P97" i="12"/>
  <c r="L80" i="12"/>
  <c r="N79" i="12"/>
  <c r="N5" i="12"/>
  <c r="L6" i="12"/>
  <c r="P5" i="12"/>
  <c r="P111" i="12"/>
  <c r="N111" i="12"/>
  <c r="L88" i="12"/>
  <c r="P87" i="12"/>
  <c r="N87" i="12"/>
  <c r="P113" i="12"/>
  <c r="N113" i="12"/>
  <c r="P102" i="12"/>
  <c r="L103" i="12"/>
  <c r="L104" i="12" s="1"/>
  <c r="P106" i="12"/>
  <c r="L107" i="12"/>
  <c r="P110" i="12"/>
  <c r="N110" i="12"/>
  <c r="N102" i="12"/>
  <c r="N106" i="12"/>
  <c r="L38" i="12"/>
  <c r="L39" i="12" s="1"/>
  <c r="P37" i="12"/>
  <c r="N37" i="12"/>
  <c r="P63" i="12"/>
  <c r="N63" i="12"/>
  <c r="L64" i="12"/>
  <c r="L65" i="12" s="1"/>
  <c r="P13" i="12"/>
  <c r="N13" i="12"/>
  <c r="H180" i="6"/>
  <c r="G180" i="6"/>
  <c r="G178" i="6"/>
  <c r="H178" i="6"/>
  <c r="H184" i="6"/>
  <c r="G190" i="6"/>
  <c r="G184" i="6"/>
  <c r="G181" i="6"/>
  <c r="C185" i="6"/>
  <c r="D185" i="6"/>
  <c r="E185" i="6" s="1"/>
  <c r="H176" i="6"/>
  <c r="G176" i="6"/>
  <c r="G179" i="6"/>
  <c r="G182" i="6"/>
  <c r="H182" i="6"/>
  <c r="G174" i="6"/>
  <c r="H174" i="6"/>
  <c r="G183" i="6"/>
  <c r="G177" i="6"/>
  <c r="G175" i="6"/>
  <c r="C242" i="6"/>
  <c r="D242" i="6"/>
  <c r="I242" i="6"/>
  <c r="K242" i="6" s="1"/>
  <c r="B243" i="6"/>
  <c r="C158" i="6"/>
  <c r="D158" i="6"/>
  <c r="E209" i="6"/>
  <c r="E204" i="6"/>
  <c r="E271" i="6"/>
  <c r="E266" i="6"/>
  <c r="C132" i="6"/>
  <c r="D132" i="6"/>
  <c r="E132" i="6" s="1"/>
  <c r="C81" i="6"/>
  <c r="H270" i="6"/>
  <c r="G270" i="6"/>
  <c r="F280" i="6"/>
  <c r="H280" i="6" s="1"/>
  <c r="F276" i="6"/>
  <c r="E285" i="6"/>
  <c r="E281" i="6"/>
  <c r="E280" i="6"/>
  <c r="E277" i="6"/>
  <c r="F281" i="6"/>
  <c r="H281" i="6" s="1"/>
  <c r="E58" i="6"/>
  <c r="E54" i="6"/>
  <c r="F261" i="6"/>
  <c r="H261" i="6" s="1"/>
  <c r="E75" i="6"/>
  <c r="E103" i="6"/>
  <c r="E282" i="6"/>
  <c r="E278" i="6"/>
  <c r="F283" i="6"/>
  <c r="H283" i="6" s="1"/>
  <c r="E126" i="6"/>
  <c r="E157" i="6"/>
  <c r="E154" i="6"/>
  <c r="E150" i="6"/>
  <c r="E221" i="6"/>
  <c r="E217" i="6"/>
  <c r="E213" i="6"/>
  <c r="E239" i="6"/>
  <c r="E235" i="6"/>
  <c r="I212" i="6"/>
  <c r="K212" i="6" s="1"/>
  <c r="I215" i="6"/>
  <c r="K215" i="6" s="1"/>
  <c r="E153" i="6"/>
  <c r="E149" i="6"/>
  <c r="E198" i="6"/>
  <c r="F194" i="6"/>
  <c r="H194" i="6" s="1"/>
  <c r="E220" i="6"/>
  <c r="E216" i="6"/>
  <c r="E238" i="6"/>
  <c r="E234" i="6"/>
  <c r="I13" i="6"/>
  <c r="K13" i="6" s="1"/>
  <c r="I9" i="6"/>
  <c r="K9" i="6" s="1"/>
  <c r="I28" i="6"/>
  <c r="K28" i="6" s="1"/>
  <c r="I31" i="6"/>
  <c r="K31" i="6" s="1"/>
  <c r="E257" i="6"/>
  <c r="I104" i="6"/>
  <c r="K104" i="6" s="1"/>
  <c r="I100" i="6"/>
  <c r="K100" i="6" s="1"/>
  <c r="F275" i="6"/>
  <c r="F279" i="6"/>
  <c r="I285" i="6"/>
  <c r="J285" i="6" s="1"/>
  <c r="F285" i="6"/>
  <c r="I277" i="6"/>
  <c r="J277" i="6" s="1"/>
  <c r="F277" i="6"/>
  <c r="I14" i="6"/>
  <c r="K14" i="6" s="1"/>
  <c r="I60" i="6"/>
  <c r="K60" i="6" s="1"/>
  <c r="I56" i="6"/>
  <c r="K56" i="6" s="1"/>
  <c r="I52" i="6"/>
  <c r="K52" i="6" s="1"/>
  <c r="I262" i="6"/>
  <c r="K262" i="6" s="1"/>
  <c r="I260" i="6"/>
  <c r="K260" i="6" s="1"/>
  <c r="I258" i="6"/>
  <c r="K258" i="6" s="1"/>
  <c r="I81" i="6"/>
  <c r="K81" i="6" s="1"/>
  <c r="I77" i="6"/>
  <c r="K77" i="6" s="1"/>
  <c r="I73" i="6"/>
  <c r="K73" i="6" s="1"/>
  <c r="I101" i="6"/>
  <c r="K101" i="6" s="1"/>
  <c r="I97" i="6"/>
  <c r="K97" i="6" s="1"/>
  <c r="F126" i="6"/>
  <c r="H126" i="6" s="1"/>
  <c r="I193" i="6"/>
  <c r="K193" i="6" s="1"/>
  <c r="I200" i="6"/>
  <c r="K200" i="6" s="1"/>
  <c r="I196" i="6"/>
  <c r="K196" i="6" s="1"/>
  <c r="I218" i="6"/>
  <c r="K218" i="6" s="1"/>
  <c r="I232" i="6"/>
  <c r="K232" i="6" s="1"/>
  <c r="C284" i="6"/>
  <c r="I265" i="6"/>
  <c r="K265" i="6" s="1"/>
  <c r="I5" i="6"/>
  <c r="K5" i="6" s="1"/>
  <c r="I35" i="6"/>
  <c r="E37" i="6"/>
  <c r="E33" i="6"/>
  <c r="E57" i="6"/>
  <c r="E53" i="6"/>
  <c r="E78" i="6"/>
  <c r="E74" i="6"/>
  <c r="E106" i="6"/>
  <c r="E102" i="6"/>
  <c r="E131" i="6"/>
  <c r="F127" i="6"/>
  <c r="H127" i="6" s="1"/>
  <c r="F123" i="6"/>
  <c r="H123" i="6" s="1"/>
  <c r="F156" i="6"/>
  <c r="H156" i="6" s="1"/>
  <c r="F282" i="6"/>
  <c r="H282" i="6" s="1"/>
  <c r="F278" i="6"/>
  <c r="C129" i="6"/>
  <c r="I129" i="6"/>
  <c r="K129" i="6" s="1"/>
  <c r="C125" i="6"/>
  <c r="I125" i="6"/>
  <c r="K125" i="6" s="1"/>
  <c r="C222" i="6"/>
  <c r="I222" i="6"/>
  <c r="K222" i="6" s="1"/>
  <c r="C214" i="6"/>
  <c r="I214" i="6"/>
  <c r="K214" i="6" s="1"/>
  <c r="C240" i="6"/>
  <c r="I240" i="6"/>
  <c r="K240" i="6" s="1"/>
  <c r="C236" i="6"/>
  <c r="I236" i="6"/>
  <c r="K236" i="6" s="1"/>
  <c r="I283" i="6"/>
  <c r="J283" i="6" s="1"/>
  <c r="I12" i="6"/>
  <c r="K12" i="6" s="1"/>
  <c r="I8" i="6"/>
  <c r="K8" i="6" s="1"/>
  <c r="C44" i="6"/>
  <c r="I38" i="6"/>
  <c r="K38" i="6" s="1"/>
  <c r="C34" i="6"/>
  <c r="I34" i="6"/>
  <c r="K34" i="6" s="1"/>
  <c r="C30" i="6"/>
  <c r="I30" i="6"/>
  <c r="K30" i="6" s="1"/>
  <c r="I58" i="6"/>
  <c r="K58" i="6" s="1"/>
  <c r="I54" i="6"/>
  <c r="K54" i="6" s="1"/>
  <c r="I99" i="6"/>
  <c r="K99" i="6" s="1"/>
  <c r="C121" i="6"/>
  <c r="I121" i="6"/>
  <c r="K121" i="6" s="1"/>
  <c r="I154" i="6"/>
  <c r="K154" i="6" s="1"/>
  <c r="I150" i="6"/>
  <c r="K150" i="6" s="1"/>
  <c r="C199" i="6"/>
  <c r="I199" i="6"/>
  <c r="K199" i="6" s="1"/>
  <c r="I213" i="6"/>
  <c r="K213" i="6" s="1"/>
  <c r="F4" i="6"/>
  <c r="H4" i="6" s="1"/>
  <c r="I4" i="6"/>
  <c r="K4" i="6" s="1"/>
  <c r="I11" i="6"/>
  <c r="K11" i="6" s="1"/>
  <c r="I7" i="6"/>
  <c r="K7" i="6" s="1"/>
  <c r="I37" i="6"/>
  <c r="I33" i="6"/>
  <c r="K33" i="6" s="1"/>
  <c r="I29" i="6"/>
  <c r="K29" i="6" s="1"/>
  <c r="E36" i="6"/>
  <c r="C50" i="6"/>
  <c r="I50" i="6"/>
  <c r="K50" i="6" s="1"/>
  <c r="I57" i="6"/>
  <c r="K57" i="6" s="1"/>
  <c r="I53" i="6"/>
  <c r="K53" i="6" s="1"/>
  <c r="I71" i="6"/>
  <c r="K71" i="6" s="1"/>
  <c r="I78" i="6"/>
  <c r="K78" i="6" s="1"/>
  <c r="I74" i="6"/>
  <c r="K74" i="6" s="1"/>
  <c r="I106" i="6"/>
  <c r="K106" i="6" s="1"/>
  <c r="I102" i="6"/>
  <c r="K102" i="6" s="1"/>
  <c r="I98" i="6"/>
  <c r="K98" i="6" s="1"/>
  <c r="I131" i="6"/>
  <c r="K131" i="6" s="1"/>
  <c r="I127" i="6"/>
  <c r="K127" i="6" s="1"/>
  <c r="I123" i="6"/>
  <c r="K123" i="6" s="1"/>
  <c r="I157" i="6"/>
  <c r="K157" i="6" s="1"/>
  <c r="I153" i="6"/>
  <c r="K153" i="6" s="1"/>
  <c r="I149" i="6"/>
  <c r="K149" i="6" s="1"/>
  <c r="I202" i="6"/>
  <c r="K202" i="6" s="1"/>
  <c r="I198" i="6"/>
  <c r="K198" i="6" s="1"/>
  <c r="I194" i="6"/>
  <c r="K194" i="6" s="1"/>
  <c r="I220" i="6"/>
  <c r="K220" i="6" s="1"/>
  <c r="I216" i="6"/>
  <c r="K216" i="6" s="1"/>
  <c r="I231" i="6"/>
  <c r="K231" i="6" s="1"/>
  <c r="I238" i="6"/>
  <c r="K238" i="6" s="1"/>
  <c r="I234" i="6"/>
  <c r="K234" i="6" s="1"/>
  <c r="I275" i="6"/>
  <c r="J275" i="6" s="1"/>
  <c r="I279" i="6"/>
  <c r="J279" i="6" s="1"/>
  <c r="C59" i="6"/>
  <c r="I59" i="6"/>
  <c r="K59" i="6" s="1"/>
  <c r="C55" i="6"/>
  <c r="I55" i="6"/>
  <c r="K55" i="6" s="1"/>
  <c r="C51" i="6"/>
  <c r="I51" i="6"/>
  <c r="K51" i="6" s="1"/>
  <c r="C80" i="6"/>
  <c r="I80" i="6"/>
  <c r="K80" i="6" s="1"/>
  <c r="C76" i="6"/>
  <c r="I76" i="6"/>
  <c r="K76" i="6" s="1"/>
  <c r="C72" i="6"/>
  <c r="I72" i="6"/>
  <c r="K72" i="6" s="1"/>
  <c r="C155" i="6"/>
  <c r="I155" i="6"/>
  <c r="K155" i="6" s="1"/>
  <c r="C151" i="6"/>
  <c r="I151" i="6"/>
  <c r="K151" i="6" s="1"/>
  <c r="I281" i="6"/>
  <c r="J281" i="6" s="1"/>
  <c r="C264" i="6"/>
  <c r="I264" i="6"/>
  <c r="K264" i="6" s="1"/>
  <c r="I263" i="6"/>
  <c r="K263" i="6" s="1"/>
  <c r="I261" i="6"/>
  <c r="K261" i="6" s="1"/>
  <c r="I259" i="6"/>
  <c r="K259" i="6" s="1"/>
  <c r="I257" i="6"/>
  <c r="K257" i="6" s="1"/>
  <c r="C255" i="6"/>
  <c r="I255" i="6"/>
  <c r="K255" i="6" s="1"/>
  <c r="C79" i="6"/>
  <c r="I79" i="6"/>
  <c r="K79" i="6" s="1"/>
  <c r="C75" i="6"/>
  <c r="I75" i="6"/>
  <c r="K75" i="6" s="1"/>
  <c r="I96" i="6"/>
  <c r="K96" i="6" s="1"/>
  <c r="C103" i="6"/>
  <c r="I103" i="6"/>
  <c r="K103" i="6" s="1"/>
  <c r="C128" i="6"/>
  <c r="I128" i="6"/>
  <c r="K128" i="6" s="1"/>
  <c r="C124" i="6"/>
  <c r="I124" i="6"/>
  <c r="K124" i="6" s="1"/>
  <c r="C147" i="6"/>
  <c r="I147" i="6"/>
  <c r="K147" i="6" s="1"/>
  <c r="C203" i="6"/>
  <c r="I203" i="6"/>
  <c r="K203" i="6" s="1"/>
  <c r="C195" i="6"/>
  <c r="I195" i="6"/>
  <c r="K195" i="6" s="1"/>
  <c r="C221" i="6"/>
  <c r="I221" i="6"/>
  <c r="K221" i="6" s="1"/>
  <c r="C217" i="6"/>
  <c r="I217" i="6"/>
  <c r="K217" i="6" s="1"/>
  <c r="I239" i="6"/>
  <c r="K239" i="6" s="1"/>
  <c r="I235" i="6"/>
  <c r="K235" i="6" s="1"/>
  <c r="I280" i="6"/>
  <c r="J280" i="6" s="1"/>
  <c r="I276" i="6"/>
  <c r="J276" i="6" s="1"/>
  <c r="F10" i="6"/>
  <c r="H10" i="6" s="1"/>
  <c r="I10" i="6"/>
  <c r="K10" i="6" s="1"/>
  <c r="F6" i="6"/>
  <c r="I6" i="6"/>
  <c r="K6" i="6" s="1"/>
  <c r="E13" i="6"/>
  <c r="E9" i="6"/>
  <c r="C36" i="6"/>
  <c r="I36" i="6"/>
  <c r="C32" i="6"/>
  <c r="I32" i="6"/>
  <c r="K32" i="6" s="1"/>
  <c r="E35" i="6"/>
  <c r="E31" i="6"/>
  <c r="F256" i="6"/>
  <c r="H256" i="6" s="1"/>
  <c r="I256" i="6"/>
  <c r="K256" i="6" s="1"/>
  <c r="E72" i="6"/>
  <c r="C105" i="6"/>
  <c r="I105" i="6"/>
  <c r="K105" i="6" s="1"/>
  <c r="E104" i="6"/>
  <c r="E100" i="6"/>
  <c r="I130" i="6"/>
  <c r="K130" i="6" s="1"/>
  <c r="I126" i="6"/>
  <c r="K126" i="6" s="1"/>
  <c r="I122" i="6"/>
  <c r="K122" i="6" s="1"/>
  <c r="I156" i="6"/>
  <c r="K156" i="6" s="1"/>
  <c r="C153" i="6"/>
  <c r="I152" i="6"/>
  <c r="K152" i="6" s="1"/>
  <c r="F148" i="6"/>
  <c r="H148" i="6" s="1"/>
  <c r="I148" i="6"/>
  <c r="K148" i="6" s="1"/>
  <c r="E155" i="6"/>
  <c r="E151" i="6"/>
  <c r="I201" i="6"/>
  <c r="K201" i="6" s="1"/>
  <c r="I197" i="6"/>
  <c r="K197" i="6" s="1"/>
  <c r="E200" i="6"/>
  <c r="E196" i="6"/>
  <c r="C219" i="6"/>
  <c r="I219" i="6"/>
  <c r="K219" i="6" s="1"/>
  <c r="E222" i="6"/>
  <c r="E218" i="6"/>
  <c r="C241" i="6"/>
  <c r="I241" i="6"/>
  <c r="K241" i="6" s="1"/>
  <c r="C237" i="6"/>
  <c r="I237" i="6"/>
  <c r="K237" i="6" s="1"/>
  <c r="C233" i="6"/>
  <c r="I233" i="6"/>
  <c r="K233" i="6" s="1"/>
  <c r="F240" i="6"/>
  <c r="H240" i="6" s="1"/>
  <c r="F232" i="6"/>
  <c r="H232" i="6" s="1"/>
  <c r="I282" i="6"/>
  <c r="J282" i="6" s="1"/>
  <c r="I278" i="6"/>
  <c r="J278" i="6" s="1"/>
  <c r="I284" i="6"/>
  <c r="J284" i="6" s="1"/>
  <c r="F193" i="6"/>
  <c r="C12" i="6"/>
  <c r="F12" i="6"/>
  <c r="F96" i="6"/>
  <c r="F202" i="6"/>
  <c r="E202" i="6"/>
  <c r="E240" i="6"/>
  <c r="E276" i="6"/>
  <c r="E279" i="6"/>
  <c r="C20" i="6"/>
  <c r="F14" i="6"/>
  <c r="F236" i="6"/>
  <c r="E236" i="6"/>
  <c r="E232" i="6"/>
  <c r="C278" i="6"/>
  <c r="F13" i="6"/>
  <c r="F9" i="6"/>
  <c r="H9" i="6" s="1"/>
  <c r="F5" i="6"/>
  <c r="C201" i="6"/>
  <c r="C197" i="6"/>
  <c r="C8" i="6"/>
  <c r="F8" i="6"/>
  <c r="H8" i="6" s="1"/>
  <c r="E29" i="6"/>
  <c r="C263" i="6"/>
  <c r="C261" i="6"/>
  <c r="C11" i="6"/>
  <c r="F11" i="6"/>
  <c r="H11" i="6" s="1"/>
  <c r="C7" i="6"/>
  <c r="F7" i="6"/>
  <c r="E10" i="6"/>
  <c r="C37" i="6"/>
  <c r="C33" i="6"/>
  <c r="C29" i="6"/>
  <c r="E32" i="6"/>
  <c r="E60" i="6"/>
  <c r="E66" i="6"/>
  <c r="E56" i="6"/>
  <c r="E52" i="6"/>
  <c r="E81" i="6"/>
  <c r="E77" i="6"/>
  <c r="E73" i="6"/>
  <c r="C106" i="6"/>
  <c r="C98" i="6"/>
  <c r="E105" i="6"/>
  <c r="E101" i="6"/>
  <c r="E97" i="6"/>
  <c r="C131" i="6"/>
  <c r="C127" i="6"/>
  <c r="C123" i="6"/>
  <c r="F130" i="6"/>
  <c r="E130" i="6"/>
  <c r="C277" i="6"/>
  <c r="C285" i="6"/>
  <c r="F157" i="6"/>
  <c r="H157" i="6" s="1"/>
  <c r="F153" i="6"/>
  <c r="F149" i="6"/>
  <c r="E156" i="6"/>
  <c r="E152" i="6"/>
  <c r="E148" i="6"/>
  <c r="C202" i="6"/>
  <c r="C198" i="6"/>
  <c r="C194" i="6"/>
  <c r="E201" i="6"/>
  <c r="E197" i="6"/>
  <c r="F231" i="6"/>
  <c r="E237" i="6"/>
  <c r="E233" i="6"/>
  <c r="P3" i="5"/>
  <c r="E5" i="6"/>
  <c r="E6" i="6"/>
  <c r="N23" i="3"/>
  <c r="N26" i="3"/>
  <c r="N22" i="3"/>
  <c r="N21" i="3"/>
  <c r="C157" i="6"/>
  <c r="C137" i="6"/>
  <c r="H27" i="3"/>
  <c r="D27" i="3"/>
  <c r="E27" i="3"/>
  <c r="J27" i="3"/>
  <c r="C27" i="3"/>
  <c r="G27" i="3"/>
  <c r="I27" i="3"/>
  <c r="K27" i="3"/>
  <c r="L27" i="3"/>
  <c r="M27" i="3"/>
  <c r="E283" i="6"/>
  <c r="E284" i="6"/>
  <c r="C276" i="6"/>
  <c r="C279" i="6"/>
  <c r="C280" i="6"/>
  <c r="C281" i="6"/>
  <c r="C282" i="6"/>
  <c r="C283" i="6"/>
  <c r="E11" i="6"/>
  <c r="E12" i="6"/>
  <c r="E7" i="6"/>
  <c r="E8" i="6"/>
  <c r="F263" i="6"/>
  <c r="E264" i="6"/>
  <c r="E263" i="6"/>
  <c r="E260" i="6"/>
  <c r="E259" i="6"/>
  <c r="F255" i="6"/>
  <c r="E256" i="6"/>
  <c r="E255" i="6"/>
  <c r="F79" i="6"/>
  <c r="E79" i="6"/>
  <c r="E214" i="6"/>
  <c r="F214" i="6"/>
  <c r="E219" i="6"/>
  <c r="E122" i="6"/>
  <c r="E80" i="6"/>
  <c r="E129" i="6"/>
  <c r="E128" i="6"/>
  <c r="E125" i="6"/>
  <c r="E124" i="6"/>
  <c r="E14" i="6"/>
  <c r="E20" i="6"/>
  <c r="F51" i="6"/>
  <c r="C99" i="6"/>
  <c r="F99" i="6"/>
  <c r="F98" i="6"/>
  <c r="E98" i="6"/>
  <c r="E265" i="6"/>
  <c r="E215" i="6"/>
  <c r="E99" i="6"/>
  <c r="E76" i="6"/>
  <c r="E262" i="6"/>
  <c r="E258" i="6"/>
  <c r="E261" i="6"/>
  <c r="E194" i="6"/>
  <c r="E38" i="6"/>
  <c r="E34" i="6"/>
  <c r="E30" i="6"/>
  <c r="E59" i="6"/>
  <c r="E55" i="6"/>
  <c r="E51" i="6"/>
  <c r="C258" i="6"/>
  <c r="F258" i="6"/>
  <c r="C87" i="6"/>
  <c r="E241" i="6"/>
  <c r="E247" i="6"/>
  <c r="E228" i="6"/>
  <c r="E112" i="6"/>
  <c r="F222" i="6"/>
  <c r="F218" i="6"/>
  <c r="C218" i="6"/>
  <c r="F264" i="6"/>
  <c r="C54" i="6"/>
  <c r="F257" i="6"/>
  <c r="F105" i="6"/>
  <c r="F101" i="6"/>
  <c r="C154" i="6"/>
  <c r="C150" i="6"/>
  <c r="F221" i="6"/>
  <c r="C213" i="6"/>
  <c r="C232" i="6"/>
  <c r="C101" i="6"/>
  <c r="E137" i="6"/>
  <c r="E87" i="6"/>
  <c r="C58" i="6"/>
  <c r="F97" i="6"/>
  <c r="C265" i="6"/>
  <c r="C14" i="6"/>
  <c r="C10" i="6"/>
  <c r="C5" i="6"/>
  <c r="F28" i="6"/>
  <c r="F35" i="6"/>
  <c r="C31" i="6"/>
  <c r="F38" i="6"/>
  <c r="F34" i="6"/>
  <c r="F30" i="6"/>
  <c r="C60" i="6"/>
  <c r="C56" i="6"/>
  <c r="C260" i="6"/>
  <c r="F71" i="6"/>
  <c r="C78" i="6"/>
  <c r="F74" i="6"/>
  <c r="C104" i="6"/>
  <c r="C100" i="6"/>
  <c r="C130" i="6"/>
  <c r="C126" i="6"/>
  <c r="F122" i="6"/>
  <c r="F147" i="6"/>
  <c r="F203" i="6"/>
  <c r="G204" i="6" s="1"/>
  <c r="F199" i="6"/>
  <c r="F195" i="6"/>
  <c r="C220" i="6"/>
  <c r="C216" i="6"/>
  <c r="C239" i="6"/>
  <c r="C235" i="6"/>
  <c r="E203" i="6"/>
  <c r="E199" i="6"/>
  <c r="E195" i="6"/>
  <c r="E127" i="6"/>
  <c r="E123" i="6"/>
  <c r="C247" i="6"/>
  <c r="C238" i="6"/>
  <c r="C234" i="6"/>
  <c r="C259" i="6"/>
  <c r="F52" i="6"/>
  <c r="F262" i="6"/>
  <c r="F77" i="6"/>
  <c r="F73" i="6"/>
  <c r="F103" i="6"/>
  <c r="F102" i="6"/>
  <c r="F196" i="6"/>
  <c r="F212" i="6"/>
  <c r="F215" i="6"/>
  <c r="C13" i="6"/>
  <c r="C9" i="6"/>
  <c r="C38" i="6"/>
  <c r="C66" i="6"/>
  <c r="C57" i="6"/>
  <c r="C53" i="6"/>
  <c r="C77" i="6"/>
  <c r="C73" i="6"/>
  <c r="C96" i="6"/>
  <c r="C200" i="6"/>
  <c r="C196" i="6"/>
  <c r="C156" i="6"/>
  <c r="C152" i="6"/>
  <c r="C209" i="6"/>
  <c r="C262" i="6"/>
  <c r="F121" i="6"/>
  <c r="F217" i="6"/>
  <c r="F213" i="6"/>
  <c r="C52" i="6"/>
  <c r="C122" i="6"/>
  <c r="C112" i="6"/>
  <c r="C212" i="6"/>
  <c r="C257" i="6"/>
  <c r="C6" i="6"/>
  <c r="C35" i="6"/>
  <c r="C74" i="6"/>
  <c r="C97" i="6"/>
  <c r="C148" i="6"/>
  <c r="C193" i="6"/>
  <c r="F265" i="6"/>
  <c r="G266" i="6" s="1"/>
  <c r="F59" i="6"/>
  <c r="F57" i="6"/>
  <c r="F53" i="6"/>
  <c r="F259" i="6"/>
  <c r="F128" i="6"/>
  <c r="F124" i="6"/>
  <c r="F152" i="6"/>
  <c r="F241" i="6"/>
  <c r="F237" i="6"/>
  <c r="F233" i="6"/>
  <c r="C28" i="6"/>
  <c r="C71" i="6"/>
  <c r="C102" i="6"/>
  <c r="C149" i="6"/>
  <c r="C163" i="6"/>
  <c r="C228" i="6"/>
  <c r="C215" i="6"/>
  <c r="C231" i="6"/>
  <c r="C256" i="6"/>
  <c r="F37" i="6"/>
  <c r="F33" i="6"/>
  <c r="F29" i="6"/>
  <c r="F50" i="6"/>
  <c r="F80" i="6"/>
  <c r="F72" i="6"/>
  <c r="F75" i="6"/>
  <c r="F131" i="6"/>
  <c r="F198" i="6"/>
  <c r="F55" i="6"/>
  <c r="F78" i="6"/>
  <c r="F106" i="6"/>
  <c r="F154" i="6"/>
  <c r="F150" i="6"/>
  <c r="F219" i="6"/>
  <c r="F31" i="6"/>
  <c r="F260" i="6"/>
  <c r="F81" i="6"/>
  <c r="F200" i="6"/>
  <c r="F238" i="6"/>
  <c r="F234" i="6"/>
  <c r="F60" i="6"/>
  <c r="I27" i="5"/>
  <c r="M27" i="5"/>
  <c r="P12" i="5"/>
  <c r="E27" i="5"/>
  <c r="F56" i="6"/>
  <c r="K23" i="5"/>
  <c r="P8" i="5"/>
  <c r="D23" i="5"/>
  <c r="J24" i="5"/>
  <c r="P9" i="5"/>
  <c r="F24" i="5"/>
  <c r="C24" i="5"/>
  <c r="K24" i="5"/>
  <c r="D24" i="5"/>
  <c r="M24" i="5"/>
  <c r="P6" i="5"/>
  <c r="F76" i="6"/>
  <c r="P7" i="5"/>
  <c r="E21" i="5"/>
  <c r="M21" i="5"/>
  <c r="M20" i="5"/>
  <c r="C20" i="5"/>
  <c r="D20" i="5"/>
  <c r="L20" i="5"/>
  <c r="P5" i="5"/>
  <c r="P4" i="5"/>
  <c r="F239" i="6"/>
  <c r="F235" i="6"/>
  <c r="F220" i="6"/>
  <c r="F216" i="6"/>
  <c r="F201" i="6"/>
  <c r="F197" i="6"/>
  <c r="F155" i="6"/>
  <c r="F151" i="6"/>
  <c r="F129" i="6"/>
  <c r="F125" i="6"/>
  <c r="F104" i="6"/>
  <c r="F100" i="6"/>
  <c r="F58" i="6"/>
  <c r="F54" i="6"/>
  <c r="F36" i="6"/>
  <c r="F32" i="6"/>
  <c r="C17" i="5"/>
  <c r="N17" i="5" s="1"/>
  <c r="P2" i="5"/>
  <c r="F25" i="5"/>
  <c r="L25" i="5"/>
  <c r="D26" i="5"/>
  <c r="F21" i="5"/>
  <c r="F22" i="5"/>
  <c r="M22" i="5"/>
  <c r="E23" i="5"/>
  <c r="L23" i="5"/>
  <c r="C25" i="5"/>
  <c r="G25" i="5"/>
  <c r="M25" i="5"/>
  <c r="E26" i="5"/>
  <c r="J26" i="5"/>
  <c r="F27" i="5"/>
  <c r="J27" i="5"/>
  <c r="C21" i="5"/>
  <c r="K21" i="5"/>
  <c r="C22" i="5"/>
  <c r="J22" i="5"/>
  <c r="F23" i="5"/>
  <c r="M23" i="5"/>
  <c r="E24" i="5"/>
  <c r="D25" i="5"/>
  <c r="J25" i="5"/>
  <c r="F26" i="5"/>
  <c r="K26" i="5"/>
  <c r="C27" i="5"/>
  <c r="G27" i="5"/>
  <c r="K27" i="5"/>
  <c r="E22" i="5"/>
  <c r="L22" i="5"/>
  <c r="H26" i="5"/>
  <c r="M26" i="5"/>
  <c r="D21" i="5"/>
  <c r="D22" i="5"/>
  <c r="C23" i="5"/>
  <c r="E25" i="5"/>
  <c r="C26" i="5"/>
  <c r="G26" i="5"/>
  <c r="D27" i="5"/>
  <c r="H27" i="5"/>
  <c r="N24" i="3"/>
  <c r="N25" i="3"/>
  <c r="I185" i="6" l="1"/>
  <c r="K185" i="6" s="1"/>
  <c r="F185" i="6"/>
  <c r="N51" i="12"/>
  <c r="P51" i="12"/>
  <c r="P80" i="12"/>
  <c r="N80" i="12"/>
  <c r="P6" i="12"/>
  <c r="N6" i="12"/>
  <c r="L7" i="12"/>
  <c r="P94" i="12"/>
  <c r="L95" i="12"/>
  <c r="N94" i="12"/>
  <c r="N71" i="12"/>
  <c r="P71" i="12"/>
  <c r="N15" i="12"/>
  <c r="P15" i="12"/>
  <c r="L46" i="12"/>
  <c r="P45" i="12"/>
  <c r="N45" i="12"/>
  <c r="N65" i="12"/>
  <c r="P65" i="12"/>
  <c r="L99" i="12"/>
  <c r="N98" i="12"/>
  <c r="P98" i="12"/>
  <c r="N104" i="12"/>
  <c r="P104" i="12"/>
  <c r="L89" i="12"/>
  <c r="N88" i="12"/>
  <c r="P88" i="12"/>
  <c r="P39" i="12"/>
  <c r="N39" i="12"/>
  <c r="P107" i="12"/>
  <c r="N107" i="12"/>
  <c r="N103" i="12"/>
  <c r="P103" i="12"/>
  <c r="N38" i="12"/>
  <c r="P38" i="12"/>
  <c r="P64" i="12"/>
  <c r="N64" i="12"/>
  <c r="D186" i="6"/>
  <c r="E186" i="6" s="1"/>
  <c r="C186" i="6"/>
  <c r="E158" i="6"/>
  <c r="E164" i="6"/>
  <c r="G185" i="6"/>
  <c r="H185" i="6"/>
  <c r="C286" i="6"/>
  <c r="I132" i="6"/>
  <c r="K132" i="6" s="1"/>
  <c r="F132" i="6"/>
  <c r="G132" i="6" s="1"/>
  <c r="G280" i="6"/>
  <c r="I158" i="6"/>
  <c r="K158" i="6" s="1"/>
  <c r="F158" i="6"/>
  <c r="H158" i="6" s="1"/>
  <c r="B225" i="6"/>
  <c r="B288" i="6" s="1"/>
  <c r="D224" i="6"/>
  <c r="I224" i="6" s="1"/>
  <c r="K224" i="6" s="1"/>
  <c r="C224" i="6"/>
  <c r="C83" i="6"/>
  <c r="D83" i="6"/>
  <c r="F83" i="6" s="1"/>
  <c r="D40" i="6"/>
  <c r="C40" i="6"/>
  <c r="C159" i="6"/>
  <c r="D159" i="6"/>
  <c r="F159" i="6" s="1"/>
  <c r="C15" i="6"/>
  <c r="D15" i="6"/>
  <c r="E242" i="6"/>
  <c r="D107" i="6"/>
  <c r="E107" i="6" s="1"/>
  <c r="C107" i="6"/>
  <c r="C133" i="6"/>
  <c r="D133" i="6"/>
  <c r="E133" i="6" s="1"/>
  <c r="D62" i="6"/>
  <c r="F62" i="6" s="1"/>
  <c r="C62" i="6"/>
  <c r="B244" i="6"/>
  <c r="D243" i="6"/>
  <c r="C243" i="6"/>
  <c r="D223" i="6"/>
  <c r="F223" i="6" s="1"/>
  <c r="C223" i="6"/>
  <c r="C84" i="6"/>
  <c r="D84" i="6"/>
  <c r="D16" i="6"/>
  <c r="C16" i="6"/>
  <c r="C108" i="6"/>
  <c r="D108" i="6"/>
  <c r="F108" i="6" s="1"/>
  <c r="C82" i="6"/>
  <c r="D82" i="6"/>
  <c r="E82" i="6" s="1"/>
  <c r="D39" i="6"/>
  <c r="E39" i="6" s="1"/>
  <c r="C39" i="6"/>
  <c r="D61" i="6"/>
  <c r="C61" i="6"/>
  <c r="F242" i="6"/>
  <c r="K35" i="6"/>
  <c r="G232" i="6"/>
  <c r="K36" i="6"/>
  <c r="K37" i="6"/>
  <c r="G163" i="6"/>
  <c r="G157" i="6"/>
  <c r="G240" i="6"/>
  <c r="G279" i="6"/>
  <c r="G127" i="6"/>
  <c r="G194" i="6"/>
  <c r="G256" i="6"/>
  <c r="K276" i="6"/>
  <c r="K277" i="6"/>
  <c r="K279" i="6"/>
  <c r="K281" i="6"/>
  <c r="K280" i="6"/>
  <c r="K275" i="6"/>
  <c r="K285" i="6"/>
  <c r="K278" i="6"/>
  <c r="G148" i="6"/>
  <c r="H277" i="6"/>
  <c r="G277" i="6"/>
  <c r="G281" i="6"/>
  <c r="H284" i="6"/>
  <c r="G284" i="6"/>
  <c r="G283" i="6"/>
  <c r="H233" i="6"/>
  <c r="G233" i="6"/>
  <c r="H124" i="6"/>
  <c r="G124" i="6"/>
  <c r="H122" i="6"/>
  <c r="G122" i="6"/>
  <c r="H264" i="6"/>
  <c r="G264" i="6"/>
  <c r="H196" i="6"/>
  <c r="G196" i="6"/>
  <c r="H195" i="6"/>
  <c r="G195" i="6"/>
  <c r="H34" i="6"/>
  <c r="G34" i="6"/>
  <c r="H221" i="6"/>
  <c r="G221" i="6"/>
  <c r="H105" i="6"/>
  <c r="G105" i="6"/>
  <c r="H99" i="6"/>
  <c r="G99" i="6"/>
  <c r="H214" i="6"/>
  <c r="G214" i="6"/>
  <c r="H36" i="6"/>
  <c r="G36" i="6"/>
  <c r="H104" i="6"/>
  <c r="G104" i="6"/>
  <c r="H155" i="6"/>
  <c r="G155" i="6"/>
  <c r="H220" i="6"/>
  <c r="G220" i="6"/>
  <c r="H76" i="6"/>
  <c r="G76" i="6"/>
  <c r="H56" i="6"/>
  <c r="G56" i="6"/>
  <c r="H200" i="6"/>
  <c r="G200" i="6"/>
  <c r="H219" i="6"/>
  <c r="G219" i="6"/>
  <c r="H78" i="6"/>
  <c r="G78" i="6"/>
  <c r="H72" i="6"/>
  <c r="G72" i="6"/>
  <c r="H33" i="6"/>
  <c r="G33" i="6"/>
  <c r="H237" i="6"/>
  <c r="G237" i="6"/>
  <c r="H128" i="6"/>
  <c r="G128" i="6"/>
  <c r="H59" i="6"/>
  <c r="G59" i="6"/>
  <c r="H217" i="6"/>
  <c r="G217" i="6"/>
  <c r="H102" i="6"/>
  <c r="G102" i="6"/>
  <c r="H262" i="6"/>
  <c r="G262" i="6"/>
  <c r="H199" i="6"/>
  <c r="G199" i="6"/>
  <c r="H74" i="6"/>
  <c r="G74" i="6"/>
  <c r="H97" i="6"/>
  <c r="G97" i="6"/>
  <c r="H149" i="6"/>
  <c r="G149" i="6"/>
  <c r="H130" i="6"/>
  <c r="G130" i="6"/>
  <c r="G13" i="6"/>
  <c r="H236" i="6"/>
  <c r="G236" i="6"/>
  <c r="H96" i="6"/>
  <c r="G96" i="6"/>
  <c r="H54" i="6"/>
  <c r="G54" i="6"/>
  <c r="H125" i="6"/>
  <c r="G125" i="6"/>
  <c r="H197" i="6"/>
  <c r="G197" i="6"/>
  <c r="H235" i="6"/>
  <c r="G235" i="6"/>
  <c r="H150" i="6"/>
  <c r="G150" i="6"/>
  <c r="H55" i="6"/>
  <c r="G55" i="6"/>
  <c r="H198" i="6"/>
  <c r="G198" i="6"/>
  <c r="H80" i="6"/>
  <c r="G80" i="6"/>
  <c r="H37" i="6"/>
  <c r="G37" i="6"/>
  <c r="H259" i="6"/>
  <c r="G259" i="6"/>
  <c r="H121" i="6"/>
  <c r="G121" i="6"/>
  <c r="H215" i="6"/>
  <c r="G215" i="6"/>
  <c r="H103" i="6"/>
  <c r="G103" i="6"/>
  <c r="H52" i="6"/>
  <c r="G52" i="6"/>
  <c r="H203" i="6"/>
  <c r="G203" i="6"/>
  <c r="G209" i="6"/>
  <c r="H218" i="6"/>
  <c r="G218" i="6"/>
  <c r="H258" i="6"/>
  <c r="H51" i="6"/>
  <c r="G51" i="6"/>
  <c r="H255" i="6"/>
  <c r="G255" i="6"/>
  <c r="G282" i="6"/>
  <c r="H153" i="6"/>
  <c r="G153" i="6"/>
  <c r="G8" i="6"/>
  <c r="G126" i="6"/>
  <c r="G12" i="6"/>
  <c r="H12" i="6"/>
  <c r="H58" i="6"/>
  <c r="G58" i="6"/>
  <c r="H129" i="6"/>
  <c r="G129" i="6"/>
  <c r="H201" i="6"/>
  <c r="G201" i="6"/>
  <c r="H239" i="6"/>
  <c r="G239" i="6"/>
  <c r="H234" i="6"/>
  <c r="G234" i="6"/>
  <c r="H260" i="6"/>
  <c r="G260" i="6"/>
  <c r="G261" i="6"/>
  <c r="H154" i="6"/>
  <c r="G154" i="6"/>
  <c r="H7" i="6"/>
  <c r="H50" i="6"/>
  <c r="G50" i="6"/>
  <c r="H152" i="6"/>
  <c r="G152" i="6"/>
  <c r="H53" i="6"/>
  <c r="G53" i="6"/>
  <c r="H13" i="6"/>
  <c r="H212" i="6"/>
  <c r="G212" i="6"/>
  <c r="H73" i="6"/>
  <c r="G73" i="6"/>
  <c r="H147" i="6"/>
  <c r="G147" i="6"/>
  <c r="H71" i="6"/>
  <c r="G71" i="6"/>
  <c r="H30" i="6"/>
  <c r="G30" i="6"/>
  <c r="H35" i="6"/>
  <c r="G35" i="6"/>
  <c r="H101" i="6"/>
  <c r="G101" i="6"/>
  <c r="H98" i="6"/>
  <c r="G98" i="6"/>
  <c r="H79" i="6"/>
  <c r="G79" i="6"/>
  <c r="H263" i="6"/>
  <c r="G263" i="6"/>
  <c r="G123" i="6"/>
  <c r="H32" i="6"/>
  <c r="G32" i="6"/>
  <c r="H100" i="6"/>
  <c r="G100" i="6"/>
  <c r="H151" i="6"/>
  <c r="G151" i="6"/>
  <c r="H216" i="6"/>
  <c r="G216" i="6"/>
  <c r="H238" i="6"/>
  <c r="G238" i="6"/>
  <c r="H31" i="6"/>
  <c r="G31" i="6"/>
  <c r="H75" i="6"/>
  <c r="G75" i="6"/>
  <c r="H29" i="6"/>
  <c r="G29" i="6"/>
  <c r="H57" i="6"/>
  <c r="G57" i="6"/>
  <c r="H213" i="6"/>
  <c r="G213" i="6"/>
  <c r="H77" i="6"/>
  <c r="G77" i="6"/>
  <c r="H28" i="6"/>
  <c r="G28" i="6"/>
  <c r="H231" i="6"/>
  <c r="G231" i="6"/>
  <c r="G11" i="6"/>
  <c r="G9" i="6"/>
  <c r="G156" i="6"/>
  <c r="G10" i="6"/>
  <c r="H202" i="6"/>
  <c r="G202" i="6"/>
  <c r="H193" i="6"/>
  <c r="G193" i="6"/>
  <c r="H5" i="6"/>
  <c r="G5" i="6"/>
  <c r="H6" i="6"/>
  <c r="G7" i="6"/>
  <c r="G6" i="6"/>
  <c r="H257" i="6"/>
  <c r="G257" i="6"/>
  <c r="G258" i="6"/>
  <c r="H222" i="6"/>
  <c r="G222" i="6"/>
  <c r="G228" i="6"/>
  <c r="H131" i="6"/>
  <c r="G131" i="6"/>
  <c r="G137" i="6"/>
  <c r="H106" i="6"/>
  <c r="G106" i="6"/>
  <c r="G112" i="6"/>
  <c r="H81" i="6"/>
  <c r="G81" i="6"/>
  <c r="G87" i="6"/>
  <c r="H60" i="6"/>
  <c r="G60" i="6"/>
  <c r="G66" i="6"/>
  <c r="H38" i="6"/>
  <c r="G38" i="6"/>
  <c r="G44" i="6"/>
  <c r="H14" i="6"/>
  <c r="G20" i="6"/>
  <c r="G14" i="6"/>
  <c r="N27" i="3"/>
  <c r="H241" i="6"/>
  <c r="G241" i="6"/>
  <c r="G247" i="6"/>
  <c r="H265" i="6"/>
  <c r="G265" i="6"/>
  <c r="G271" i="6"/>
  <c r="H279" i="6"/>
  <c r="H285" i="6"/>
  <c r="G285" i="6"/>
  <c r="H278" i="6"/>
  <c r="G278" i="6"/>
  <c r="H275" i="6"/>
  <c r="G275" i="6"/>
  <c r="H276" i="6"/>
  <c r="G276" i="6"/>
  <c r="N27" i="5"/>
  <c r="N24" i="5"/>
  <c r="N20" i="5"/>
  <c r="N21" i="5"/>
  <c r="N22" i="5"/>
  <c r="N26" i="5"/>
  <c r="N23" i="5"/>
  <c r="N25" i="5"/>
  <c r="D14" i="2"/>
  <c r="E14" i="2" s="1"/>
  <c r="F14" i="2" s="1"/>
  <c r="G14" i="2" s="1"/>
  <c r="G17" i="2" s="1"/>
  <c r="I15" i="6" l="1"/>
  <c r="K15" i="6" s="1"/>
  <c r="D286" i="6"/>
  <c r="F84" i="6"/>
  <c r="H84" i="6" s="1"/>
  <c r="N95" i="12"/>
  <c r="P95" i="12"/>
  <c r="N99" i="12"/>
  <c r="P99" i="12"/>
  <c r="N46" i="12"/>
  <c r="P46" i="12"/>
  <c r="P7" i="12"/>
  <c r="N7" i="12"/>
  <c r="P89" i="12"/>
  <c r="N89" i="12"/>
  <c r="G158" i="6"/>
  <c r="G164" i="6"/>
  <c r="C187" i="6"/>
  <c r="D187" i="6"/>
  <c r="E187" i="6" s="1"/>
  <c r="I187" i="6"/>
  <c r="K187" i="6" s="1"/>
  <c r="F186" i="6"/>
  <c r="H132" i="6"/>
  <c r="I186" i="6"/>
  <c r="K186" i="6" s="1"/>
  <c r="E16" i="6"/>
  <c r="I16" i="6"/>
  <c r="K16" i="6" s="1"/>
  <c r="I62" i="6"/>
  <c r="K62" i="6" s="1"/>
  <c r="I133" i="6"/>
  <c r="K133" i="6" s="1"/>
  <c r="F224" i="6"/>
  <c r="G224" i="6" s="1"/>
  <c r="I84" i="6"/>
  <c r="K84" i="6" s="1"/>
  <c r="I61" i="6"/>
  <c r="K61" i="6" s="1"/>
  <c r="E61" i="6"/>
  <c r="D17" i="6"/>
  <c r="F17" i="6" s="1"/>
  <c r="C17" i="6"/>
  <c r="B18" i="6"/>
  <c r="G223" i="6"/>
  <c r="H223" i="6"/>
  <c r="H62" i="6"/>
  <c r="E40" i="6"/>
  <c r="H83" i="6"/>
  <c r="H224" i="6"/>
  <c r="G242" i="6"/>
  <c r="H242" i="6"/>
  <c r="F39" i="6"/>
  <c r="H108" i="6"/>
  <c r="I223" i="6"/>
  <c r="K223" i="6" s="1"/>
  <c r="E223" i="6"/>
  <c r="E243" i="6"/>
  <c r="D287" i="6"/>
  <c r="I287" i="6" s="1"/>
  <c r="J287" i="6" s="1"/>
  <c r="D63" i="6"/>
  <c r="E63" i="6" s="1"/>
  <c r="C63" i="6"/>
  <c r="D134" i="6"/>
  <c r="E134" i="6" s="1"/>
  <c r="C134" i="6"/>
  <c r="F15" i="6"/>
  <c r="E15" i="6"/>
  <c r="H159" i="6"/>
  <c r="G159" i="6"/>
  <c r="F40" i="6"/>
  <c r="I40" i="6"/>
  <c r="K40" i="6" s="1"/>
  <c r="I83" i="6"/>
  <c r="K83" i="6" s="1"/>
  <c r="E83" i="6"/>
  <c r="F61" i="6"/>
  <c r="I39" i="6"/>
  <c r="K39" i="6" s="1"/>
  <c r="F82" i="6"/>
  <c r="D109" i="6"/>
  <c r="E109" i="6" s="1"/>
  <c r="C109" i="6"/>
  <c r="F16" i="6"/>
  <c r="D85" i="6"/>
  <c r="C85" i="6"/>
  <c r="C287" i="6"/>
  <c r="B245" i="6"/>
  <c r="D244" i="6"/>
  <c r="F244" i="6" s="1"/>
  <c r="C244" i="6"/>
  <c r="I107" i="6"/>
  <c r="K107" i="6" s="1"/>
  <c r="D160" i="6"/>
  <c r="E160" i="6" s="1"/>
  <c r="C160" i="6"/>
  <c r="E224" i="6"/>
  <c r="I82" i="6"/>
  <c r="K82" i="6" s="1"/>
  <c r="I108" i="6"/>
  <c r="K108" i="6" s="1"/>
  <c r="E108" i="6"/>
  <c r="E84" i="6"/>
  <c r="I243" i="6"/>
  <c r="K243" i="6" s="1"/>
  <c r="F243" i="6"/>
  <c r="E62" i="6"/>
  <c r="F133" i="6"/>
  <c r="F107" i="6"/>
  <c r="G108" i="6" s="1"/>
  <c r="I159" i="6"/>
  <c r="K159" i="6" s="1"/>
  <c r="E159" i="6"/>
  <c r="D41" i="6"/>
  <c r="E41" i="6" s="1"/>
  <c r="C41" i="6"/>
  <c r="C225" i="6"/>
  <c r="D225" i="6"/>
  <c r="E225" i="6" s="1"/>
  <c r="B226" i="6"/>
  <c r="K282" i="6"/>
  <c r="K283" i="6"/>
  <c r="K284" i="6"/>
  <c r="G15" i="2"/>
  <c r="G16" i="2" s="1"/>
  <c r="F15" i="2"/>
  <c r="F16" i="2" s="1"/>
  <c r="E17" i="2"/>
  <c r="E15" i="2"/>
  <c r="E16" i="2" s="1"/>
  <c r="C15" i="2"/>
  <c r="C16" i="2" s="1"/>
  <c r="D15" i="2"/>
  <c r="D16" i="2" s="1"/>
  <c r="R17" i="1"/>
  <c r="R16" i="1"/>
  <c r="U14" i="1"/>
  <c r="R14" i="1"/>
  <c r="R15" i="1" s="1"/>
  <c r="U5" i="1"/>
  <c r="U7" i="1" s="1"/>
  <c r="U9" i="1" s="1"/>
  <c r="U12" i="1" s="1"/>
  <c r="U15" i="1" s="1"/>
  <c r="T2" i="1"/>
  <c r="P2" i="1"/>
  <c r="B289" i="6" l="1"/>
  <c r="G84" i="6"/>
  <c r="K286" i="6"/>
  <c r="C14" i="11" s="1"/>
  <c r="C15" i="11" s="1"/>
  <c r="C16" i="11" s="1"/>
  <c r="D288" i="6"/>
  <c r="E288" i="6" s="1"/>
  <c r="K287" i="6"/>
  <c r="D14" i="11" s="1"/>
  <c r="D15" i="11" s="1"/>
  <c r="D16" i="11" s="1"/>
  <c r="E85" i="6"/>
  <c r="D188" i="6"/>
  <c r="E188" i="6" s="1"/>
  <c r="C188" i="6"/>
  <c r="H186" i="6"/>
  <c r="G186" i="6"/>
  <c r="F187" i="6"/>
  <c r="F160" i="6"/>
  <c r="G160" i="6" s="1"/>
  <c r="F225" i="6"/>
  <c r="H225" i="6" s="1"/>
  <c r="I85" i="6"/>
  <c r="K85" i="6" s="1"/>
  <c r="F134" i="6"/>
  <c r="H134" i="6" s="1"/>
  <c r="I134" i="6"/>
  <c r="K134" i="6" s="1"/>
  <c r="I225" i="6"/>
  <c r="K225" i="6" s="1"/>
  <c r="I41" i="6"/>
  <c r="K41" i="6" s="1"/>
  <c r="I160" i="6"/>
  <c r="K160" i="6" s="1"/>
  <c r="E287" i="6"/>
  <c r="H244" i="6"/>
  <c r="G244" i="6"/>
  <c r="B227" i="6"/>
  <c r="D226" i="6"/>
  <c r="E226" i="6" s="1"/>
  <c r="C226" i="6"/>
  <c r="C42" i="6"/>
  <c r="D42" i="6"/>
  <c r="E42" i="6" s="1"/>
  <c r="F41" i="6"/>
  <c r="H133" i="6"/>
  <c r="G133" i="6"/>
  <c r="C288" i="6"/>
  <c r="F287" i="6"/>
  <c r="F85" i="6"/>
  <c r="H16" i="6"/>
  <c r="G16" i="6"/>
  <c r="F109" i="6"/>
  <c r="G61" i="6"/>
  <c r="H61" i="6"/>
  <c r="H40" i="6"/>
  <c r="G40" i="6"/>
  <c r="H15" i="6"/>
  <c r="G15" i="6"/>
  <c r="F63" i="6"/>
  <c r="I17" i="6"/>
  <c r="K17" i="6" s="1"/>
  <c r="E17" i="6"/>
  <c r="B246" i="6"/>
  <c r="D245" i="6"/>
  <c r="I245" i="6" s="1"/>
  <c r="K245" i="6" s="1"/>
  <c r="C245" i="6"/>
  <c r="D86" i="6"/>
  <c r="F86" i="6" s="1"/>
  <c r="C86" i="6"/>
  <c r="I109" i="6"/>
  <c r="K109" i="6" s="1"/>
  <c r="D135" i="6"/>
  <c r="E135" i="6" s="1"/>
  <c r="C135" i="6"/>
  <c r="B136" i="6"/>
  <c r="H39" i="6"/>
  <c r="G39" i="6"/>
  <c r="G62" i="6"/>
  <c r="G17" i="6"/>
  <c r="H17" i="6"/>
  <c r="G107" i="6"/>
  <c r="H107" i="6"/>
  <c r="D161" i="6"/>
  <c r="E161" i="6" s="1"/>
  <c r="B162" i="6"/>
  <c r="C161" i="6"/>
  <c r="E244" i="6"/>
  <c r="H243" i="6"/>
  <c r="G243" i="6"/>
  <c r="E286" i="6"/>
  <c r="I286" i="6"/>
  <c r="J286" i="6" s="1"/>
  <c r="F286" i="6"/>
  <c r="I244" i="6"/>
  <c r="K244" i="6" s="1"/>
  <c r="B111" i="6"/>
  <c r="D110" i="6"/>
  <c r="E110" i="6" s="1"/>
  <c r="C110" i="6"/>
  <c r="G82" i="6"/>
  <c r="H82" i="6"/>
  <c r="C64" i="6"/>
  <c r="D64" i="6"/>
  <c r="E64" i="6" s="1"/>
  <c r="I63" i="6"/>
  <c r="K63" i="6" s="1"/>
  <c r="G83" i="6"/>
  <c r="C18" i="6"/>
  <c r="B19" i="6"/>
  <c r="D18" i="6"/>
  <c r="E18" i="6" s="1"/>
  <c r="H16" i="2"/>
  <c r="G18" i="2" s="1"/>
  <c r="G22" i="2" s="1"/>
  <c r="E18" i="2"/>
  <c r="C8" i="1"/>
  <c r="D8" i="1" s="1"/>
  <c r="K4" i="1"/>
  <c r="I4" i="1"/>
  <c r="G225" i="6" l="1"/>
  <c r="K288" i="6"/>
  <c r="E14" i="11" s="1"/>
  <c r="B290" i="6"/>
  <c r="D289" i="6"/>
  <c r="E289" i="6" s="1"/>
  <c r="E86" i="6"/>
  <c r="H160" i="6"/>
  <c r="G187" i="6"/>
  <c r="H187" i="6"/>
  <c r="C189" i="6"/>
  <c r="D189" i="6"/>
  <c r="E189" i="6" s="1"/>
  <c r="F188" i="6"/>
  <c r="I188" i="6"/>
  <c r="K188" i="6" s="1"/>
  <c r="I110" i="6"/>
  <c r="K110" i="6" s="1"/>
  <c r="G134" i="6"/>
  <c r="F110" i="6"/>
  <c r="H110" i="6" s="1"/>
  <c r="E245" i="6"/>
  <c r="I42" i="6"/>
  <c r="K42" i="6" s="1"/>
  <c r="F288" i="6"/>
  <c r="H288" i="6" s="1"/>
  <c r="I86" i="6"/>
  <c r="K86" i="6" s="1"/>
  <c r="F42" i="6"/>
  <c r="H42" i="6" s="1"/>
  <c r="C43" i="6"/>
  <c r="D43" i="6"/>
  <c r="E43" i="6" s="1"/>
  <c r="D19" i="6"/>
  <c r="E19" i="6" s="1"/>
  <c r="C19" i="6"/>
  <c r="D65" i="6"/>
  <c r="E65" i="6" s="1"/>
  <c r="C65" i="6"/>
  <c r="F161" i="6"/>
  <c r="D136" i="6"/>
  <c r="E136" i="6" s="1"/>
  <c r="C136" i="6"/>
  <c r="H86" i="6"/>
  <c r="G86" i="6"/>
  <c r="F245" i="6"/>
  <c r="D246" i="6"/>
  <c r="I246" i="6" s="1"/>
  <c r="K246" i="6" s="1"/>
  <c r="C246" i="6"/>
  <c r="H109" i="6"/>
  <c r="G109" i="6"/>
  <c r="G287" i="6"/>
  <c r="H287" i="6"/>
  <c r="D227" i="6"/>
  <c r="E227" i="6" s="1"/>
  <c r="C227" i="6"/>
  <c r="F135" i="6"/>
  <c r="F18" i="6"/>
  <c r="I64" i="6"/>
  <c r="K64" i="6" s="1"/>
  <c r="H286" i="6"/>
  <c r="G286" i="6"/>
  <c r="I135" i="6"/>
  <c r="K135" i="6" s="1"/>
  <c r="H63" i="6"/>
  <c r="G63" i="6"/>
  <c r="F226" i="6"/>
  <c r="D111" i="6"/>
  <c r="E111" i="6" s="1"/>
  <c r="C111" i="6"/>
  <c r="I161" i="6"/>
  <c r="K161" i="6" s="1"/>
  <c r="C289" i="6"/>
  <c r="H85" i="6"/>
  <c r="G85" i="6"/>
  <c r="I18" i="6"/>
  <c r="K18" i="6" s="1"/>
  <c r="F64" i="6"/>
  <c r="D162" i="6"/>
  <c r="E162" i="6" s="1"/>
  <c r="C162" i="6"/>
  <c r="I288" i="6"/>
  <c r="J288" i="6" s="1"/>
  <c r="G41" i="6"/>
  <c r="H41" i="6"/>
  <c r="I226" i="6"/>
  <c r="K226" i="6" s="1"/>
  <c r="L24" i="2"/>
  <c r="L6" i="2"/>
  <c r="E22" i="2"/>
  <c r="E8" i="1"/>
  <c r="D9" i="1"/>
  <c r="E15" i="11" l="1"/>
  <c r="E16" i="11" s="1"/>
  <c r="E17" i="11"/>
  <c r="K289" i="6"/>
  <c r="F14" i="11" s="1"/>
  <c r="F15" i="11" s="1"/>
  <c r="F16" i="11" s="1"/>
  <c r="D290" i="6"/>
  <c r="E290" i="6" s="1"/>
  <c r="I189" i="6"/>
  <c r="K189" i="6" s="1"/>
  <c r="F189" i="6"/>
  <c r="H189" i="6" s="1"/>
  <c r="G288" i="6"/>
  <c r="H188" i="6"/>
  <c r="G188" i="6"/>
  <c r="I65" i="6"/>
  <c r="K65" i="6" s="1"/>
  <c r="F43" i="6"/>
  <c r="G43" i="6" s="1"/>
  <c r="G42" i="6"/>
  <c r="G110" i="6"/>
  <c r="F111" i="6"/>
  <c r="H111" i="6" s="1"/>
  <c r="F162" i="6"/>
  <c r="H162" i="6" s="1"/>
  <c r="F246" i="6"/>
  <c r="G246" i="6" s="1"/>
  <c r="F65" i="6"/>
  <c r="H65" i="6" s="1"/>
  <c r="F19" i="6"/>
  <c r="G19" i="6" s="1"/>
  <c r="I43" i="6"/>
  <c r="K43" i="6" s="1"/>
  <c r="C290" i="6"/>
  <c r="F289" i="6"/>
  <c r="I111" i="6"/>
  <c r="K111" i="6" s="1"/>
  <c r="G18" i="6"/>
  <c r="H18" i="6"/>
  <c r="E246" i="6"/>
  <c r="I136" i="6"/>
  <c r="K136" i="6" s="1"/>
  <c r="H161" i="6"/>
  <c r="G161" i="6"/>
  <c r="I19" i="6"/>
  <c r="K19" i="6" s="1"/>
  <c r="H226" i="6"/>
  <c r="G226" i="6"/>
  <c r="H135" i="6"/>
  <c r="G135" i="6"/>
  <c r="I162" i="6"/>
  <c r="K162" i="6" s="1"/>
  <c r="I289" i="6"/>
  <c r="J289" i="6" s="1"/>
  <c r="G111" i="6"/>
  <c r="F227" i="6"/>
  <c r="H246" i="6"/>
  <c r="G245" i="6"/>
  <c r="H245" i="6"/>
  <c r="H19" i="6"/>
  <c r="H64" i="6"/>
  <c r="G64" i="6"/>
  <c r="I227" i="6"/>
  <c r="K227" i="6" s="1"/>
  <c r="F136" i="6"/>
  <c r="F8" i="1"/>
  <c r="F9" i="1" s="1"/>
  <c r="E9" i="1"/>
  <c r="E18" i="11" l="1"/>
  <c r="E22" i="11" s="1"/>
  <c r="G189" i="6"/>
  <c r="K290" i="6"/>
  <c r="G14" i="11" s="1"/>
  <c r="H43" i="6"/>
  <c r="G162" i="6"/>
  <c r="G65" i="6"/>
  <c r="H289" i="6"/>
  <c r="G289" i="6"/>
  <c r="F290" i="6"/>
  <c r="H227" i="6"/>
  <c r="G227" i="6"/>
  <c r="H136" i="6"/>
  <c r="G136" i="6"/>
  <c r="I290" i="6"/>
  <c r="J290" i="6" s="1"/>
  <c r="G8" i="1"/>
  <c r="L6" i="11" l="1"/>
  <c r="G15" i="11"/>
  <c r="G16" i="11" s="1"/>
  <c r="H16" i="11" s="1"/>
  <c r="G17" i="11"/>
  <c r="H290" i="6"/>
  <c r="G290" i="6"/>
  <c r="G9" i="1"/>
  <c r="H8" i="1"/>
  <c r="G18" i="11" l="1"/>
  <c r="G22" i="11" s="1"/>
  <c r="H9" i="1"/>
  <c r="I8" i="1"/>
  <c r="L24" i="11" l="1"/>
  <c r="I9" i="1"/>
  <c r="J8" i="1"/>
  <c r="J9" i="1" l="1"/>
  <c r="K8" i="1"/>
  <c r="K9" i="1" l="1"/>
  <c r="L8" i="1"/>
  <c r="L9" i="1" l="1"/>
  <c r="M8" i="1"/>
  <c r="N8" i="1" l="1"/>
  <c r="N9" i="1" s="1"/>
  <c r="M9" i="1"/>
  <c r="C10" i="1" l="1"/>
  <c r="C13" i="1" s="1"/>
  <c r="D15" i="1" s="1"/>
</calcChain>
</file>

<file path=xl/comments1.xml><?xml version="1.0" encoding="utf-8"?>
<comments xmlns="http://schemas.openxmlformats.org/spreadsheetml/2006/main">
  <authors>
    <author>Administrator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公司对景区的维修成本转入营业成本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负数为卖了资产
</t>
        </r>
      </text>
    </comment>
    <comment ref="C22" authorId="0" shapeId="0">
      <text>
        <r>
          <rPr>
            <b/>
            <sz val="9"/>
            <color indexed="81"/>
            <rFont val="宋体"/>
            <family val="3"/>
            <charset val="134"/>
          </rPr>
          <t>新增10个室内外剧院、10000多个座位数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财报上数字为 4.61 %
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维修类型
</t>
        </r>
      </text>
    </comment>
    <comment ref="C56" authorId="0" shapeId="0">
      <text>
        <r>
          <rPr>
            <b/>
            <sz val="9"/>
            <color indexed="81"/>
            <rFont val="宋体"/>
            <family val="3"/>
            <charset val="134"/>
          </rPr>
          <t>清算注销泰安募投项目，将清算后结余的募投资金
349,361,178.92 元补充流动资金</t>
        </r>
      </text>
    </comment>
    <comment ref="C59" authorId="0" shapeId="0">
      <text>
        <r>
          <rPr>
            <b/>
            <sz val="9"/>
            <color indexed="81"/>
            <rFont val="宋体"/>
            <family val="3"/>
            <charset val="134"/>
          </rPr>
          <t>2013建成营业</t>
        </r>
      </text>
    </comment>
    <comment ref="C69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出售，卖价10,919.9300</t>
        </r>
      </text>
    </comment>
    <comment ref="C98" authorId="0" shapeId="0">
      <text>
        <r>
          <rPr>
            <b/>
            <sz val="9"/>
            <color indexed="81"/>
            <rFont val="宋体"/>
            <family val="3"/>
            <charset val="134"/>
          </rPr>
          <t>2018建成营业</t>
        </r>
      </text>
    </comment>
    <comment ref="C107" authorId="0" shapeId="0">
      <text>
        <r>
          <rPr>
            <b/>
            <sz val="9"/>
            <color indexed="81"/>
            <rFont val="宋体"/>
            <family val="3"/>
            <charset val="134"/>
          </rPr>
          <t>2019建成营业</t>
        </r>
      </text>
    </comment>
    <comment ref="C111" authorId="0" shapeId="0">
      <text>
        <r>
          <rPr>
            <b/>
            <sz val="9"/>
            <color indexed="81"/>
            <rFont val="宋体"/>
            <family val="3"/>
            <charset val="134"/>
          </rPr>
          <t>2020建成营业</t>
        </r>
      </text>
    </comment>
    <comment ref="A112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5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7" authorId="0" shapeId="0">
      <text>
        <r>
          <rPr>
            <b/>
            <sz val="9"/>
            <color indexed="81"/>
            <rFont val="宋体"/>
            <family val="3"/>
            <charset val="134"/>
          </rPr>
          <t>未来的旗舰型产品，公司寄予厚望，将从项目的规划设计、工程建设、艺术创作等各方面投入大量精力，确保将珠
海项目打造成为世界级的演艺度假目的地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06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10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84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8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<sst xmlns="http://schemas.openxmlformats.org/spreadsheetml/2006/main" count="815" uniqueCount="408">
  <si>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</si>
  <si>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</si>
  <si>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</si>
  <si>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</si>
  <si>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</si>
  <si>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</si>
  <si>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</si>
  <si>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</si>
  <si>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</si>
  <si>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</si>
  <si>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</si>
  <si>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</si>
  <si>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</si>
  <si>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</si>
  <si>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</si>
  <si>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</si>
  <si>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</si>
  <si>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</si>
  <si>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</si>
  <si>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</si>
  <si>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</si>
  <si>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</si>
  <si>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</si>
  <si>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</si>
  <si>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</si>
  <si>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</si>
  <si>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</si>
  <si>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</si>
  <si>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</si>
  <si>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</si>
  <si>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</si>
  <si>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</si>
  <si>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</si>
  <si>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</si>
  <si>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</si>
  <si>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</si>
  <si>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</si>
  <si>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</si>
  <si>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</si>
  <si>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</si>
  <si>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t>增速</t>
    <phoneticPr fontId="2" type="noConversion"/>
  </si>
  <si>
    <t>年份</t>
    <phoneticPr fontId="2" type="noConversion"/>
  </si>
  <si>
    <t>第一年</t>
    <phoneticPr fontId="2" type="noConversion"/>
  </si>
  <si>
    <t>第二年</t>
    <phoneticPr fontId="2" type="noConversion"/>
  </si>
  <si>
    <t>第三年</t>
    <phoneticPr fontId="2" type="noConversion"/>
  </si>
  <si>
    <t>第四年</t>
    <phoneticPr fontId="2" type="noConversion"/>
  </si>
  <si>
    <t>第五年</t>
    <phoneticPr fontId="2" type="noConversion"/>
  </si>
  <si>
    <t>分红率</t>
    <phoneticPr fontId="2" type="noConversion"/>
  </si>
  <si>
    <t>净利润</t>
    <phoneticPr fontId="2" type="noConversion"/>
  </si>
  <si>
    <t>预估净利润</t>
    <phoneticPr fontId="2" type="noConversion"/>
  </si>
  <si>
    <t>合理pe</t>
    <phoneticPr fontId="2" type="noConversion"/>
  </si>
  <si>
    <t>折现率</t>
    <phoneticPr fontId="2" type="noConversion"/>
  </si>
  <si>
    <t>当期分红</t>
    <phoneticPr fontId="2" type="noConversion"/>
  </si>
  <si>
    <t>分红折现</t>
    <phoneticPr fontId="2" type="noConversion"/>
  </si>
  <si>
    <t>卖出价值</t>
    <phoneticPr fontId="2" type="noConversion"/>
  </si>
  <si>
    <t>总价值</t>
    <phoneticPr fontId="2" type="noConversion"/>
  </si>
  <si>
    <t>合计</t>
    <phoneticPr fontId="2" type="noConversion"/>
  </si>
  <si>
    <t>合理PE</t>
    <phoneticPr fontId="2" type="noConversion"/>
  </si>
  <si>
    <t>5年预估</t>
    <phoneticPr fontId="2" type="noConversion"/>
  </si>
  <si>
    <t>3年预估</t>
    <phoneticPr fontId="2" type="noConversion"/>
  </si>
  <si>
    <t>4%-25</t>
    <phoneticPr fontId="2" type="noConversion"/>
  </si>
  <si>
    <t>3%-33</t>
    <phoneticPr fontId="2" type="noConversion"/>
  </si>
  <si>
    <t>6.6%-20</t>
    <phoneticPr fontId="2" type="noConversion"/>
  </si>
  <si>
    <t>5%-20</t>
    <phoneticPr fontId="2" type="noConversion"/>
  </si>
  <si>
    <t>总股本</t>
    <phoneticPr fontId="2" type="noConversion"/>
  </si>
  <si>
    <t>目标股价</t>
    <phoneticPr fontId="2" type="noConversion"/>
  </si>
  <si>
    <t>当前市值</t>
    <phoneticPr fontId="2" type="noConversion"/>
  </si>
  <si>
    <t>三亚宋城</t>
    <phoneticPr fontId="12" type="noConversion"/>
  </si>
  <si>
    <t>九寨沟宋城</t>
    <phoneticPr fontId="12" type="noConversion"/>
  </si>
  <si>
    <t>桂林宋城</t>
    <phoneticPr fontId="12" type="noConversion"/>
  </si>
  <si>
    <t>西安宋城</t>
    <phoneticPr fontId="12" type="noConversion"/>
  </si>
  <si>
    <t>电子商务手续费</t>
    <phoneticPr fontId="12" type="noConversion"/>
  </si>
  <si>
    <t>年份</t>
    <phoneticPr fontId="12" type="noConversion"/>
  </si>
  <si>
    <t>杭州宋城</t>
    <rPh sb="0" eb="1">
      <t>gu'dong</t>
    </rPh>
    <rPh sb="2" eb="3">
      <t>jing'li'run</t>
    </rPh>
    <phoneticPr fontId="12" type="noConversion"/>
  </si>
  <si>
    <t>丽江宋城</t>
    <phoneticPr fontId="12" type="noConversion"/>
  </si>
  <si>
    <t>张家界宋城</t>
    <phoneticPr fontId="12" type="noConversion"/>
  </si>
  <si>
    <t>数字娱乐平台</t>
    <phoneticPr fontId="12" type="noConversion"/>
  </si>
  <si>
    <t>设计策划费</t>
    <phoneticPr fontId="12" type="noConversion"/>
  </si>
  <si>
    <t>其他</t>
    <phoneticPr fontId="12" type="noConversion"/>
  </si>
  <si>
    <t>总营业收入</t>
    <phoneticPr fontId="12" type="noConversion"/>
  </si>
  <si>
    <t>占比</t>
    <phoneticPr fontId="2" type="noConversion"/>
  </si>
  <si>
    <t>总营业成本</t>
    <phoneticPr fontId="12" type="noConversion"/>
  </si>
  <si>
    <t>营业收入</t>
    <phoneticPr fontId="2" type="noConversion"/>
  </si>
  <si>
    <t>营业成本</t>
    <phoneticPr fontId="2" type="noConversion"/>
  </si>
  <si>
    <t>毛利润</t>
    <phoneticPr fontId="2" type="noConversion"/>
  </si>
  <si>
    <t>毛利率</t>
    <phoneticPr fontId="2" type="noConversion"/>
  </si>
  <si>
    <t>差值</t>
    <phoneticPr fontId="2" type="noConversion"/>
  </si>
  <si>
    <t>营收增长</t>
    <phoneticPr fontId="2" type="noConversion"/>
  </si>
  <si>
    <t>成本增长</t>
    <phoneticPr fontId="2" type="noConversion"/>
  </si>
  <si>
    <t>毛利增长</t>
    <phoneticPr fontId="2" type="noConversion"/>
  </si>
  <si>
    <t>汇总</t>
    <phoneticPr fontId="2" type="noConversion"/>
  </si>
  <si>
    <t>实际营业成本</t>
    <phoneticPr fontId="2" type="noConversion"/>
  </si>
  <si>
    <t>实际营业收入</t>
    <phoneticPr fontId="2" type="noConversion"/>
  </si>
  <si>
    <t xml:space="preserve">                      VB才给他发个       </t>
    <phoneticPr fontId="2" type="noConversion"/>
  </si>
  <si>
    <t>利息收入</t>
    <phoneticPr fontId="2" type="noConversion"/>
  </si>
  <si>
    <t>利息费用</t>
    <phoneticPr fontId="2" type="noConversion"/>
  </si>
  <si>
    <t>其他收益</t>
    <phoneticPr fontId="2" type="noConversion"/>
  </si>
  <si>
    <t>公允价值变动收益</t>
    <phoneticPr fontId="2" type="noConversion"/>
  </si>
  <si>
    <t>信用减值损失</t>
    <phoneticPr fontId="2" type="noConversion"/>
  </si>
  <si>
    <t>资产减值损失</t>
    <phoneticPr fontId="2" type="noConversion"/>
  </si>
  <si>
    <t>资产处置收益</t>
    <phoneticPr fontId="2" type="noConversion"/>
  </si>
  <si>
    <t xml:space="preserve"> </t>
    <phoneticPr fontId="2" type="noConversion"/>
  </si>
  <si>
    <t>营业收入</t>
    <phoneticPr fontId="2" type="noConversion"/>
  </si>
  <si>
    <t>利息收入</t>
    <phoneticPr fontId="2" type="noConversion"/>
  </si>
  <si>
    <t xml:space="preserve">已赚保费 </t>
    <phoneticPr fontId="2" type="noConversion"/>
  </si>
  <si>
    <t>营业成本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</si>
  <si>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</si>
  <si>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</si>
  <si>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</si>
  <si>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研发费用</t>
    <phoneticPr fontId="2" type="noConversion"/>
  </si>
  <si>
    <t>财务费用</t>
    <phoneticPr fontId="2" type="noConversion"/>
  </si>
  <si>
    <t>利息费用</t>
    <phoneticPr fontId="2" type="noConversion"/>
  </si>
  <si>
    <t>其他收益</t>
    <phoneticPr fontId="2" type="noConversion"/>
  </si>
  <si>
    <t>投资收益</t>
    <phoneticPr fontId="2" type="noConversion"/>
  </si>
  <si>
    <t>公允价值变动收益</t>
    <phoneticPr fontId="2" type="noConversion"/>
  </si>
  <si>
    <t>资产减值损失</t>
    <phoneticPr fontId="2" type="noConversion"/>
  </si>
  <si>
    <t>资产处置收益</t>
    <phoneticPr fontId="2" type="noConversion"/>
  </si>
  <si>
    <t>三、营业利润</t>
    <phoneticPr fontId="2" type="noConversion"/>
  </si>
  <si>
    <t>加：  营业外收入</t>
    <phoneticPr fontId="2" type="noConversion"/>
  </si>
  <si>
    <t>减：营业外支出</t>
    <phoneticPr fontId="2" type="noConversion"/>
  </si>
  <si>
    <t>四、利润总额</t>
    <phoneticPr fontId="2" type="noConversion"/>
  </si>
  <si>
    <t>减：所得税费用</t>
    <phoneticPr fontId="2" type="noConversion"/>
  </si>
  <si>
    <t>五、净利润</t>
    <phoneticPr fontId="2" type="noConversion"/>
  </si>
  <si>
    <t xml:space="preserve">（一）按经营持续性分类 </t>
    <phoneticPr fontId="2" type="noConversion"/>
  </si>
  <si>
    <t>持续经营净利润</t>
    <phoneticPr fontId="2" type="noConversion"/>
  </si>
  <si>
    <t xml:space="preserve">（二）按所有权归属分类 </t>
    <phoneticPr fontId="2" type="noConversion"/>
  </si>
  <si>
    <t>归属于母公司股东的净利润</t>
    <phoneticPr fontId="2" type="noConversion"/>
  </si>
  <si>
    <t>六、其他综合收益的税后净额</t>
    <phoneticPr fontId="2" type="noConversion"/>
  </si>
  <si>
    <t>归属母公司所有者的其他综合收益
的税后净额</t>
    <phoneticPr fontId="2" type="noConversion"/>
  </si>
  <si>
    <t>（一）不能重分类进损益的其他综
合收益</t>
    <phoneticPr fontId="2" type="noConversion"/>
  </si>
  <si>
    <t>2.权益法下不能转损益的其
他综合收益</t>
    <phoneticPr fontId="2" type="noConversion"/>
  </si>
  <si>
    <t>3.其他权益工具投资公允价
值变动</t>
    <phoneticPr fontId="2" type="noConversion"/>
  </si>
  <si>
    <t>（二）将重分类进损益的其他综合
收益</t>
    <phoneticPr fontId="2" type="noConversion"/>
  </si>
  <si>
    <t xml:space="preserve">6.外币财务报表折算差额 </t>
    <phoneticPr fontId="2" type="noConversion"/>
  </si>
  <si>
    <t>归属于少数股东的其他综合收益的
税后净额</t>
    <phoneticPr fontId="2" type="noConversion"/>
  </si>
  <si>
    <t xml:space="preserve">七、综合收益总额  </t>
    <phoneticPr fontId="2" type="noConversion"/>
  </si>
  <si>
    <t>归属于母公司所有者的综合收益
总额</t>
    <phoneticPr fontId="2" type="noConversion"/>
  </si>
  <si>
    <t xml:space="preserve">归属于少数股东的综合收益总额  </t>
    <phoneticPr fontId="2" type="noConversion"/>
  </si>
  <si>
    <t xml:space="preserve">八、每股收益： </t>
    <phoneticPr fontId="2" type="noConversion"/>
  </si>
  <si>
    <t xml:space="preserve">（一）基本每股收益  </t>
    <phoneticPr fontId="2" type="noConversion"/>
  </si>
  <si>
    <t xml:space="preserve">（二）稀释每股收益  </t>
    <phoneticPr fontId="2" type="noConversion"/>
  </si>
  <si>
    <t xml:space="preserve">一、营业总收入 </t>
    <phoneticPr fontId="2" type="noConversion"/>
  </si>
  <si>
    <t>二、营业总成本</t>
    <phoneticPr fontId="2" type="noConversion"/>
  </si>
  <si>
    <t>加</t>
    <phoneticPr fontId="2" type="noConversion"/>
  </si>
  <si>
    <t>减</t>
    <phoneticPr fontId="2" type="noConversion"/>
  </si>
  <si>
    <t>其他</t>
    <phoneticPr fontId="2" type="noConversion"/>
  </si>
  <si>
    <t>对联营企业和合营企业的投资收益</t>
    <phoneticPr fontId="2" type="noConversion"/>
  </si>
  <si>
    <t xml:space="preserve">非流动资产处置利得  </t>
    <phoneticPr fontId="2" type="noConversion"/>
  </si>
  <si>
    <t xml:space="preserve">非流动资产处置损失  </t>
    <phoneticPr fontId="2" type="noConversion"/>
  </si>
  <si>
    <t xml:space="preserve">少数股东损益  </t>
    <phoneticPr fontId="2" type="noConversion"/>
  </si>
  <si>
    <t>占比</t>
    <phoneticPr fontId="2" type="noConversion"/>
  </si>
  <si>
    <t>三费合计</t>
    <phoneticPr fontId="2" type="noConversion"/>
  </si>
  <si>
    <t>三费合计</t>
    <phoneticPr fontId="2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</si>
  <si>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</t>
    <phoneticPr fontId="2" type="noConversion"/>
  </si>
  <si>
    <t>流动资产</t>
    <phoneticPr fontId="2" type="noConversion"/>
  </si>
  <si>
    <t xml:space="preserve">货币资金  </t>
    <phoneticPr fontId="2" type="noConversion"/>
  </si>
  <si>
    <t xml:space="preserve">交易性金融资产 </t>
  </si>
  <si>
    <t xml:space="preserve">应收账款 </t>
  </si>
  <si>
    <t xml:space="preserve">预付款项  </t>
  </si>
  <si>
    <t xml:space="preserve">存货  </t>
  </si>
  <si>
    <t xml:space="preserve">其他应收款  </t>
    <phoneticPr fontId="2" type="noConversion"/>
  </si>
  <si>
    <t xml:space="preserve">其他流动资产  </t>
    <phoneticPr fontId="2" type="noConversion"/>
  </si>
  <si>
    <t xml:space="preserve">流动资产合计  </t>
    <phoneticPr fontId="2" type="noConversion"/>
  </si>
  <si>
    <t xml:space="preserve">非流动资产： </t>
  </si>
  <si>
    <t>其他权益工具投资</t>
  </si>
  <si>
    <t xml:space="preserve">固定资产  </t>
  </si>
  <si>
    <t xml:space="preserve">在建工程  </t>
  </si>
  <si>
    <t xml:space="preserve">无形资产  </t>
  </si>
  <si>
    <t xml:space="preserve">商誉  </t>
  </si>
  <si>
    <t xml:space="preserve">长期待摊费用  </t>
  </si>
  <si>
    <t xml:space="preserve">递延所得税资产  </t>
  </si>
  <si>
    <t xml:space="preserve">其他非流动资产  </t>
  </si>
  <si>
    <t xml:space="preserve">应付账款  </t>
  </si>
  <si>
    <t>预收款项</t>
  </si>
  <si>
    <t xml:space="preserve">合同负债  </t>
  </si>
  <si>
    <t xml:space="preserve">应付职工薪酬  </t>
  </si>
  <si>
    <t xml:space="preserve">应交税费 </t>
  </si>
  <si>
    <t xml:space="preserve">其他应付款  </t>
  </si>
  <si>
    <t xml:space="preserve">一年内到期的非流动负债  </t>
  </si>
  <si>
    <t>其他流动负债</t>
  </si>
  <si>
    <t xml:space="preserve">非流动负债： </t>
  </si>
  <si>
    <t>长期借款</t>
  </si>
  <si>
    <t xml:space="preserve">非流动负债合计 </t>
  </si>
  <si>
    <t xml:space="preserve">负债合计 </t>
  </si>
  <si>
    <t>所有者权益：</t>
  </si>
  <si>
    <t xml:space="preserve">股本 </t>
  </si>
  <si>
    <t xml:space="preserve">资本公积 </t>
  </si>
  <si>
    <t>盈余公积</t>
  </si>
  <si>
    <t xml:space="preserve">未分配利润  </t>
  </si>
  <si>
    <t>归属于母公司所有者权益合计</t>
  </si>
  <si>
    <t xml:space="preserve">少数股东权益  </t>
  </si>
  <si>
    <t xml:space="preserve">所有者权益合计  </t>
  </si>
  <si>
    <t>负债和所有者权益总计</t>
  </si>
  <si>
    <t xml:space="preserve">收到的税费返还  </t>
  </si>
  <si>
    <t>收到其他与经营活动有关的现金</t>
  </si>
  <si>
    <t xml:space="preserve">经营活动现金流入小计  </t>
  </si>
  <si>
    <t>购买商品、接受劳务支付的现金</t>
  </si>
  <si>
    <t>支付给职工以及为职工支付的现</t>
    <phoneticPr fontId="2" type="noConversion"/>
  </si>
  <si>
    <t xml:space="preserve">支付的各项税费  </t>
  </si>
  <si>
    <t xml:space="preserve">支付其他与经营活动有关的现金  </t>
  </si>
  <si>
    <t xml:space="preserve">经营活动现金流出小计  </t>
  </si>
  <si>
    <t>收回投资收到的现金</t>
    <phoneticPr fontId="2" type="noConversion"/>
  </si>
  <si>
    <t>处置固定资产、无形资产和其他长期资产收回的现金净额</t>
    <phoneticPr fontId="2" type="noConversion"/>
  </si>
  <si>
    <t xml:space="preserve">投资活动现金流入小计 </t>
  </si>
  <si>
    <t>购建固定资产、无形资产和其他
长期资产支付的现金</t>
    <phoneticPr fontId="2" type="noConversion"/>
  </si>
  <si>
    <t xml:space="preserve">投资支付的现金  </t>
  </si>
  <si>
    <t>取得子公司及其他营业单位支付
的现金净额</t>
    <phoneticPr fontId="2" type="noConversion"/>
  </si>
  <si>
    <t xml:space="preserve">支付其他与投资活动有关的现金 </t>
  </si>
  <si>
    <t xml:space="preserve">投资活动现金流出小计  </t>
  </si>
  <si>
    <t xml:space="preserve">吸收投资收到的现金  </t>
  </si>
  <si>
    <t>其中：子公司吸收少数股东投资
收到的现金</t>
    <phoneticPr fontId="2" type="noConversion"/>
  </si>
  <si>
    <t xml:space="preserve">取得借款收到的现金  </t>
  </si>
  <si>
    <t xml:space="preserve">筹资活动现金流入小计  </t>
  </si>
  <si>
    <t xml:space="preserve">偿还债务支付的现金  </t>
  </si>
  <si>
    <t>分配股利、利润或偿付利息支付
的现金</t>
    <phoneticPr fontId="2" type="noConversion"/>
  </si>
  <si>
    <t>其中：子公司支付给少数股东的
股利、利润</t>
    <phoneticPr fontId="2" type="noConversion"/>
  </si>
  <si>
    <t>筹资活动现金流出小计</t>
  </si>
  <si>
    <t xml:space="preserve">期初现金及现金等价物余额  </t>
    <phoneticPr fontId="2" type="noConversion"/>
  </si>
  <si>
    <t>销售商品、提供劳务收到的现金</t>
    <phoneticPr fontId="2" type="noConversion"/>
  </si>
  <si>
    <t xml:space="preserve">经营活动产生的现金流量净额  </t>
    <phoneticPr fontId="2" type="noConversion"/>
  </si>
  <si>
    <t xml:space="preserve">投资活动产生的现金流量净额  </t>
    <phoneticPr fontId="2" type="noConversion"/>
  </si>
  <si>
    <t xml:space="preserve">筹资活动产生的现金流量净额  </t>
    <phoneticPr fontId="2" type="noConversion"/>
  </si>
  <si>
    <t>四、汇率变动对现金及现金等价物的
影响</t>
    <phoneticPr fontId="2" type="noConversion"/>
  </si>
  <si>
    <t xml:space="preserve">五、现金及现金等价物净增加额 </t>
    <phoneticPr fontId="2" type="noConversion"/>
  </si>
  <si>
    <t xml:space="preserve">六、期末现金及现金等价物余额 </t>
    <phoneticPr fontId="2" type="noConversion"/>
  </si>
  <si>
    <t>可供出售金融资产</t>
    <phoneticPr fontId="2" type="noConversion"/>
  </si>
  <si>
    <t xml:space="preserve">长期股权投资  </t>
    <phoneticPr fontId="2" type="noConversion"/>
  </si>
  <si>
    <t>流动负债：</t>
    <phoneticPr fontId="2" type="noConversion"/>
  </si>
  <si>
    <t>非流动资产合计</t>
    <phoneticPr fontId="2" type="noConversion"/>
  </si>
  <si>
    <t xml:space="preserve">资产总计  </t>
    <phoneticPr fontId="2" type="noConversion"/>
  </si>
  <si>
    <t>流动负债合计</t>
    <phoneticPr fontId="2" type="noConversion"/>
  </si>
  <si>
    <t>预计负债</t>
  </si>
  <si>
    <t>递延收益</t>
    <phoneticPr fontId="2" type="noConversion"/>
  </si>
  <si>
    <t>递延所得税负债</t>
    <phoneticPr fontId="2" type="noConversion"/>
  </si>
  <si>
    <t>取得投资收益收到的现金</t>
    <phoneticPr fontId="2" type="noConversion"/>
  </si>
  <si>
    <t>处置子公司及其他营业单位收到
的现金净额</t>
    <phoneticPr fontId="2" type="noConversion"/>
  </si>
  <si>
    <t>支付其他与筹资活动有关的现金</t>
    <phoneticPr fontId="2" type="noConversion"/>
  </si>
  <si>
    <t>以公允价值计量且其变动计入当
期损益的金融资产</t>
    <phoneticPr fontId="2" type="noConversion"/>
  </si>
  <si>
    <t>应收利息</t>
  </si>
  <si>
    <t xml:space="preserve">划分为持有待售的资产  </t>
    <phoneticPr fontId="2" type="noConversion"/>
  </si>
  <si>
    <t xml:space="preserve">应付利息  </t>
  </si>
  <si>
    <t>减：库存股</t>
  </si>
  <si>
    <t xml:space="preserve">其他综合收益  </t>
    <phoneticPr fontId="2" type="noConversion"/>
  </si>
  <si>
    <t>收到其他与投资活动有关的现金</t>
    <phoneticPr fontId="2" type="noConversion"/>
  </si>
  <si>
    <t>短期借款</t>
    <phoneticPr fontId="2" type="noConversion"/>
  </si>
  <si>
    <t>预估毛利
加上三费</t>
    <phoneticPr fontId="2" type="noConversion"/>
  </si>
  <si>
    <t>所得税税率</t>
    <phoneticPr fontId="2" type="noConversion"/>
  </si>
  <si>
    <t>座位数</t>
    <phoneticPr fontId="2" type="noConversion"/>
  </si>
  <si>
    <t xml:space="preserve"> 2 万个</t>
    <phoneticPr fontId="2" type="noConversion"/>
  </si>
  <si>
    <t>剧院数</t>
    <phoneticPr fontId="2" type="noConversion"/>
  </si>
  <si>
    <t>座位数</t>
    <phoneticPr fontId="2" type="noConversion"/>
  </si>
  <si>
    <t>1 号剧院座位数约在 4700 个，2018 年新建 
的 2 号剧院可增加约 2000 个座位</t>
    <phoneticPr fontId="2" type="noConversion"/>
  </si>
  <si>
    <t>座位数</t>
    <phoneticPr fontId="2" type="noConversion"/>
  </si>
  <si>
    <t>开业时间</t>
    <phoneticPr fontId="2" type="noConversion"/>
  </si>
  <si>
    <t>占地</t>
    <phoneticPr fontId="2" type="noConversion"/>
  </si>
  <si>
    <t>地区</t>
    <phoneticPr fontId="2" type="noConversion"/>
  </si>
  <si>
    <t>桂林市阳朔县城核心区，交通四通八达</t>
    <phoneticPr fontId="2" type="noConversion"/>
  </si>
  <si>
    <t>投资</t>
    <phoneticPr fontId="2" type="noConversion"/>
  </si>
  <si>
    <t>持股</t>
    <phoneticPr fontId="2" type="noConversion"/>
  </si>
  <si>
    <t>座位数</t>
    <phoneticPr fontId="2" type="noConversion"/>
  </si>
  <si>
    <t>位于武陵源区 
索溪峪街道百花洲，占地约 170 亩，距离张家界国家森林公园东南门 4 公里。武 
陵源区是旅游集散中心，周边住宿、餐饮配套齐全，客流量大</t>
    <phoneticPr fontId="2" type="noConversion"/>
  </si>
  <si>
    <t>剧场数</t>
    <phoneticPr fontId="2" type="noConversion"/>
  </si>
  <si>
    <t>位于西安世博园内，处于参观兵马俑回程的必经之路，与兵马俑形成旅游动线，有较好 的客流基础</t>
    <phoneticPr fontId="2" type="noConversion"/>
  </si>
  <si>
    <t>上海千古情</t>
    <phoneticPr fontId="2" type="noConversion"/>
  </si>
  <si>
    <t>项目名称</t>
    <phoneticPr fontId="2" type="noConversion"/>
  </si>
  <si>
    <t>开始日期</t>
    <phoneticPr fontId="2" type="noConversion"/>
  </si>
  <si>
    <t>截止日期</t>
    <phoneticPr fontId="2" type="noConversion"/>
  </si>
  <si>
    <t>项目详情</t>
    <phoneticPr fontId="2" type="noConversion"/>
  </si>
  <si>
    <t>杭州宋城</t>
    <phoneticPr fontId="2" type="noConversion"/>
  </si>
  <si>
    <t xml:space="preserve">宋城景区整改 </t>
    <phoneticPr fontId="2" type="noConversion"/>
  </si>
  <si>
    <t>杭州乐园改扩建项
目</t>
    <phoneticPr fontId="2" type="noConversion"/>
  </si>
  <si>
    <t>杭州乐园</t>
    <phoneticPr fontId="2" type="noConversion"/>
  </si>
  <si>
    <t>预算</t>
    <phoneticPr fontId="2" type="noConversion"/>
  </si>
  <si>
    <t>本期投入</t>
    <phoneticPr fontId="2" type="noConversion"/>
  </si>
  <si>
    <t>年份</t>
    <phoneticPr fontId="2" type="noConversion"/>
  </si>
  <si>
    <t>转入固定资产</t>
    <phoneticPr fontId="2" type="noConversion"/>
  </si>
  <si>
    <t>其他减少</t>
    <phoneticPr fontId="2" type="noConversion"/>
  </si>
  <si>
    <t>工程投入
占预算比
例(%)</t>
    <phoneticPr fontId="2" type="noConversion"/>
  </si>
  <si>
    <t>工程
进度</t>
    <phoneticPr fontId="2" type="noConversion"/>
  </si>
  <si>
    <t>固定资产转化率</t>
    <phoneticPr fontId="2" type="noConversion"/>
  </si>
  <si>
    <t>总投入</t>
    <phoneticPr fontId="2" type="noConversion"/>
  </si>
  <si>
    <t>年初余额</t>
    <phoneticPr fontId="2" type="noConversion"/>
  </si>
  <si>
    <t>年末余额</t>
    <phoneticPr fontId="2" type="noConversion"/>
  </si>
  <si>
    <t>宋城景区基础设施及配
套改造项目</t>
    <phoneticPr fontId="2" type="noConversion"/>
  </si>
  <si>
    <t>杭州动漫乐园改建项目</t>
    <phoneticPr fontId="2" type="noConversion"/>
  </si>
  <si>
    <t>杭州乐园新建游乐设备
基础及情人港南岸工程</t>
    <phoneticPr fontId="2" type="noConversion"/>
  </si>
  <si>
    <t>泰安千古情项目</t>
    <phoneticPr fontId="2" type="noConversion"/>
  </si>
  <si>
    <t>三亚千古情项目</t>
    <phoneticPr fontId="2" type="noConversion"/>
  </si>
  <si>
    <t>泰安千古情</t>
    <phoneticPr fontId="2" type="noConversion"/>
  </si>
  <si>
    <t>三亚千古情</t>
    <phoneticPr fontId="2" type="noConversion"/>
  </si>
  <si>
    <t>烂苹果乐园</t>
    <phoneticPr fontId="2" type="noConversion"/>
  </si>
  <si>
    <t>丽江千古情</t>
    <phoneticPr fontId="2" type="noConversion"/>
  </si>
  <si>
    <t>九寨千古情</t>
    <phoneticPr fontId="2" type="noConversion"/>
  </si>
  <si>
    <t>宋城景区改扩建项目</t>
    <phoneticPr fontId="2" type="noConversion"/>
  </si>
  <si>
    <t>宋城景区二期综合体</t>
    <phoneticPr fontId="2" type="noConversion"/>
  </si>
  <si>
    <t>杭州乐园水公园整改项目</t>
    <phoneticPr fontId="2" type="noConversion"/>
  </si>
  <si>
    <t>总转入固定资产</t>
    <phoneticPr fontId="2" type="noConversion"/>
  </si>
  <si>
    <t>杭州乐园水公园整改项目二期</t>
    <phoneticPr fontId="2" type="noConversion"/>
  </si>
  <si>
    <t>藏谜大剧院</t>
    <phoneticPr fontId="2" type="noConversion"/>
  </si>
  <si>
    <t>宋城景区改扩建项目三期</t>
    <phoneticPr fontId="2" type="noConversion"/>
  </si>
  <si>
    <t>宋城景区改扩建项目二期</t>
    <phoneticPr fontId="2" type="noConversion"/>
  </si>
  <si>
    <t>杭州动漫乐园改建项目临时</t>
    <phoneticPr fontId="2" type="noConversion"/>
  </si>
  <si>
    <t xml:space="preserve">杭州乐园索道工程  </t>
    <phoneticPr fontId="2" type="noConversion"/>
  </si>
  <si>
    <t>宋城娱乐女团训练营</t>
    <phoneticPr fontId="2" type="noConversion"/>
  </si>
  <si>
    <t>宋城娱乐女团训练营</t>
    <phoneticPr fontId="2" type="noConversion"/>
  </si>
  <si>
    <t>龙泉山旅游开发项目</t>
    <phoneticPr fontId="2" type="noConversion"/>
  </si>
  <si>
    <t>上海世博大剧院项目</t>
    <phoneticPr fontId="2" type="noConversion"/>
  </si>
  <si>
    <t>上海宋城</t>
    <phoneticPr fontId="2" type="noConversion"/>
  </si>
  <si>
    <t xml:space="preserve">桂林漓江千古情项目  </t>
    <phoneticPr fontId="2" type="noConversion"/>
  </si>
  <si>
    <t>桂林宋城</t>
    <phoneticPr fontId="2" type="noConversion"/>
  </si>
  <si>
    <t>宋城景区改扩建项目四期</t>
    <phoneticPr fontId="2" type="noConversion"/>
  </si>
  <si>
    <t>宋城景区1号大剧院整改项目</t>
    <phoneticPr fontId="2" type="noConversion"/>
  </si>
  <si>
    <t>杭州乐园水公园整改项目临时</t>
    <phoneticPr fontId="2" type="noConversion"/>
  </si>
  <si>
    <t>澳洲传奇项目</t>
    <phoneticPr fontId="2" type="noConversion"/>
  </si>
  <si>
    <t>澳洲宋城</t>
    <phoneticPr fontId="2" type="noConversion"/>
  </si>
  <si>
    <t>张家界千古情</t>
    <phoneticPr fontId="2" type="noConversion"/>
  </si>
  <si>
    <t>宋城景区2号大剧院整改项目及氛围整个、景区入口整改</t>
    <phoneticPr fontId="2" type="noConversion"/>
  </si>
  <si>
    <t>杭州乐园整改工程三期</t>
    <phoneticPr fontId="2" type="noConversion"/>
  </si>
  <si>
    <t>丽江茶马古城项目</t>
    <phoneticPr fontId="2" type="noConversion"/>
  </si>
  <si>
    <t>西安中华千古情项目</t>
    <phoneticPr fontId="2" type="noConversion"/>
  </si>
  <si>
    <t>西安千古情</t>
    <phoneticPr fontId="2" type="noConversion"/>
  </si>
  <si>
    <t>西樵山岭南千古情景区项目</t>
    <phoneticPr fontId="2" type="noConversion"/>
  </si>
  <si>
    <t>.</t>
    <phoneticPr fontId="2" type="noConversion"/>
  </si>
  <si>
    <t>宋城景区蚕博一层等提升改造项目</t>
    <phoneticPr fontId="2" type="noConversion"/>
  </si>
  <si>
    <t>宋城景区 3、4号剧院整项目</t>
    <phoneticPr fontId="2" type="noConversion"/>
  </si>
  <si>
    <t>烂苹果整改工程</t>
    <phoneticPr fontId="2" type="noConversion"/>
  </si>
  <si>
    <t>丽江茶马古城项目二期</t>
    <phoneticPr fontId="2" type="noConversion"/>
  </si>
  <si>
    <t>丽江茶马古城项目2019</t>
    <phoneticPr fontId="2" type="noConversion"/>
  </si>
  <si>
    <t>九寨千古情项目</t>
    <phoneticPr fontId="2" type="noConversion"/>
  </si>
  <si>
    <t>西塘演艺谷项目</t>
    <phoneticPr fontId="2" type="noConversion"/>
  </si>
  <si>
    <t>杭州乐园提升改造工程2020</t>
    <phoneticPr fontId="2" type="noConversion"/>
  </si>
  <si>
    <t>杭州乐园提升改造工程2019</t>
    <phoneticPr fontId="2" type="noConversion"/>
  </si>
  <si>
    <t>三亚千古情二期</t>
    <phoneticPr fontId="2" type="noConversion"/>
  </si>
  <si>
    <t>三亚千古情2020</t>
    <phoneticPr fontId="2" type="noConversion"/>
  </si>
  <si>
    <t>丽江茶马古城项目2020</t>
    <phoneticPr fontId="2" type="noConversion"/>
  </si>
  <si>
    <t>九寨千古情整改项目</t>
    <phoneticPr fontId="2" type="noConversion"/>
  </si>
  <si>
    <t>九寨千古情整改项目2020</t>
    <phoneticPr fontId="2" type="noConversion"/>
  </si>
  <si>
    <t>桂林漓江千古情整改项目</t>
    <phoneticPr fontId="2" type="noConversion"/>
  </si>
  <si>
    <t>珠海演艺王国项目</t>
    <phoneticPr fontId="2" type="noConversion"/>
  </si>
  <si>
    <t>珠海</t>
    <phoneticPr fontId="2" type="noConversion"/>
  </si>
  <si>
    <t>轻资产</t>
    <phoneticPr fontId="2" type="noConversion"/>
  </si>
  <si>
    <t>郑州</t>
    <phoneticPr fontId="2" type="noConversion"/>
  </si>
  <si>
    <t>首演</t>
    <phoneticPr fontId="2" type="noConversion"/>
  </si>
  <si>
    <t>宋城景区整改项目2020</t>
    <phoneticPr fontId="2" type="noConversion"/>
  </si>
  <si>
    <t>项目</t>
    <phoneticPr fontId="2" type="noConversion"/>
  </si>
  <si>
    <t>时间</t>
    <phoneticPr fontId="2" type="noConversion"/>
  </si>
  <si>
    <t>事件</t>
    <phoneticPr fontId="2" type="noConversion"/>
  </si>
  <si>
    <t>影响</t>
    <phoneticPr fontId="2" type="noConversion"/>
  </si>
  <si>
    <t>杭州宋城</t>
    <phoneticPr fontId="2" type="noConversion"/>
  </si>
  <si>
    <t>1、利用疫情闭园期就新增10个室内外剧院、10000多个座位数
2、新建的两个大型美食广场能够同时容纳1500
人就餐与休息</t>
    <phoneticPr fontId="2" type="noConversion"/>
  </si>
  <si>
    <t>西安宋城</t>
    <phoneticPr fontId="2" type="noConversion"/>
  </si>
  <si>
    <t>佛山</t>
    <phoneticPr fontId="2" type="noConversion"/>
  </si>
  <si>
    <t>西塘</t>
    <phoneticPr fontId="2" type="noConversion"/>
  </si>
  <si>
    <t>武汉</t>
    <phoneticPr fontId="2" type="noConversion"/>
  </si>
  <si>
    <t>泰安千古情</t>
    <phoneticPr fontId="2" type="noConversion"/>
  </si>
  <si>
    <t>规划建设</t>
    <phoneticPr fontId="2" type="noConversion"/>
  </si>
  <si>
    <t>宣布终止建设，以轻资产形式和政府托管，推进泰安千古情</t>
    <phoneticPr fontId="2" type="noConversion"/>
  </si>
  <si>
    <t>因收益不急预期，宣布终止托管，结束，正是宣告失败
失败原因：线路规划不合理，爬泰山不会跑远路看</t>
    <phoneticPr fontId="2" type="noConversion"/>
  </si>
  <si>
    <t>石林千古情</t>
    <phoneticPr fontId="2" type="noConversion"/>
  </si>
  <si>
    <t>终止建设
未进在建工程
失败原因：离市区太远，观看演出需求不强烈</t>
    <phoneticPr fontId="2" type="noConversion"/>
  </si>
  <si>
    <t>后来一直强调项目选址很重要的根本原因</t>
    <phoneticPr fontId="2" type="noConversion"/>
  </si>
  <si>
    <t>武夷山千古情</t>
    <phoneticPr fontId="2" type="noConversion"/>
  </si>
  <si>
    <t>规划建设，3.5亿</t>
    <phoneticPr fontId="2" type="noConversion"/>
  </si>
  <si>
    <t>规划建设，2亿</t>
    <phoneticPr fontId="2" type="noConversion"/>
  </si>
  <si>
    <t>终止建设
未进在建工程
失败原因：远离核心景区</t>
    <phoneticPr fontId="2" type="noConversion"/>
  </si>
  <si>
    <t>吴越千古情</t>
    <phoneticPr fontId="2" type="noConversion"/>
  </si>
  <si>
    <t>规划杭州乐园演出</t>
    <phoneticPr fontId="2" type="noConversion"/>
  </si>
  <si>
    <t>Q1推出演出</t>
    <phoneticPr fontId="2" type="noConversion"/>
  </si>
  <si>
    <t>半年报解释停止演出，无人观看，不赚钱</t>
    <phoneticPr fontId="2" type="noConversion"/>
  </si>
  <si>
    <t>澳洲传奇</t>
    <phoneticPr fontId="2" type="noConversion"/>
  </si>
  <si>
    <t>11月，规划建设，4亿澳元，打造3大演艺秀和4大主题公园</t>
    <phoneticPr fontId="2" type="noConversion"/>
  </si>
  <si>
    <t>明确表示规划中，基本要黄</t>
    <phoneticPr fontId="2" type="noConversion"/>
  </si>
  <si>
    <t>三亚千古情</t>
    <phoneticPr fontId="2" type="noConversion"/>
  </si>
  <si>
    <t>规划建设，投资3.3亿</t>
    <phoneticPr fontId="2" type="noConversion"/>
  </si>
  <si>
    <t>投入营业</t>
    <phoneticPr fontId="2" type="noConversion"/>
  </si>
  <si>
    <t>当年营收三千多万，利润700多万</t>
    <phoneticPr fontId="2" type="noConversion"/>
  </si>
  <si>
    <t>营收增至4亿，净利润越2.2亿，增长放缓</t>
    <phoneticPr fontId="2" type="noConversion"/>
  </si>
  <si>
    <t>丽江千古情</t>
    <phoneticPr fontId="2" type="noConversion"/>
  </si>
  <si>
    <t>规划建设，预算2.2亿</t>
    <phoneticPr fontId="2" type="noConversion"/>
  </si>
  <si>
    <t>投入营业</t>
    <phoneticPr fontId="2" type="noConversion"/>
  </si>
  <si>
    <t>当年营收七千多万，利润五千多万</t>
    <phoneticPr fontId="2" type="noConversion"/>
  </si>
  <si>
    <t>营收增至3.3亿，净利润越1.8亿，增长放缓</t>
    <phoneticPr fontId="2" type="noConversion"/>
  </si>
  <si>
    <t>九寨千古情</t>
    <phoneticPr fontId="2" type="noConversion"/>
  </si>
  <si>
    <t>规划建设，预算2.4亿</t>
    <phoneticPr fontId="2" type="noConversion"/>
  </si>
  <si>
    <t>当前营收六千多万，利润五千多万</t>
    <phoneticPr fontId="2" type="noConversion"/>
  </si>
  <si>
    <t>2017/8/8 九寨沟地震</t>
    <phoneticPr fontId="2" type="noConversion"/>
  </si>
  <si>
    <t>营收定格在九千万，正常发展预估全年1.5亿</t>
    <phoneticPr fontId="2" type="noConversion"/>
  </si>
  <si>
    <t>重新开业，碰上ncov</t>
    <phoneticPr fontId="2" type="noConversion"/>
  </si>
  <si>
    <t>当年营收2.5千万</t>
    <phoneticPr fontId="2" type="noConversion"/>
  </si>
  <si>
    <t>规划建设，预算8.3亿</t>
    <phoneticPr fontId="2" type="noConversion"/>
  </si>
  <si>
    <t>开业，评价略低于预期</t>
    <phoneticPr fontId="2" type="noConversion"/>
  </si>
  <si>
    <t>规划建设，预算6.9亿</t>
    <phoneticPr fontId="2" type="noConversion"/>
  </si>
  <si>
    <t>开始营业</t>
    <phoneticPr fontId="2" type="noConversion"/>
  </si>
  <si>
    <t>当年营收四千多万，略微亏损</t>
    <phoneticPr fontId="2" type="noConversion"/>
  </si>
  <si>
    <t>告诉增长，营收1.6亿，净利润。6。7千万</t>
    <phoneticPr fontId="2" type="noConversion"/>
  </si>
  <si>
    <t>张家界千古情</t>
    <phoneticPr fontId="2" type="noConversion"/>
  </si>
  <si>
    <t>规划建设，预算5.3亿</t>
    <phoneticPr fontId="2" type="noConversion"/>
  </si>
  <si>
    <t>开始营业</t>
    <phoneticPr fontId="2" type="noConversion"/>
  </si>
  <si>
    <t>当年营收6.5千万，利润2.3千万</t>
    <phoneticPr fontId="2" type="noConversion"/>
  </si>
  <si>
    <t>规划建设，预算4.8亿</t>
    <phoneticPr fontId="2" type="noConversion"/>
  </si>
  <si>
    <t>当年营收2.5千万，净利润1.8千万</t>
    <phoneticPr fontId="2" type="noConversion"/>
  </si>
  <si>
    <t>开业，西安千古情开演，碰到ncov</t>
    <phoneticPr fontId="2" type="noConversion"/>
  </si>
  <si>
    <t>佛山千古情</t>
    <phoneticPr fontId="2" type="noConversion"/>
  </si>
  <si>
    <t>规划建设，预算7亿</t>
    <phoneticPr fontId="2" type="noConversion"/>
  </si>
  <si>
    <t>西塘千古情</t>
    <phoneticPr fontId="2" type="noConversion"/>
  </si>
  <si>
    <t>规划建设，预算4亿</t>
    <phoneticPr fontId="2" type="noConversion"/>
  </si>
  <si>
    <t>珠海千古情</t>
    <phoneticPr fontId="2" type="noConversion"/>
  </si>
  <si>
    <t>规划建设，预算25亿
未来的旗舰型产品，公司寄予厚望，将从项目的规划设计、工程建设、艺术创作等各方面投入大量精力，确保将珠
海项目打造成为世界级的演艺度假目的地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</si>
</sst>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  <numFmt numFmtId="184" formatCode="#,##0.00_ ;[Red]\-#,##0.00\ "/>
    <numFmt numFmtId="185" formatCode="#,##0.00_ "/>
    <numFmt numFmtId="186" formatCode="yyyy"/>
    <numFmt numFmtId="187" formatCode="#,##0.00_);[Red]\(#,##0.00\)"/>
    <numFmt numFmtId="188" formatCode="#,##0.0_ "/>
  </numFmts>
  <fonts count="1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84" fontId="0" fillId="0" borderId="0" xfId="0" applyNumberFormat="1" applyAlignment="1"/>
    <xf numFmtId="0" fontId="0" fillId="0" borderId="0" xfId="0" applyAlignment="1"/>
    <xf numFmtId="185" fontId="0" fillId="0" borderId="0" xfId="0" applyNumberFormat="1" applyAlignment="1"/>
    <xf numFmtId="18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>
      <alignment horizontal="left" vertical="center"/>
    </xf>
    <xf numFmtId="186" fontId="14" fillId="0" borderId="0" xfId="0" applyNumberFormat="1" applyFont="1" applyAlignment="1">
      <alignment horizontal="left" vertical="center"/>
    </xf>
    <xf numFmtId="10" fontId="0" fillId="0" borderId="0" xfId="0" applyNumberFormat="1" applyAlignment="1"/>
    <xf numFmtId="187" fontId="0" fillId="0" borderId="0" xfId="0" applyNumberFormat="1" applyAlignment="1"/>
    <xf numFmtId="4" fontId="0" fillId="0" borderId="0" xfId="0" applyNumberFormat="1" applyAlignment="1"/>
    <xf numFmtId="18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6" borderId="0" xfId="0" applyFill="1">
      <alignment vertical="center"/>
    </xf>
    <xf numFmtId="186" fontId="14" fillId="6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10" fontId="0" fillId="6" borderId="0" xfId="0" applyNumberForma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4" fontId="0" fillId="7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8" borderId="0" xfId="0" applyFill="1" applyAlignment="1">
      <alignment vertical="center" wrapText="1"/>
    </xf>
    <xf numFmtId="4" fontId="0" fillId="8" borderId="0" xfId="0" applyNumberFormat="1" applyFill="1">
      <alignment vertical="center"/>
    </xf>
    <xf numFmtId="0" fontId="0" fillId="8" borderId="0" xfId="0" applyFill="1">
      <alignment vertical="center"/>
    </xf>
    <xf numFmtId="185" fontId="0" fillId="8" borderId="0" xfId="0" applyNumberFormat="1" applyFill="1">
      <alignment vertical="center"/>
    </xf>
    <xf numFmtId="0" fontId="14" fillId="0" borderId="0" xfId="0" applyNumberFormat="1" applyFont="1" applyAlignment="1">
      <alignment horizontal="left" vertical="center"/>
    </xf>
    <xf numFmtId="0" fontId="0" fillId="6" borderId="0" xfId="0" applyFill="1" applyAlignment="1">
      <alignment vertical="center" wrapText="1"/>
    </xf>
    <xf numFmtId="4" fontId="0" fillId="6" borderId="0" xfId="0" applyNumberFormat="1" applyFill="1">
      <alignment vertical="center"/>
    </xf>
    <xf numFmtId="9" fontId="0" fillId="0" borderId="0" xfId="1" applyFont="1">
      <alignment vertical="center"/>
    </xf>
    <xf numFmtId="9" fontId="0" fillId="0" borderId="0" xfId="1" applyFont="1" applyAlignment="1"/>
    <xf numFmtId="0" fontId="14" fillId="6" borderId="0" xfId="0" applyNumberFormat="1" applyFont="1" applyFill="1" applyAlignment="1">
      <alignment horizontal="left" vertical="center"/>
    </xf>
    <xf numFmtId="187" fontId="0" fillId="6" borderId="0" xfId="0" applyNumberFormat="1" applyFill="1" applyAlignment="1"/>
    <xf numFmtId="185" fontId="0" fillId="6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0" borderId="0" xfId="0" applyNumberFormat="1" applyAlignment="1">
      <alignment wrapText="1"/>
    </xf>
    <xf numFmtId="187" fontId="0" fillId="0" borderId="0" xfId="0" applyNumberFormat="1" applyFill="1" applyAlignment="1"/>
    <xf numFmtId="187" fontId="0" fillId="11" borderId="0" xfId="0" applyNumberFormat="1" applyFill="1" applyAlignment="1"/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4" fontId="0" fillId="10" borderId="0" xfId="0" applyNumberFormat="1" applyFill="1">
      <alignment vertical="center"/>
    </xf>
    <xf numFmtId="9" fontId="0" fillId="9" borderId="0" xfId="0" applyNumberFormat="1" applyFill="1">
      <alignment vertical="center"/>
    </xf>
    <xf numFmtId="4" fontId="0" fillId="0" borderId="0" xfId="0" applyNumberFormat="1" applyAlignment="1">
      <alignment vertical="center" wrapText="1"/>
    </xf>
    <xf numFmtId="187" fontId="0" fillId="0" borderId="0" xfId="0" applyNumberFormat="1">
      <alignment vertical="center"/>
    </xf>
    <xf numFmtId="187" fontId="0" fillId="0" borderId="0" xfId="0" applyNumberFormat="1" applyAlignment="1">
      <alignment vertical="center" wrapText="1"/>
    </xf>
    <xf numFmtId="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88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3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zoomScale="120" zoomScaleNormal="120" workbookViewId="0">
      <selection activeCell="E16" sqref="E16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114" t="str">
        <f>G2</f>
        <v>Apple Inc.</v>
      </c>
      <c r="Q2" s="115"/>
      <c r="R2" s="116"/>
      <c r="S2" s="35"/>
      <c r="T2" s="114" t="str">
        <f>G2</f>
        <v>Apple Inc.</v>
      </c>
      <c r="U2" s="116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41" t="s">
        <v>25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26</v>
      </c>
      <c r="R6" s="42">
        <v>13.91</v>
      </c>
      <c r="S6" s="35"/>
      <c r="T6" s="40" t="s">
        <v>27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41" t="s">
        <v>28</v>
      </c>
      <c r="R7" s="42">
        <v>18.93</v>
      </c>
      <c r="S7" s="35"/>
      <c r="T7" s="40" t="s">
        <v>29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41" t="s">
        <v>30</v>
      </c>
      <c r="R8" s="42">
        <v>25.63</v>
      </c>
      <c r="S8" s="35"/>
      <c r="T8" s="40" t="s">
        <v>31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32</v>
      </c>
      <c r="Q9" s="35"/>
      <c r="R9" s="42"/>
      <c r="S9" s="35"/>
      <c r="T9" s="40" t="s">
        <v>33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34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35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36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37</v>
      </c>
      <c r="Q15" s="35"/>
      <c r="R15" s="50">
        <f>R14/R11</f>
        <v>13.747099767981441</v>
      </c>
      <c r="S15" s="35"/>
      <c r="T15" s="51" t="s">
        <v>38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39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35" sqref="C35"/>
    </sheetView>
  </sheetViews>
  <sheetFormatPr defaultRowHeight="15.75" x14ac:dyDescent="0.25"/>
  <cols>
    <col min="2" max="2" width="13.25" customWidth="1"/>
    <col min="3" max="3" width="1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388.20520801580034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51</v>
      </c>
      <c r="C7" s="57">
        <v>0.08</v>
      </c>
      <c r="K7" t="s">
        <v>51</v>
      </c>
      <c r="L7" s="57">
        <v>0.05</v>
      </c>
      <c r="M7">
        <f t="dataTable" ref="M7:X15" dt2D="1" dtr="1" r1="C5" r2="C7"/>
        <v>177.01406975488604</v>
      </c>
      <c r="N7">
        <v>209.68743116294129</v>
      </c>
      <c r="O7">
        <v>258.69747327502427</v>
      </c>
      <c r="P7">
        <v>307.70751538710715</v>
      </c>
      <c r="Q7">
        <v>340.38087679516246</v>
      </c>
      <c r="R7">
        <v>373.05423820321778</v>
      </c>
      <c r="S7">
        <v>422.06428031530061</v>
      </c>
      <c r="T7">
        <v>503.74768383543886</v>
      </c>
      <c r="U7">
        <v>585.43108735557689</v>
      </c>
      <c r="V7">
        <v>667.11449087571521</v>
      </c>
      <c r="W7">
        <v>748.7978943958534</v>
      </c>
      <c r="X7">
        <v>830.48129791599149</v>
      </c>
    </row>
    <row r="8" spans="2:24" x14ac:dyDescent="0.25">
      <c r="C8" s="57"/>
      <c r="L8" s="57">
        <v>0.06</v>
      </c>
      <c r="M8">
        <v>172.17223026390909</v>
      </c>
      <c r="N8">
        <v>203.92957021568134</v>
      </c>
      <c r="O8">
        <v>251.56558014333973</v>
      </c>
      <c r="P8">
        <v>299.20159007099807</v>
      </c>
      <c r="Q8">
        <v>330.95893002277035</v>
      </c>
      <c r="R8">
        <v>362.71626997454263</v>
      </c>
      <c r="S8">
        <v>410.35227990220096</v>
      </c>
      <c r="T8">
        <v>489.74562978163164</v>
      </c>
      <c r="U8">
        <v>569.13897966106219</v>
      </c>
      <c r="V8">
        <v>648.53232954049292</v>
      </c>
      <c r="W8">
        <v>727.92567941992354</v>
      </c>
      <c r="X8">
        <v>807.31902929935416</v>
      </c>
    </row>
    <row r="9" spans="2:24" x14ac:dyDescent="0.25">
      <c r="C9" s="57"/>
      <c r="L9" s="57">
        <v>7.0000000000000007E-2</v>
      </c>
      <c r="M9">
        <v>167.50819889587547</v>
      </c>
      <c r="N9">
        <v>198.3834416424566</v>
      </c>
      <c r="O9">
        <v>244.69630576232828</v>
      </c>
      <c r="P9">
        <v>291.00916988219996</v>
      </c>
      <c r="Q9">
        <v>321.88441262878115</v>
      </c>
      <c r="R9">
        <v>352.75965537536229</v>
      </c>
      <c r="S9">
        <v>399.07251949523396</v>
      </c>
      <c r="T9">
        <v>476.26062636168683</v>
      </c>
      <c r="U9">
        <v>553.44873322813964</v>
      </c>
      <c r="V9">
        <v>630.63684009459257</v>
      </c>
      <c r="W9">
        <v>707.82494696104538</v>
      </c>
      <c r="X9">
        <v>785.0130538274982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>
        <v>163.01385475410248</v>
      </c>
      <c r="N10">
        <v>193.03936852232886</v>
      </c>
      <c r="O10">
        <v>238.07763917466843</v>
      </c>
      <c r="P10">
        <v>283.11590982700801</v>
      </c>
      <c r="Q10">
        <v>313.14142359523441</v>
      </c>
      <c r="R10">
        <v>343.16693736346082</v>
      </c>
      <c r="S10">
        <v>388.20520801580034</v>
      </c>
      <c r="T10">
        <v>463.26899243636632</v>
      </c>
      <c r="U10">
        <v>538.33277685693224</v>
      </c>
      <c r="V10">
        <v>613.39656127749822</v>
      </c>
      <c r="W10">
        <v>688.4603456980642</v>
      </c>
      <c r="X10">
        <v>763.52413011863007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158.68151871502488</v>
      </c>
      <c r="N11">
        <v>187.88820057311455</v>
      </c>
      <c r="O11">
        <v>231.69822336024905</v>
      </c>
      <c r="P11">
        <v>275.50824614738343</v>
      </c>
      <c r="Q11">
        <v>304.7149280054731</v>
      </c>
      <c r="R11">
        <v>333.92160986356276</v>
      </c>
      <c r="S11">
        <v>377.73163265069724</v>
      </c>
      <c r="T11">
        <v>450.74833729592143</v>
      </c>
      <c r="U11">
        <v>523.76504194114557</v>
      </c>
      <c r="V11">
        <v>596.78174658636976</v>
      </c>
      <c r="W11">
        <v>669.79845123159396</v>
      </c>
      <c r="X11">
        <v>742.81515587681804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>
        <v>154.50392561983463</v>
      </c>
      <c r="N12">
        <v>182.92128099173544</v>
      </c>
      <c r="O12">
        <v>225.54731404958667</v>
      </c>
      <c r="P12">
        <v>268.17334710743791</v>
      </c>
      <c r="Q12">
        <v>296.59070247933874</v>
      </c>
      <c r="R12">
        <v>325.00805785123958</v>
      </c>
      <c r="S12">
        <v>367.63409090909073</v>
      </c>
      <c r="T12">
        <v>438.67747933884283</v>
      </c>
      <c r="U12">
        <v>509.72086776859481</v>
      </c>
      <c r="V12">
        <v>580.76425619834697</v>
      </c>
      <c r="W12">
        <v>651.80764462809896</v>
      </c>
      <c r="X12">
        <v>722.85103305785094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>
        <v>146.58582432694052</v>
      </c>
      <c r="N13">
        <v>173.50784453011107</v>
      </c>
      <c r="O13">
        <v>213.89087483486691</v>
      </c>
      <c r="P13">
        <v>254.27390513962268</v>
      </c>
      <c r="Q13">
        <v>281.1959253427932</v>
      </c>
      <c r="R13">
        <v>308.11794554596378</v>
      </c>
      <c r="S13">
        <v>348.50097585071956</v>
      </c>
      <c r="T13">
        <v>415.80602635864597</v>
      </c>
      <c r="U13">
        <v>483.11107686657226</v>
      </c>
      <c r="V13">
        <v>550.41612737449873</v>
      </c>
      <c r="W13">
        <v>617.7211778824252</v>
      </c>
      <c r="X13">
        <v>685.02622839035143</v>
      </c>
    </row>
    <row r="14" spans="2:24" x14ac:dyDescent="0.25">
      <c r="B14" t="s">
        <v>49</v>
      </c>
      <c r="C14">
        <f>C6*(1+C12)</f>
        <v>14.95</v>
      </c>
      <c r="D14">
        <f>C14*(1+D12)</f>
        <v>16.445</v>
      </c>
      <c r="E14">
        <f>D14*(1+E12)</f>
        <v>18.911749999999998</v>
      </c>
      <c r="F14">
        <f>E14*(1+F12)</f>
        <v>20.802924999999998</v>
      </c>
      <c r="G14">
        <f>F14*(1+G12)</f>
        <v>23.923363749999996</v>
      </c>
      <c r="L14" s="57">
        <v>0.15</v>
      </c>
      <c r="M14">
        <v>135.7086956521739</v>
      </c>
      <c r="N14">
        <v>160.57826086956521</v>
      </c>
      <c r="O14">
        <v>197.88260869565221</v>
      </c>
      <c r="P14">
        <v>235.18695652173915</v>
      </c>
      <c r="Q14">
        <v>260.05652173913052</v>
      </c>
      <c r="R14">
        <v>284.92608695652183</v>
      </c>
      <c r="S14">
        <v>322.23043478260877</v>
      </c>
      <c r="T14">
        <v>384.40434782608708</v>
      </c>
      <c r="U14">
        <v>446.57826086956527</v>
      </c>
      <c r="V14">
        <v>508.75217391304358</v>
      </c>
      <c r="W14">
        <v>570.92608695652177</v>
      </c>
      <c r="X14">
        <v>633.1</v>
      </c>
    </row>
    <row r="15" spans="2:24" x14ac:dyDescent="0.25">
      <c r="B15" t="s">
        <v>52</v>
      </c>
      <c r="C15">
        <f>C14*C13</f>
        <v>4.4849999999999994</v>
      </c>
      <c r="D15">
        <f>D14*D13</f>
        <v>4.9334999999999996</v>
      </c>
      <c r="E15">
        <f>E14*E13</f>
        <v>5.6735249999999988</v>
      </c>
      <c r="F15">
        <f>F14*F13</f>
        <v>6.240877499999999</v>
      </c>
      <c r="G15">
        <f>G14*G13</f>
        <v>7.1770091249999988</v>
      </c>
      <c r="L15" s="57">
        <v>0.2</v>
      </c>
      <c r="M15">
        <v>119.88982928240739</v>
      </c>
      <c r="N15">
        <v>141.77842881944443</v>
      </c>
      <c r="O15">
        <v>174.611328125</v>
      </c>
      <c r="P15">
        <v>207.44422743055551</v>
      </c>
      <c r="Q15">
        <v>229.33282696759258</v>
      </c>
      <c r="R15">
        <v>251.22142650462962</v>
      </c>
      <c r="S15">
        <v>284.05432581018516</v>
      </c>
      <c r="T15">
        <v>338.77582465277777</v>
      </c>
      <c r="U15">
        <v>393.49732349537032</v>
      </c>
      <c r="V15">
        <v>448.21882233796293</v>
      </c>
      <c r="W15">
        <v>502.94032118055554</v>
      </c>
      <c r="X15">
        <v>557.66182002314815</v>
      </c>
    </row>
    <row r="16" spans="2:24" x14ac:dyDescent="0.25">
      <c r="B16" t="s">
        <v>53</v>
      </c>
      <c r="C16">
        <f>C15/(1+C7)</f>
        <v>4.1527777777777768</v>
      </c>
      <c r="D16">
        <f>D15/(1+C7)^(D11)</f>
        <v>4.229681069958847</v>
      </c>
      <c r="E16">
        <f>E15/(1+C7)^(E11)</f>
        <v>4.5038270652339571</v>
      </c>
      <c r="F16">
        <f>F15/(1+C7)^(F11)</f>
        <v>4.5872312701456961</v>
      </c>
      <c r="G16">
        <f>G15/(1+C7)^(G11)</f>
        <v>4.8845518154329177</v>
      </c>
      <c r="H16">
        <f>SUM(C16:G16)</f>
        <v>22.358068998549196</v>
      </c>
    </row>
    <row r="17" spans="2:24" x14ac:dyDescent="0.25">
      <c r="B17" t="s">
        <v>54</v>
      </c>
      <c r="E17">
        <f>E14*C5/(1+C7)^E11</f>
        <v>375.31892210282973</v>
      </c>
      <c r="G17">
        <f>G14*C5/(1+C7)^G11</f>
        <v>407.04598461940981</v>
      </c>
    </row>
    <row r="18" spans="2:24" x14ac:dyDescent="0.25">
      <c r="B18" t="s">
        <v>55</v>
      </c>
      <c r="E18">
        <f>E17+C16+D16+E16</f>
        <v>388.20520801580034</v>
      </c>
      <c r="G18">
        <f>G17+H16</f>
        <v>429.40405361795899</v>
      </c>
    </row>
    <row r="20" spans="2:24" x14ac:dyDescent="0.25">
      <c r="B20" t="s">
        <v>64</v>
      </c>
      <c r="C20" s="58">
        <v>2614694040</v>
      </c>
    </row>
    <row r="21" spans="2:24" x14ac:dyDescent="0.25">
      <c r="B21" t="s">
        <v>66</v>
      </c>
      <c r="C21" s="58">
        <v>467</v>
      </c>
    </row>
    <row r="22" spans="2:24" x14ac:dyDescent="0.25">
      <c r="B22" t="s">
        <v>65</v>
      </c>
      <c r="E22">
        <f>E18*100000000/C20</f>
        <v>14.847060576762562</v>
      </c>
      <c r="G22">
        <f>G18*100000000/C20</f>
        <v>16.422726600086602</v>
      </c>
      <c r="K22" t="s">
        <v>58</v>
      </c>
    </row>
    <row r="23" spans="2:24" x14ac:dyDescent="0.25">
      <c r="M23" t="s">
        <v>57</v>
      </c>
    </row>
    <row r="24" spans="2:24" x14ac:dyDescent="0.25">
      <c r="G24" t="s">
        <v>93</v>
      </c>
      <c r="L24">
        <f>G18</f>
        <v>429.40405361795899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51</v>
      </c>
      <c r="L25" s="57">
        <v>0.05</v>
      </c>
      <c r="M25">
        <f t="dataTable" ref="M25:X33" dt2D="1" dtr="1" r1="C5" r2="C7" ca="1"/>
        <v>211.85083740583295</v>
      </c>
      <c r="N25">
        <v>249.34000038196896</v>
      </c>
      <c r="O25">
        <v>305.57374484617287</v>
      </c>
      <c r="P25">
        <v>361.80748931037692</v>
      </c>
      <c r="Q25">
        <v>399.29665228651288</v>
      </c>
      <c r="R25">
        <v>436.78581526264884</v>
      </c>
      <c r="S25">
        <v>493.01955972685289</v>
      </c>
      <c r="T25">
        <v>586.74246716719279</v>
      </c>
      <c r="U25">
        <v>680.46537460753279</v>
      </c>
      <c r="V25">
        <v>774.1882820478728</v>
      </c>
      <c r="W25">
        <v>867.91118948821281</v>
      </c>
      <c r="X25">
        <v>961.63409692855282</v>
      </c>
    </row>
    <row r="26" spans="2:24" x14ac:dyDescent="0.25">
      <c r="L26" s="57">
        <v>0.06</v>
      </c>
      <c r="M26">
        <v>202.46125959758362</v>
      </c>
      <c r="N26">
        <v>238.21511776685372</v>
      </c>
      <c r="O26">
        <v>291.84590502075889</v>
      </c>
      <c r="P26">
        <v>345.47669227466406</v>
      </c>
      <c r="Q26">
        <v>381.23055044393419</v>
      </c>
      <c r="R26">
        <v>416.98440861320427</v>
      </c>
      <c r="S26">
        <v>470.61519586710949</v>
      </c>
      <c r="T26">
        <v>559.99984129028473</v>
      </c>
      <c r="U26">
        <v>649.38448671345998</v>
      </c>
      <c r="V26">
        <v>738.76913213663533</v>
      </c>
      <c r="W26">
        <v>828.15377755981069</v>
      </c>
      <c r="X26">
        <v>917.53842298298594</v>
      </c>
    </row>
    <row r="27" spans="2:24" x14ac:dyDescent="0.25">
      <c r="C27" s="69">
        <v>492509895.31367302</v>
      </c>
      <c r="L27" s="57">
        <v>7.0000000000000007E-2</v>
      </c>
      <c r="M27">
        <v>193.58050624795391</v>
      </c>
      <c r="N27">
        <v>227.69456168897509</v>
      </c>
      <c r="O27">
        <v>278.86564485050678</v>
      </c>
      <c r="P27">
        <v>330.03672801203857</v>
      </c>
      <c r="Q27">
        <v>364.15078345305972</v>
      </c>
      <c r="R27">
        <v>398.26483889408092</v>
      </c>
      <c r="S27">
        <v>449.43592205561271</v>
      </c>
      <c r="T27">
        <v>534.72106065816547</v>
      </c>
      <c r="U27">
        <v>620.00619926071852</v>
      </c>
      <c r="V27">
        <v>705.29133786327134</v>
      </c>
      <c r="W27">
        <v>790.57647646582438</v>
      </c>
      <c r="X27">
        <v>875.86161506837732</v>
      </c>
    </row>
    <row r="28" spans="2:24" x14ac:dyDescent="0.25">
      <c r="C28" s="69">
        <v>1095674964.856431</v>
      </c>
      <c r="L28" s="57">
        <v>0.08</v>
      </c>
      <c r="M28">
        <v>185.17646284631311</v>
      </c>
      <c r="N28">
        <v>217.74014161586589</v>
      </c>
      <c r="O28">
        <v>266.58565977019504</v>
      </c>
      <c r="P28">
        <v>315.43117792452426</v>
      </c>
      <c r="Q28">
        <v>347.99485669407704</v>
      </c>
      <c r="R28">
        <v>380.55853546362977</v>
      </c>
      <c r="S28">
        <v>429.40405361795899</v>
      </c>
      <c r="T28">
        <v>510.81325054184089</v>
      </c>
      <c r="U28">
        <v>592.22244746572289</v>
      </c>
      <c r="V28">
        <v>673.63164438960496</v>
      </c>
      <c r="W28">
        <v>755.04084131348691</v>
      </c>
      <c r="X28">
        <v>836.45003823736886</v>
      </c>
    </row>
    <row r="29" spans="2:24" x14ac:dyDescent="0.25">
      <c r="C29" s="69">
        <v>1240360139.7304819</v>
      </c>
      <c r="L29" s="57">
        <v>0.09</v>
      </c>
      <c r="M29">
        <v>177.21931754440402</v>
      </c>
      <c r="N29">
        <v>208.31640747831818</v>
      </c>
      <c r="O29">
        <v>254.9620423791894</v>
      </c>
      <c r="P29">
        <v>301.60767728006067</v>
      </c>
      <c r="Q29">
        <v>332.70476721397483</v>
      </c>
      <c r="R29">
        <v>363.80185714788894</v>
      </c>
      <c r="S29">
        <v>410.44749204876024</v>
      </c>
      <c r="T29">
        <v>488.19021688354559</v>
      </c>
      <c r="U29">
        <v>565.93294171833088</v>
      </c>
      <c r="V29">
        <v>643.67566655311634</v>
      </c>
      <c r="W29">
        <v>721.41839138790181</v>
      </c>
      <c r="X29">
        <v>799.16111622268716</v>
      </c>
    </row>
    <row r="30" spans="2:24" x14ac:dyDescent="0.25">
      <c r="C30" s="69">
        <v>1389298120.6508074</v>
      </c>
      <c r="L30" s="57">
        <v>0.1</v>
      </c>
      <c r="M30">
        <v>169.68137678437256</v>
      </c>
      <c r="N30">
        <v>199.39043012772342</v>
      </c>
      <c r="O30">
        <v>243.95401014274967</v>
      </c>
      <c r="P30">
        <v>288.517590157776</v>
      </c>
      <c r="Q30">
        <v>318.22664350112683</v>
      </c>
      <c r="R30">
        <v>347.93569684447766</v>
      </c>
      <c r="S30">
        <v>392.49927685950399</v>
      </c>
      <c r="T30">
        <v>466.77191021788104</v>
      </c>
      <c r="U30">
        <v>541.04454357625821</v>
      </c>
      <c r="V30">
        <v>615.31717693463531</v>
      </c>
      <c r="W30">
        <v>689.58981029301253</v>
      </c>
      <c r="X30">
        <v>763.86244365138964</v>
      </c>
    </row>
    <row r="31" spans="2:24" x14ac:dyDescent="0.25">
      <c r="C31" s="69">
        <v>1563252546.7188804</v>
      </c>
      <c r="L31" s="57">
        <v>0.12</v>
      </c>
      <c r="M31">
        <v>155.76193221745837</v>
      </c>
      <c r="N31">
        <v>182.911450359208</v>
      </c>
      <c r="O31">
        <v>223.63572757183243</v>
      </c>
      <c r="P31">
        <v>264.36000478445686</v>
      </c>
      <c r="Q31">
        <v>291.5095229262065</v>
      </c>
      <c r="R31">
        <v>318.65904106795614</v>
      </c>
      <c r="S31">
        <v>359.38331828058062</v>
      </c>
      <c r="T31">
        <v>427.25711363495464</v>
      </c>
      <c r="U31">
        <v>495.13090898932876</v>
      </c>
      <c r="V31">
        <v>563.00470434370277</v>
      </c>
      <c r="W31">
        <v>630.87849969807701</v>
      </c>
      <c r="X31">
        <v>698.75229505245102</v>
      </c>
    </row>
    <row r="32" spans="2:24" x14ac:dyDescent="0.25">
      <c r="L32" s="57">
        <v>0.15</v>
      </c>
      <c r="M32">
        <v>137.43875236294897</v>
      </c>
      <c r="N32">
        <v>161.22703213610589</v>
      </c>
      <c r="O32">
        <v>196.90945179584122</v>
      </c>
      <c r="P32">
        <v>232.59187145557658</v>
      </c>
      <c r="Q32">
        <v>256.3801512287335</v>
      </c>
      <c r="R32">
        <v>280.16843100189038</v>
      </c>
      <c r="S32">
        <v>315.85085066162577</v>
      </c>
      <c r="T32">
        <v>375.32155009451799</v>
      </c>
      <c r="U32">
        <v>434.79224952741026</v>
      </c>
      <c r="V32">
        <v>494.26294896030254</v>
      </c>
      <c r="W32">
        <v>553.73364839319481</v>
      </c>
      <c r="X32">
        <v>613.20434782608709</v>
      </c>
    </row>
    <row r="33" spans="12:24" x14ac:dyDescent="0.25">
      <c r="L33" s="57">
        <v>0.2</v>
      </c>
      <c r="M33">
        <v>112.48342641822595</v>
      </c>
      <c r="N33">
        <v>131.71195309485918</v>
      </c>
      <c r="O33">
        <v>160.55474310980898</v>
      </c>
      <c r="P33">
        <v>189.39753312475884</v>
      </c>
      <c r="Q33">
        <v>208.62605980139207</v>
      </c>
      <c r="R33">
        <v>227.85458647802528</v>
      </c>
      <c r="S33">
        <v>256.6973764929752</v>
      </c>
      <c r="T33">
        <v>304.76869318455817</v>
      </c>
      <c r="U33">
        <v>352.84000987614127</v>
      </c>
      <c r="V33">
        <v>400.91132656772436</v>
      </c>
      <c r="W33">
        <v>448.98264325930745</v>
      </c>
      <c r="X33">
        <v>497.05395995089054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tabSelected="1" topLeftCell="J1" workbookViewId="0">
      <selection activeCell="V33" sqref="V33"/>
    </sheetView>
  </sheetViews>
  <sheetFormatPr defaultRowHeight="15.75" x14ac:dyDescent="0.25"/>
  <cols>
    <col min="2" max="2" width="13.25" customWidth="1"/>
    <col min="3" max="4" width="16.75" bestFit="1" customWidth="1"/>
    <col min="5" max="5" width="17.875" bestFit="1" customWidth="1"/>
    <col min="6" max="6" width="16.75" bestFit="1" customWidth="1"/>
    <col min="7" max="7" width="17.875" bestFit="1" customWidth="1"/>
    <col min="8" max="8" width="16.75" bestFit="1" customWidth="1"/>
    <col min="13" max="13" width="17.75" customWidth="1"/>
    <col min="14" max="24" width="17.7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35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35470903023.14341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20</v>
      </c>
      <c r="C7" s="57">
        <v>0.08</v>
      </c>
      <c r="K7" t="s">
        <v>20</v>
      </c>
      <c r="L7" s="57">
        <v>0</v>
      </c>
      <c r="M7" s="69">
        <f t="dataTable" ref="M7:X15" dt2D="1" dtr="1" r1="C5" r2="C7" ca="1"/>
        <v>13342385777.329597</v>
      </c>
      <c r="N7" s="69">
        <v>15845745277.574242</v>
      </c>
      <c r="O7" s="69">
        <v>19600784527.941212</v>
      </c>
      <c r="P7" s="69">
        <v>23355823778.308178</v>
      </c>
      <c r="Q7" s="69">
        <v>25859183278.55283</v>
      </c>
      <c r="R7" s="69">
        <v>28362542778.797474</v>
      </c>
      <c r="S7" s="69">
        <v>32117582029.16444</v>
      </c>
      <c r="T7" s="69">
        <v>38375980779.776054</v>
      </c>
      <c r="U7" s="69">
        <v>44634379530.387665</v>
      </c>
      <c r="V7" s="69">
        <v>50892778280.999283</v>
      </c>
      <c r="W7" s="69">
        <v>57151177031.610893</v>
      </c>
      <c r="X7" s="69">
        <v>63409575782.222511</v>
      </c>
    </row>
    <row r="8" spans="2:24" x14ac:dyDescent="0.25">
      <c r="C8" s="57"/>
      <c r="L8" s="57">
        <v>0.06</v>
      </c>
      <c r="M8" s="69">
        <v>11233069819.136702</v>
      </c>
      <c r="N8" s="69">
        <v>13334938727.904211</v>
      </c>
      <c r="O8" s="69">
        <v>16487742091.055477</v>
      </c>
      <c r="P8" s="69">
        <v>19640545454.206745</v>
      </c>
      <c r="Q8" s="69">
        <v>21742414362.974255</v>
      </c>
      <c r="R8" s="69">
        <v>23844283271.741764</v>
      </c>
      <c r="S8" s="69">
        <v>26997086634.893032</v>
      </c>
      <c r="T8" s="69">
        <v>32251758906.811806</v>
      </c>
      <c r="U8" s="69">
        <v>37506431178.730576</v>
      </c>
      <c r="V8" s="69">
        <v>42761103450.649353</v>
      </c>
      <c r="W8" s="69">
        <v>48015775722.56813</v>
      </c>
      <c r="X8" s="69">
        <v>53270447994.486908</v>
      </c>
    </row>
    <row r="9" spans="2:24" x14ac:dyDescent="0.25">
      <c r="C9" s="57"/>
      <c r="L9" s="57">
        <v>7.0000000000000007E-2</v>
      </c>
      <c r="M9" s="69">
        <v>10926091916.14756</v>
      </c>
      <c r="N9" s="69">
        <v>12969578961.291809</v>
      </c>
      <c r="O9" s="69">
        <v>16034809529.008183</v>
      </c>
      <c r="P9" s="69">
        <v>19100040096.724552</v>
      </c>
      <c r="Q9" s="69">
        <v>21143527141.868801</v>
      </c>
      <c r="R9" s="69">
        <v>23187014187.01305</v>
      </c>
      <c r="S9" s="69">
        <v>26252244754.729424</v>
      </c>
      <c r="T9" s="69">
        <v>31360962367.590046</v>
      </c>
      <c r="U9" s="69">
        <v>36469679980.450668</v>
      </c>
      <c r="V9" s="69">
        <v>41578397593.311287</v>
      </c>
      <c r="W9" s="69">
        <v>46687115206.171906</v>
      </c>
      <c r="X9" s="69">
        <v>51795832819.032532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 s="69">
        <v>10630309496.164179</v>
      </c>
      <c r="N10" s="69">
        <v>12617556978.322515</v>
      </c>
      <c r="O10" s="69">
        <v>15598428201.560026</v>
      </c>
      <c r="P10" s="69">
        <v>18579299424.797527</v>
      </c>
      <c r="Q10" s="69">
        <v>20566546906.955868</v>
      </c>
      <c r="R10" s="69">
        <v>22553794389.114208</v>
      </c>
      <c r="S10" s="69">
        <v>25534665612.351719</v>
      </c>
      <c r="T10" s="69">
        <v>30502784317.747562</v>
      </c>
      <c r="U10" s="69">
        <v>35470903023.14341</v>
      </c>
      <c r="V10" s="69">
        <v>40439021728.539261</v>
      </c>
      <c r="W10" s="69">
        <v>45407140433.935104</v>
      </c>
      <c r="X10" s="69">
        <v>50375259139.330956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 s="69">
        <v>10345215384.447264</v>
      </c>
      <c r="N11" s="69">
        <v>12278268235.1901</v>
      </c>
      <c r="O11" s="69">
        <v>15177847511.304356</v>
      </c>
      <c r="P11" s="69">
        <v>18077426787.418613</v>
      </c>
      <c r="Q11" s="69">
        <v>20010479638.161449</v>
      </c>
      <c r="R11" s="69">
        <v>21943532488.904285</v>
      </c>
      <c r="S11" s="69">
        <v>24843111765.018543</v>
      </c>
      <c r="T11" s="69">
        <v>29675743891.875633</v>
      </c>
      <c r="U11" s="69">
        <v>34508376018.732719</v>
      </c>
      <c r="V11" s="69">
        <v>39341008145.589813</v>
      </c>
      <c r="W11" s="69">
        <v>44173640272.446907</v>
      </c>
      <c r="X11" s="69">
        <v>49006272399.304001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 s="69">
        <v>10070329762.173792</v>
      </c>
      <c r="N12" s="69">
        <v>11951140806.685169</v>
      </c>
      <c r="O12" s="69">
        <v>14772357373.45224</v>
      </c>
      <c r="P12" s="69">
        <v>17593573940.219307</v>
      </c>
      <c r="Q12" s="69">
        <v>19474384984.730686</v>
      </c>
      <c r="R12" s="69">
        <v>21355196029.242065</v>
      </c>
      <c r="S12" s="69">
        <v>24176412596.009132</v>
      </c>
      <c r="T12" s="69">
        <v>28878440207.287582</v>
      </c>
      <c r="U12" s="69">
        <v>33580467818.566025</v>
      </c>
      <c r="V12" s="69">
        <v>38282495429.844467</v>
      </c>
      <c r="W12" s="69">
        <v>42984523041.122917</v>
      </c>
      <c r="X12" s="69">
        <v>47686550652.40136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 s="69">
        <v>9549391368.0793438</v>
      </c>
      <c r="N13" s="69">
        <v>11331233213.529533</v>
      </c>
      <c r="O13" s="69">
        <v>14003995981.704819</v>
      </c>
      <c r="P13" s="69">
        <v>16676758749.880104</v>
      </c>
      <c r="Q13" s="69">
        <v>18458600595.330296</v>
      </c>
      <c r="R13" s="69">
        <v>20240442440.780483</v>
      </c>
      <c r="S13" s="69">
        <v>22913205208.955772</v>
      </c>
      <c r="T13" s="69">
        <v>27367809822.581245</v>
      </c>
      <c r="U13" s="69">
        <v>31822414436.206718</v>
      </c>
      <c r="V13" s="69">
        <v>36277019049.832191</v>
      </c>
      <c r="W13" s="69">
        <v>40731623663.457664</v>
      </c>
      <c r="X13" s="69">
        <v>45186228277.083145</v>
      </c>
    </row>
    <row r="14" spans="2:24" x14ac:dyDescent="0.25">
      <c r="B14" t="s">
        <v>49</v>
      </c>
      <c r="C14" s="104">
        <f>各营业业务分析!K286</f>
        <v>491354576.26540506</v>
      </c>
      <c r="D14" s="104">
        <f>各营业业务分析!K287</f>
        <v>1008926593.9668347</v>
      </c>
      <c r="E14" s="104">
        <f>各营业业务分析!K288</f>
        <v>1251679750.1223228</v>
      </c>
      <c r="F14" s="104">
        <f>各营业业务分析!K289</f>
        <v>1440489725.7045765</v>
      </c>
      <c r="G14" s="104">
        <f>各营业业务分析!K290</f>
        <v>1619595393.8602722</v>
      </c>
      <c r="H14" s="104"/>
      <c r="L14" s="57">
        <v>0.15</v>
      </c>
      <c r="M14" s="69">
        <v>8833944952.2885094</v>
      </c>
      <c r="N14" s="69">
        <v>10479944459.312191</v>
      </c>
      <c r="O14" s="69">
        <v>12948943719.847719</v>
      </c>
      <c r="P14" s="69">
        <v>15417942980.383245</v>
      </c>
      <c r="Q14" s="69">
        <v>17063942487.406931</v>
      </c>
      <c r="R14" s="69">
        <v>18709941994.430622</v>
      </c>
      <c r="S14" s="69">
        <v>21178941254.966148</v>
      </c>
      <c r="T14" s="69">
        <v>25293940022.52536</v>
      </c>
      <c r="U14" s="69">
        <v>29408938790.084568</v>
      </c>
      <c r="V14" s="69">
        <v>33523937557.643784</v>
      </c>
      <c r="W14" s="69">
        <v>37638936325.202988</v>
      </c>
      <c r="X14" s="69">
        <v>41753935092.762199</v>
      </c>
    </row>
    <row r="15" spans="2:24" x14ac:dyDescent="0.25">
      <c r="B15" t="s">
        <v>52</v>
      </c>
      <c r="C15" s="104">
        <f>C14*C13</f>
        <v>147406372.87962151</v>
      </c>
      <c r="D15" s="104">
        <f>D14*D13</f>
        <v>302677978.19005036</v>
      </c>
      <c r="E15" s="104">
        <f>E14*E13</f>
        <v>375503925.03669685</v>
      </c>
      <c r="F15" s="104">
        <f>F14*F13</f>
        <v>432146917.71137291</v>
      </c>
      <c r="G15" s="104">
        <f>G14*G13</f>
        <v>485878618.15808165</v>
      </c>
      <c r="H15" s="104"/>
      <c r="L15" s="57">
        <v>0.2</v>
      </c>
      <c r="M15" s="69">
        <v>7793854269.1172686</v>
      </c>
      <c r="N15" s="69">
        <v>9242557683.6106987</v>
      </c>
      <c r="O15" s="69">
        <v>11415612805.350843</v>
      </c>
      <c r="P15" s="69">
        <v>13588667927.090986</v>
      </c>
      <c r="Q15" s="69">
        <v>15037371341.584415</v>
      </c>
      <c r="R15" s="69">
        <v>16486074756.077845</v>
      </c>
      <c r="S15" s="69">
        <v>18659129877.817989</v>
      </c>
      <c r="T15" s="69">
        <v>22280888414.051563</v>
      </c>
      <c r="U15" s="69">
        <v>25902646950.285133</v>
      </c>
      <c r="V15" s="69">
        <v>29524405486.518707</v>
      </c>
      <c r="W15" s="69">
        <v>33146164022.752277</v>
      </c>
      <c r="X15" s="69">
        <v>36767922558.985855</v>
      </c>
    </row>
    <row r="16" spans="2:24" x14ac:dyDescent="0.25">
      <c r="B16" t="s">
        <v>53</v>
      </c>
      <c r="C16" s="104">
        <f>C15/(1+C7)</f>
        <v>136487382.29594582</v>
      </c>
      <c r="D16" s="104">
        <f>D15/(1+C7)^(D11)</f>
        <v>259497580.75278664</v>
      </c>
      <c r="E16" s="104">
        <f>E15/(1+C7)^(E11)</f>
        <v>298087122.32375085</v>
      </c>
      <c r="F16" s="104">
        <f>F15/(1+C7)^(F11)</f>
        <v>317640885.31183141</v>
      </c>
      <c r="G16" s="104">
        <f>G15/(1+C7)^(G11)</f>
        <v>330680823.31636935</v>
      </c>
      <c r="H16" s="104">
        <f>SUM(C16:G16)</f>
        <v>1342393794.000684</v>
      </c>
    </row>
    <row r="17" spans="2:24" x14ac:dyDescent="0.25">
      <c r="B17" t="s">
        <v>54</v>
      </c>
      <c r="C17" s="104"/>
      <c r="D17" s="104"/>
      <c r="E17" s="104">
        <f>E14*C5/(1+C7)^E11</f>
        <v>34776830937.770927</v>
      </c>
      <c r="F17" s="104"/>
      <c r="G17" s="104">
        <f>G14*C5/(1+C7)^G11</f>
        <v>38579429386.90976</v>
      </c>
      <c r="H17" s="104"/>
    </row>
    <row r="18" spans="2:24" x14ac:dyDescent="0.25">
      <c r="B18" t="s">
        <v>55</v>
      </c>
      <c r="C18" s="104"/>
      <c r="D18" s="104"/>
      <c r="E18" s="104">
        <f>E17+C16+D16+E16</f>
        <v>35470903023.14341</v>
      </c>
      <c r="F18" s="104"/>
      <c r="G18" s="104">
        <f>G17+H16</f>
        <v>39921823180.910446</v>
      </c>
      <c r="H18" s="104"/>
    </row>
    <row r="19" spans="2:24" x14ac:dyDescent="0.25">
      <c r="C19" s="104"/>
      <c r="D19" s="104"/>
      <c r="E19" s="104"/>
      <c r="F19" s="104"/>
      <c r="G19" s="104"/>
      <c r="H19" s="104"/>
    </row>
    <row r="20" spans="2:24" x14ac:dyDescent="0.25">
      <c r="B20" t="s">
        <v>64</v>
      </c>
      <c r="C20" s="104">
        <v>2614694040</v>
      </c>
      <c r="D20" s="104"/>
      <c r="E20" s="104"/>
      <c r="F20" s="104"/>
      <c r="G20" s="104"/>
      <c r="H20" s="104"/>
    </row>
    <row r="21" spans="2:24" x14ac:dyDescent="0.25">
      <c r="B21" t="s">
        <v>66</v>
      </c>
      <c r="C21" s="104">
        <v>467</v>
      </c>
      <c r="D21" s="104"/>
      <c r="E21" s="104"/>
      <c r="F21" s="104"/>
      <c r="G21" s="104"/>
      <c r="H21" s="104"/>
    </row>
    <row r="22" spans="2:24" x14ac:dyDescent="0.25">
      <c r="B22" t="s">
        <v>65</v>
      </c>
      <c r="C22" s="104"/>
      <c r="D22" s="104"/>
      <c r="E22" s="104">
        <f>E18/C20</f>
        <v>13.565986107936135</v>
      </c>
      <c r="F22" s="104"/>
      <c r="G22" s="104">
        <f>G18/C20</f>
        <v>15.268257995077102</v>
      </c>
      <c r="H22" s="104"/>
      <c r="K22" t="s">
        <v>58</v>
      </c>
    </row>
    <row r="23" spans="2:24" x14ac:dyDescent="0.25">
      <c r="C23" s="104"/>
      <c r="D23" s="104"/>
      <c r="E23" s="104"/>
      <c r="F23" s="104"/>
      <c r="G23" s="104"/>
      <c r="H23" s="104"/>
      <c r="M23" t="s">
        <v>57</v>
      </c>
    </row>
    <row r="24" spans="2:24" x14ac:dyDescent="0.25">
      <c r="G24" t="s">
        <v>93</v>
      </c>
      <c r="L24">
        <f>G18</f>
        <v>39921823180.910446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20</v>
      </c>
      <c r="L25" s="57">
        <v>0</v>
      </c>
      <c r="M25" s="69">
        <f t="dataTable" ref="M25:X33" dt2D="1" dtr="1" r1="C5" r2="C7"/>
        <v>17939567750.578545</v>
      </c>
      <c r="N25" s="69">
        <v>21178758538.299088</v>
      </c>
      <c r="O25" s="69">
        <v>26037544719.879906</v>
      </c>
      <c r="P25" s="69">
        <v>30896330901.46072</v>
      </c>
      <c r="Q25" s="69">
        <v>34135521689.181267</v>
      </c>
      <c r="R25" s="69">
        <v>37374712476.90181</v>
      </c>
      <c r="S25" s="69">
        <v>42233498658.482628</v>
      </c>
      <c r="T25" s="69">
        <v>50331475627.783989</v>
      </c>
      <c r="U25" s="69">
        <v>58429452597.08535</v>
      </c>
      <c r="V25" s="69">
        <v>66527429566.386711</v>
      </c>
      <c r="W25" s="69">
        <v>74625406535.68808</v>
      </c>
      <c r="X25" s="69">
        <v>82723383504.989441</v>
      </c>
    </row>
    <row r="26" spans="2:24" x14ac:dyDescent="0.25">
      <c r="L26" s="57">
        <v>0.04</v>
      </c>
      <c r="M26" s="69">
        <v>14836052689.52578</v>
      </c>
      <c r="N26" s="69">
        <v>17498431401.918472</v>
      </c>
      <c r="O26" s="69">
        <v>21491999470.507511</v>
      </c>
      <c r="P26" s="69">
        <v>25485567539.096546</v>
      </c>
      <c r="Q26" s="69">
        <v>28147946251.489239</v>
      </c>
      <c r="R26" s="69">
        <v>30810324963.881931</v>
      </c>
      <c r="S26" s="69">
        <v>34803893032.47097</v>
      </c>
      <c r="T26" s="69">
        <v>41459839813.452705</v>
      </c>
      <c r="U26" s="69">
        <v>48115786594.434433</v>
      </c>
      <c r="V26" s="69">
        <v>54771733375.416161</v>
      </c>
      <c r="W26" s="69">
        <v>61427680156.397896</v>
      </c>
      <c r="X26" s="69">
        <v>68083626937.379623</v>
      </c>
    </row>
    <row r="27" spans="2:24" x14ac:dyDescent="0.25">
      <c r="C27" s="69"/>
      <c r="L27" s="57">
        <v>0.05</v>
      </c>
      <c r="M27" s="69">
        <v>14165479930.873772</v>
      </c>
      <c r="N27" s="69">
        <v>16703470671.236397</v>
      </c>
      <c r="O27" s="69">
        <v>20510456781.780338</v>
      </c>
      <c r="P27" s="69">
        <v>24317442892.324276</v>
      </c>
      <c r="Q27" s="69">
        <v>26855433632.686901</v>
      </c>
      <c r="R27" s="69">
        <v>29393424373.049526</v>
      </c>
      <c r="S27" s="69">
        <v>33200410483.593468</v>
      </c>
      <c r="T27" s="69">
        <v>39545387334.500031</v>
      </c>
      <c r="U27" s="69">
        <v>45890364185.406593</v>
      </c>
      <c r="V27" s="69">
        <v>52235341036.313156</v>
      </c>
      <c r="W27" s="69">
        <v>58580317887.219727</v>
      </c>
      <c r="X27" s="69">
        <v>64925294738.126289</v>
      </c>
    </row>
    <row r="28" spans="2:24" x14ac:dyDescent="0.25">
      <c r="C28" s="69"/>
      <c r="L28" s="57">
        <v>0.06</v>
      </c>
      <c r="M28" s="69">
        <v>13531661826.828751</v>
      </c>
      <c r="N28" s="69">
        <v>15952173616.425367</v>
      </c>
      <c r="O28" s="69">
        <v>19582941300.820297</v>
      </c>
      <c r="P28" s="69">
        <v>23213708985.215221</v>
      </c>
      <c r="Q28" s="69">
        <v>25634220774.81184</v>
      </c>
      <c r="R28" s="69">
        <v>28054732564.408459</v>
      </c>
      <c r="S28" s="69">
        <v>31685500248.803387</v>
      </c>
      <c r="T28" s="69">
        <v>37736779722.79493</v>
      </c>
      <c r="U28" s="69">
        <v>43788059196.786476</v>
      </c>
      <c r="V28" s="69">
        <v>49839338670.778015</v>
      </c>
      <c r="W28" s="69">
        <v>55890618144.769562</v>
      </c>
      <c r="X28" s="69">
        <v>61941897618.761108</v>
      </c>
    </row>
    <row r="29" spans="2:24" x14ac:dyDescent="0.25">
      <c r="C29" s="69"/>
      <c r="L29" s="57">
        <v>7.0000000000000007E-2</v>
      </c>
      <c r="M29" s="69">
        <v>12932255566.280582</v>
      </c>
      <c r="N29" s="69">
        <v>15241753830.636147</v>
      </c>
      <c r="O29" s="69">
        <v>18706001227.169495</v>
      </c>
      <c r="P29" s="69">
        <v>22170248623.702843</v>
      </c>
      <c r="Q29" s="69">
        <v>24479746888.058411</v>
      </c>
      <c r="R29" s="69">
        <v>26789245152.413971</v>
      </c>
      <c r="S29" s="69">
        <v>30253492548.947319</v>
      </c>
      <c r="T29" s="69">
        <v>36027238209.836235</v>
      </c>
      <c r="U29" s="69">
        <v>41800983870.725143</v>
      </c>
      <c r="V29" s="69">
        <v>47574729531.614059</v>
      </c>
      <c r="W29" s="69">
        <v>53348475192.502968</v>
      </c>
      <c r="X29" s="69">
        <v>59122220853.391884</v>
      </c>
    </row>
    <row r="30" spans="2:24" x14ac:dyDescent="0.25">
      <c r="C30" s="69"/>
      <c r="L30" s="57">
        <v>0.1</v>
      </c>
      <c r="M30" s="69">
        <v>11319542241.303514</v>
      </c>
      <c r="N30" s="69">
        <v>13330824870.85598</v>
      </c>
      <c r="O30" s="69">
        <v>16347748815.184681</v>
      </c>
      <c r="P30" s="69">
        <v>19364672759.513378</v>
      </c>
      <c r="Q30" s="69">
        <v>21375955389.065849</v>
      </c>
      <c r="R30" s="69">
        <v>23387238018.618313</v>
      </c>
      <c r="S30" s="69">
        <v>26404161962.947014</v>
      </c>
      <c r="T30" s="69">
        <v>31432368536.828182</v>
      </c>
      <c r="U30" s="69">
        <v>36460575110.709351</v>
      </c>
      <c r="V30" s="69">
        <v>41488781684.590515</v>
      </c>
      <c r="W30" s="69">
        <v>46516988258.47168</v>
      </c>
      <c r="X30" s="69">
        <v>51545194832.352844</v>
      </c>
    </row>
    <row r="31" spans="2:24" x14ac:dyDescent="0.25">
      <c r="C31" s="69"/>
      <c r="L31" s="57">
        <v>0.12</v>
      </c>
      <c r="M31" s="69">
        <v>10380539114.867838</v>
      </c>
      <c r="N31" s="69">
        <v>12218542958.616758</v>
      </c>
      <c r="O31" s="69">
        <v>14975548724.240141</v>
      </c>
      <c r="P31" s="69">
        <v>17732554489.863522</v>
      </c>
      <c r="Q31" s="69">
        <v>19570558333.612442</v>
      </c>
      <c r="R31" s="69">
        <v>21408562177.361366</v>
      </c>
      <c r="S31" s="69">
        <v>24165567942.984749</v>
      </c>
      <c r="T31" s="69">
        <v>28760577552.357048</v>
      </c>
      <c r="U31" s="69">
        <v>33355587161.729355</v>
      </c>
      <c r="V31" s="69">
        <v>37950596771.101654</v>
      </c>
      <c r="W31" s="69">
        <v>42545606380.473953</v>
      </c>
      <c r="X31" s="69">
        <v>47140615989.84626</v>
      </c>
    </row>
    <row r="32" spans="2:24" x14ac:dyDescent="0.25">
      <c r="L32" s="57">
        <v>0.15</v>
      </c>
      <c r="M32" s="69">
        <v>9144847869.3076496</v>
      </c>
      <c r="N32" s="69">
        <v>10755298170.154844</v>
      </c>
      <c r="O32" s="69">
        <v>13170973621.42564</v>
      </c>
      <c r="P32" s="69">
        <v>15586649072.696434</v>
      </c>
      <c r="Q32" s="69">
        <v>17197099373.543629</v>
      </c>
      <c r="R32" s="69">
        <v>18807549674.390823</v>
      </c>
      <c r="S32" s="69">
        <v>21223225125.661621</v>
      </c>
      <c r="T32" s="69">
        <v>25249350877.77961</v>
      </c>
      <c r="U32" s="69">
        <v>29275476629.897602</v>
      </c>
      <c r="V32" s="69">
        <v>33301602382.015591</v>
      </c>
      <c r="W32" s="69">
        <v>37327728134.133583</v>
      </c>
      <c r="X32" s="69">
        <v>41353853886.251579</v>
      </c>
    </row>
    <row r="33" spans="12:24" x14ac:dyDescent="0.25">
      <c r="L33" s="57">
        <v>0.2</v>
      </c>
      <c r="M33" s="69">
        <v>7462795746.199398</v>
      </c>
      <c r="N33" s="69">
        <v>8764553875.2666168</v>
      </c>
      <c r="O33" s="69">
        <v>10717191068.867447</v>
      </c>
      <c r="P33" s="69">
        <v>12669828262.468277</v>
      </c>
      <c r="Q33" s="69">
        <v>13971586391.535498</v>
      </c>
      <c r="R33" s="69">
        <v>15273344520.602716</v>
      </c>
      <c r="S33" s="69">
        <v>17225981714.203548</v>
      </c>
      <c r="T33" s="69">
        <v>20480377036.871597</v>
      </c>
      <c r="U33" s="69">
        <v>23734772359.53965</v>
      </c>
      <c r="V33" s="69">
        <v>26989167682.207699</v>
      </c>
      <c r="W33" s="69">
        <v>30243563004.875748</v>
      </c>
      <c r="X33" s="69">
        <v>33497958327.543797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opLeftCell="A271" zoomScaleNormal="100" workbookViewId="0">
      <selection activeCell="A286" sqref="A286:XFD286"/>
    </sheetView>
  </sheetViews>
  <sheetFormatPr defaultRowHeight="15.75" x14ac:dyDescent="0.25"/>
  <cols>
    <col min="1" max="1" width="17.25" bestFit="1" customWidth="1"/>
    <col min="2" max="3" width="18.5" customWidth="1"/>
    <col min="4" max="5" width="15.5" customWidth="1"/>
    <col min="6" max="6" width="21.125" customWidth="1"/>
    <col min="7" max="7" width="15" customWidth="1"/>
    <col min="8" max="8" width="14.375" bestFit="1" customWidth="1"/>
    <col min="9" max="9" width="16.625" bestFit="1" customWidth="1"/>
    <col min="10" max="10" width="16.625" customWidth="1"/>
    <col min="11" max="11" width="18.25" customWidth="1"/>
  </cols>
  <sheetData>
    <row r="1" spans="1:11" x14ac:dyDescent="0.25">
      <c r="A1" s="96" t="str">
        <f>营业收入分析!C1</f>
        <v>杭州宋城</v>
      </c>
    </row>
    <row r="2" spans="1:11" x14ac:dyDescent="0.25">
      <c r="A2" s="67" t="s">
        <v>247</v>
      </c>
      <c r="B2" t="s">
        <v>248</v>
      </c>
    </row>
    <row r="3" spans="1:11" ht="31.5" x14ac:dyDescent="0.25">
      <c r="A3" s="64" t="s">
        <v>72</v>
      </c>
      <c r="B3" s="60" t="s">
        <v>82</v>
      </c>
      <c r="C3" s="60" t="s">
        <v>87</v>
      </c>
      <c r="D3" t="s">
        <v>83</v>
      </c>
      <c r="E3" t="s">
        <v>88</v>
      </c>
      <c r="F3" t="s">
        <v>84</v>
      </c>
      <c r="G3" t="s">
        <v>89</v>
      </c>
      <c r="H3" t="s">
        <v>85</v>
      </c>
      <c r="I3" s="75" t="s">
        <v>245</v>
      </c>
      <c r="J3" s="75" t="s">
        <v>246</v>
      </c>
      <c r="K3" t="s">
        <v>49</v>
      </c>
    </row>
    <row r="4" spans="1:11" x14ac:dyDescent="0.25">
      <c r="A4" s="85">
        <v>2010</v>
      </c>
      <c r="B4" s="67">
        <f>营业收入分析!C2</f>
        <v>417437985.33999997</v>
      </c>
      <c r="C4" s="67"/>
      <c r="D4" s="67">
        <f>营业成本分析!C2</f>
        <v>96077216.739999995</v>
      </c>
      <c r="E4" s="67"/>
      <c r="F4" s="69">
        <f>B4-D4</f>
        <v>321360768.59999996</v>
      </c>
      <c r="G4" s="69"/>
      <c r="H4" s="63">
        <f t="shared" ref="H4:H11" si="0">F4/B4</f>
        <v>0.76984074254348012</v>
      </c>
      <c r="I4" s="69">
        <f>B4-D4/0.65</f>
        <v>269626882.66307688</v>
      </c>
      <c r="J4" s="63">
        <v>0.25</v>
      </c>
      <c r="K4" s="69">
        <f>I4*(1-J4)</f>
        <v>202220161.99730766</v>
      </c>
    </row>
    <row r="5" spans="1:11" x14ac:dyDescent="0.25">
      <c r="A5" s="85">
        <f>A4+1</f>
        <v>2011</v>
      </c>
      <c r="B5" s="67">
        <f>营业收入分析!C3</f>
        <v>467681460.19999999</v>
      </c>
      <c r="C5" s="66">
        <f>(B5-B4)/B4</f>
        <v>0.12036153063329179</v>
      </c>
      <c r="D5" s="67">
        <f>营业成本分析!C3</f>
        <v>118938039.34999999</v>
      </c>
      <c r="E5" s="66">
        <f>(D5-D4)/D4</f>
        <v>0.23794218219148633</v>
      </c>
      <c r="F5" s="69">
        <f t="shared" ref="F5:F11" si="1">B5-D5</f>
        <v>348743420.85000002</v>
      </c>
      <c r="G5" s="63">
        <f>(F5-F4)/F4</f>
        <v>8.5208447718406605E-2</v>
      </c>
      <c r="H5" s="63">
        <f t="shared" si="0"/>
        <v>0.74568579370425092</v>
      </c>
      <c r="I5" s="69">
        <f t="shared" ref="I5:I98" si="2">B5-D5/0.65</f>
        <v>284699861.20000005</v>
      </c>
      <c r="J5" s="63">
        <v>0.25</v>
      </c>
      <c r="K5" s="69">
        <f t="shared" ref="K5:K98" si="3">I5*(1-J5)</f>
        <v>213524895.90000004</v>
      </c>
    </row>
    <row r="6" spans="1:11" x14ac:dyDescent="0.25">
      <c r="A6" s="85">
        <f t="shared" ref="A6:A18" si="4">A5+1</f>
        <v>2012</v>
      </c>
      <c r="B6" s="67">
        <f>营业收入分析!C4</f>
        <v>558533359.04999995</v>
      </c>
      <c r="C6" s="66">
        <f t="shared" ref="C6:C99" si="5">(B6-B5)/B5</f>
        <v>0.19426021038154456</v>
      </c>
      <c r="D6" s="67">
        <f>营业成本分析!C4</f>
        <v>173880047.56</v>
      </c>
      <c r="E6" s="66">
        <f t="shared" ref="E6:E99" si="6">(D6-D5)/D5</f>
        <v>0.4619380688487868</v>
      </c>
      <c r="F6" s="69">
        <f t="shared" si="1"/>
        <v>384653311.48999995</v>
      </c>
      <c r="G6" s="63">
        <f t="shared" ref="G6:G99" si="7">(F6-F5)/F5</f>
        <v>0.1029693708700682</v>
      </c>
      <c r="H6" s="63">
        <f t="shared" si="0"/>
        <v>0.68868457945690176</v>
      </c>
      <c r="I6" s="69">
        <f t="shared" si="2"/>
        <v>291025593.57307684</v>
      </c>
      <c r="J6" s="63">
        <v>0.25</v>
      </c>
      <c r="K6" s="69">
        <f t="shared" si="3"/>
        <v>218269195.17980763</v>
      </c>
    </row>
    <row r="7" spans="1:11" x14ac:dyDescent="0.25">
      <c r="A7" s="85">
        <f t="shared" si="4"/>
        <v>2013</v>
      </c>
      <c r="B7" s="67">
        <f>营业收入分析!C5</f>
        <v>585587954.86000001</v>
      </c>
      <c r="C7" s="66">
        <f t="shared" si="5"/>
        <v>4.8438639110145135E-2</v>
      </c>
      <c r="D7" s="67">
        <f>营业成本分析!C5</f>
        <v>177671579.44999999</v>
      </c>
      <c r="E7" s="66">
        <f t="shared" si="6"/>
        <v>2.1805445438998164E-2</v>
      </c>
      <c r="F7" s="69">
        <f t="shared" si="1"/>
        <v>407916375.41000003</v>
      </c>
      <c r="G7" s="63">
        <f t="shared" si="7"/>
        <v>6.0478002463797483E-2</v>
      </c>
      <c r="H7" s="63">
        <f t="shared" si="0"/>
        <v>0.69659283806054895</v>
      </c>
      <c r="I7" s="69">
        <f t="shared" si="2"/>
        <v>312247063.39846158</v>
      </c>
      <c r="J7" s="63">
        <v>0.25</v>
      </c>
      <c r="K7" s="69">
        <f t="shared" si="3"/>
        <v>234185297.54884619</v>
      </c>
    </row>
    <row r="8" spans="1:11" x14ac:dyDescent="0.25">
      <c r="A8" s="85">
        <f t="shared" si="4"/>
        <v>2014</v>
      </c>
      <c r="B8" s="67">
        <f>营业收入分析!C6</f>
        <v>609812284.89999998</v>
      </c>
      <c r="C8" s="66">
        <f t="shared" si="5"/>
        <v>4.1367534695605918E-2</v>
      </c>
      <c r="D8" s="67">
        <f>营业成本分析!C6</f>
        <v>158037876.19999999</v>
      </c>
      <c r="E8" s="66">
        <f t="shared" si="6"/>
        <v>-0.11050559302043736</v>
      </c>
      <c r="F8" s="69">
        <f t="shared" si="1"/>
        <v>451774408.69999999</v>
      </c>
      <c r="G8" s="63">
        <f t="shared" si="7"/>
        <v>0.10751721660087291</v>
      </c>
      <c r="H8" s="63">
        <f t="shared" si="0"/>
        <v>0.74084176374715738</v>
      </c>
      <c r="I8" s="69">
        <f t="shared" si="2"/>
        <v>366677090.74615383</v>
      </c>
      <c r="J8" s="63">
        <v>0.25</v>
      </c>
      <c r="K8" s="69">
        <f t="shared" si="3"/>
        <v>275007818.05961537</v>
      </c>
    </row>
    <row r="9" spans="1:11" x14ac:dyDescent="0.25">
      <c r="A9" s="85">
        <f t="shared" si="4"/>
        <v>2015</v>
      </c>
      <c r="B9" s="67">
        <f>营业收入分析!C7</f>
        <v>700754733.73000002</v>
      </c>
      <c r="C9" s="66">
        <f t="shared" si="5"/>
        <v>0.14913187399121228</v>
      </c>
      <c r="D9" s="67">
        <f>营业成本分析!C7</f>
        <v>209190073.03</v>
      </c>
      <c r="E9" s="66">
        <f t="shared" si="6"/>
        <v>0.32367049001130538</v>
      </c>
      <c r="F9" s="69">
        <f t="shared" si="1"/>
        <v>491564660.70000005</v>
      </c>
      <c r="G9" s="63">
        <f t="shared" si="7"/>
        <v>8.8075489079822378E-2</v>
      </c>
      <c r="H9" s="63">
        <f t="shared" si="0"/>
        <v>0.70147890130329016</v>
      </c>
      <c r="I9" s="69">
        <f t="shared" si="2"/>
        <v>378923852.14538467</v>
      </c>
      <c r="J9" s="63">
        <v>0.25</v>
      </c>
      <c r="K9" s="69">
        <f t="shared" si="3"/>
        <v>284192889.10903847</v>
      </c>
    </row>
    <row r="10" spans="1:11" x14ac:dyDescent="0.25">
      <c r="A10" s="85">
        <f t="shared" si="4"/>
        <v>2016</v>
      </c>
      <c r="B10" s="67">
        <f>营业收入分析!C8</f>
        <v>687874826.88999999</v>
      </c>
      <c r="C10" s="66">
        <f t="shared" si="5"/>
        <v>-1.8380049709321902E-2</v>
      </c>
      <c r="D10" s="67">
        <f>营业成本分析!C8</f>
        <v>202585258.88999999</v>
      </c>
      <c r="E10" s="66">
        <f t="shared" si="6"/>
        <v>-3.1573267528105013E-2</v>
      </c>
      <c r="F10" s="69">
        <f t="shared" si="1"/>
        <v>485289568</v>
      </c>
      <c r="G10" s="63">
        <f t="shared" si="7"/>
        <v>-1.2765548872175153E-2</v>
      </c>
      <c r="H10" s="63">
        <f t="shared" si="0"/>
        <v>0.70549109958577394</v>
      </c>
      <c r="I10" s="69">
        <f t="shared" si="2"/>
        <v>376205197.82846153</v>
      </c>
      <c r="J10" s="63">
        <v>0.25</v>
      </c>
      <c r="K10" s="69">
        <f t="shared" si="3"/>
        <v>282153898.37134612</v>
      </c>
    </row>
    <row r="11" spans="1:11" x14ac:dyDescent="0.25">
      <c r="A11" s="85">
        <f t="shared" si="4"/>
        <v>2017</v>
      </c>
      <c r="B11" s="67">
        <f>营业收入分析!C9</f>
        <v>842165471.04999995</v>
      </c>
      <c r="C11" s="66">
        <f t="shared" si="5"/>
        <v>0.224300465911181</v>
      </c>
      <c r="D11" s="67">
        <f>营业成本分析!C9</f>
        <v>221875843.63</v>
      </c>
      <c r="E11" s="66">
        <f t="shared" si="6"/>
        <v>9.5222055374100237E-2</v>
      </c>
      <c r="F11" s="69">
        <f t="shared" si="1"/>
        <v>620289627.41999996</v>
      </c>
      <c r="G11" s="63">
        <f t="shared" si="7"/>
        <v>0.2781845486116033</v>
      </c>
      <c r="H11" s="63">
        <f t="shared" si="0"/>
        <v>0.73654127216428344</v>
      </c>
      <c r="I11" s="69">
        <f t="shared" si="2"/>
        <v>500818019.31153846</v>
      </c>
      <c r="J11" s="63">
        <v>0.15</v>
      </c>
      <c r="K11" s="69">
        <f t="shared" si="3"/>
        <v>425695316.41480768</v>
      </c>
    </row>
    <row r="12" spans="1:11" x14ac:dyDescent="0.25">
      <c r="A12" s="85">
        <f t="shared" si="4"/>
        <v>2018</v>
      </c>
      <c r="B12" s="67">
        <f>营业收入分析!C10</f>
        <v>935878252.92999995</v>
      </c>
      <c r="C12" s="66">
        <f t="shared" si="5"/>
        <v>0.11127597259854435</v>
      </c>
      <c r="D12" s="67">
        <f>营业成本分析!C10</f>
        <v>281971666.56</v>
      </c>
      <c r="E12" s="66">
        <f t="shared" si="6"/>
        <v>0.27085338334629955</v>
      </c>
      <c r="F12" s="69">
        <f t="shared" ref="F12:F19" si="8">B12-D12</f>
        <v>653906586.36999989</v>
      </c>
      <c r="G12" s="63">
        <f t="shared" si="7"/>
        <v>5.4195584552694423E-2</v>
      </c>
      <c r="H12" s="63">
        <f t="shared" ref="H12:H19" si="9">F12/B12</f>
        <v>0.6987090300717882</v>
      </c>
      <c r="I12" s="69">
        <f t="shared" si="2"/>
        <v>502075688.99153841</v>
      </c>
      <c r="J12" s="63">
        <v>0.15</v>
      </c>
      <c r="K12" s="69">
        <f t="shared" si="3"/>
        <v>426764335.64280766</v>
      </c>
    </row>
    <row r="13" spans="1:11" x14ac:dyDescent="0.25">
      <c r="A13" s="85">
        <f t="shared" si="4"/>
        <v>2019</v>
      </c>
      <c r="B13" s="67">
        <f>营业收入分析!C11</f>
        <v>918884614.28999996</v>
      </c>
      <c r="C13" s="66">
        <f t="shared" si="5"/>
        <v>-1.8157958673360737E-2</v>
      </c>
      <c r="D13" s="67">
        <f>营业成本分析!C11</f>
        <v>288622306.16000003</v>
      </c>
      <c r="E13" s="66">
        <f t="shared" si="6"/>
        <v>2.358619814939758E-2</v>
      </c>
      <c r="F13" s="69">
        <f t="shared" si="8"/>
        <v>630262308.12999988</v>
      </c>
      <c r="G13" s="63">
        <f t="shared" si="7"/>
        <v>-3.615849531544766E-2</v>
      </c>
      <c r="H13" s="63">
        <f t="shared" si="9"/>
        <v>0.68589929391405513</v>
      </c>
      <c r="I13" s="69">
        <f t="shared" si="2"/>
        <v>474850297.12076914</v>
      </c>
      <c r="J13" s="63">
        <v>0.15</v>
      </c>
      <c r="K13" s="69">
        <f t="shared" si="3"/>
        <v>403622752.55265379</v>
      </c>
    </row>
    <row r="14" spans="1:11" s="71" customFormat="1" x14ac:dyDescent="0.25">
      <c r="A14" s="90">
        <f t="shared" si="4"/>
        <v>2020</v>
      </c>
      <c r="B14" s="91">
        <f>营业收入分析!C12</f>
        <v>286877405.88999999</v>
      </c>
      <c r="C14" s="74">
        <f t="shared" si="5"/>
        <v>-0.68779822686261516</v>
      </c>
      <c r="D14" s="91">
        <f>营业成本分析!C12</f>
        <v>186752833.49000001</v>
      </c>
      <c r="E14" s="74">
        <f t="shared" si="6"/>
        <v>-0.35295079588730011</v>
      </c>
      <c r="F14" s="92">
        <f t="shared" si="8"/>
        <v>100124572.39999998</v>
      </c>
      <c r="G14" s="93">
        <f t="shared" si="7"/>
        <v>-0.8411382513146447</v>
      </c>
      <c r="H14" s="93">
        <f t="shared" si="9"/>
        <v>0.3490151902669939</v>
      </c>
      <c r="I14" s="92">
        <f t="shared" si="2"/>
        <v>-434645.63307696581</v>
      </c>
      <c r="J14" s="93">
        <v>0.15</v>
      </c>
      <c r="K14" s="92">
        <f t="shared" si="3"/>
        <v>-369448.7881154209</v>
      </c>
    </row>
    <row r="15" spans="1:11" x14ac:dyDescent="0.25">
      <c r="A15" s="85">
        <f t="shared" si="4"/>
        <v>2021</v>
      </c>
      <c r="B15" s="67">
        <f>B13*0.68</f>
        <v>624841537.71720004</v>
      </c>
      <c r="C15" s="66">
        <f t="shared" si="5"/>
        <v>1.1780785969487912</v>
      </c>
      <c r="D15" s="67">
        <f>B15*0.5</f>
        <v>312420768.85860002</v>
      </c>
      <c r="E15" s="66">
        <f t="shared" si="6"/>
        <v>0.67291046149149381</v>
      </c>
      <c r="F15" s="69">
        <f t="shared" si="8"/>
        <v>312420768.85860002</v>
      </c>
      <c r="G15" s="63">
        <f t="shared" si="7"/>
        <v>2.1203206302891546</v>
      </c>
      <c r="H15" s="63">
        <f t="shared" si="9"/>
        <v>0.5</v>
      </c>
      <c r="I15" s="69">
        <f t="shared" si="2"/>
        <v>144194201.01166159</v>
      </c>
      <c r="J15" s="63">
        <v>0.15</v>
      </c>
      <c r="K15" s="69">
        <f t="shared" si="3"/>
        <v>122565070.85991235</v>
      </c>
    </row>
    <row r="16" spans="1:11" x14ac:dyDescent="0.25">
      <c r="A16" s="85">
        <f t="shared" si="4"/>
        <v>2022</v>
      </c>
      <c r="B16" s="67">
        <f>B13</f>
        <v>918884614.28999996</v>
      </c>
      <c r="C16" s="66">
        <f t="shared" si="5"/>
        <v>0.47058823529411747</v>
      </c>
      <c r="D16" s="67">
        <f>B16*0.32</f>
        <v>294043076.57279998</v>
      </c>
      <c r="E16" s="66">
        <f t="shared" si="6"/>
        <v>-5.882352941176483E-2</v>
      </c>
      <c r="F16" s="69">
        <f t="shared" si="8"/>
        <v>624841537.71720004</v>
      </c>
      <c r="G16" s="63">
        <f t="shared" si="7"/>
        <v>1</v>
      </c>
      <c r="H16" s="63">
        <f t="shared" si="9"/>
        <v>0.68</v>
      </c>
      <c r="I16" s="69">
        <f t="shared" si="2"/>
        <v>466510650.33184618</v>
      </c>
      <c r="J16" s="63">
        <v>0.15</v>
      </c>
      <c r="K16" s="69">
        <f t="shared" si="3"/>
        <v>396534052.78206927</v>
      </c>
    </row>
    <row r="17" spans="1:11" x14ac:dyDescent="0.25">
      <c r="A17" s="85">
        <f t="shared" si="4"/>
        <v>2023</v>
      </c>
      <c r="B17" s="67">
        <f>B16*1.05</f>
        <v>964828845.00450003</v>
      </c>
      <c r="C17" s="66">
        <f t="shared" si="5"/>
        <v>5.0000000000000079E-2</v>
      </c>
      <c r="D17" s="67">
        <f>B17*0.32</f>
        <v>308745230.40144002</v>
      </c>
      <c r="E17" s="66">
        <f t="shared" si="6"/>
        <v>5.0000000000000155E-2</v>
      </c>
      <c r="F17" s="69">
        <f t="shared" si="8"/>
        <v>656083614.60306001</v>
      </c>
      <c r="G17" s="63">
        <f t="shared" si="7"/>
        <v>4.999999999999994E-2</v>
      </c>
      <c r="H17" s="63">
        <f t="shared" si="9"/>
        <v>0.67999999999999994</v>
      </c>
      <c r="I17" s="69">
        <f t="shared" si="2"/>
        <v>489836182.8484385</v>
      </c>
      <c r="J17" s="63">
        <v>0.15</v>
      </c>
      <c r="K17" s="69">
        <f t="shared" si="3"/>
        <v>416360755.42117274</v>
      </c>
    </row>
    <row r="18" spans="1:11" x14ac:dyDescent="0.25">
      <c r="A18" s="85">
        <f t="shared" si="4"/>
        <v>2024</v>
      </c>
      <c r="B18" s="67">
        <f>B17*1.05</f>
        <v>1013070287.2547251</v>
      </c>
      <c r="C18" s="66">
        <f t="shared" si="5"/>
        <v>5.0000000000000065E-2</v>
      </c>
      <c r="D18" s="67">
        <f>B18*0.32</f>
        <v>324182491.92151207</v>
      </c>
      <c r="E18" s="66">
        <f t="shared" si="6"/>
        <v>5.0000000000000135E-2</v>
      </c>
      <c r="F18" s="69">
        <f t="shared" si="8"/>
        <v>688887795.33321309</v>
      </c>
      <c r="G18" s="63">
        <f t="shared" si="7"/>
        <v>5.0000000000000128E-2</v>
      </c>
      <c r="H18" s="63">
        <f t="shared" si="9"/>
        <v>0.68</v>
      </c>
      <c r="I18" s="69">
        <f t="shared" si="2"/>
        <v>514327991.9908604</v>
      </c>
      <c r="J18" s="63">
        <v>0.15</v>
      </c>
      <c r="K18" s="69">
        <f t="shared" si="3"/>
        <v>437178793.19223136</v>
      </c>
    </row>
    <row r="19" spans="1:11" x14ac:dyDescent="0.25">
      <c r="A19" s="85">
        <f>A18+1</f>
        <v>2025</v>
      </c>
      <c r="B19" s="67">
        <f>B18*1.05</f>
        <v>1063723801.6174614</v>
      </c>
      <c r="C19" s="66">
        <f t="shared" si="5"/>
        <v>5.0000000000000086E-2</v>
      </c>
      <c r="D19" s="67">
        <f>B19*0.32</f>
        <v>340391616.51758766</v>
      </c>
      <c r="E19" s="66">
        <f t="shared" si="6"/>
        <v>4.9999999999999975E-2</v>
      </c>
      <c r="F19" s="69">
        <f t="shared" si="8"/>
        <v>723332185.09987378</v>
      </c>
      <c r="G19" s="63">
        <f t="shared" si="7"/>
        <v>5.0000000000000051E-2</v>
      </c>
      <c r="H19" s="63">
        <f t="shared" si="9"/>
        <v>0.68</v>
      </c>
      <c r="I19" s="69">
        <f t="shared" si="2"/>
        <v>540044391.59040356</v>
      </c>
      <c r="J19" s="63">
        <v>0.15</v>
      </c>
      <c r="K19" s="69">
        <f t="shared" si="3"/>
        <v>459037732.851843</v>
      </c>
    </row>
    <row r="20" spans="1:11" x14ac:dyDescent="0.25">
      <c r="C20" s="66">
        <f>(B20-B14)/B14</f>
        <v>-1</v>
      </c>
      <c r="E20" s="66">
        <f>(D20-D14)/D14</f>
        <v>-1</v>
      </c>
      <c r="G20" s="63">
        <f>(F20-F14)/F14</f>
        <v>-1</v>
      </c>
      <c r="I20" s="69">
        <f t="shared" si="2"/>
        <v>0</v>
      </c>
      <c r="J20" s="69"/>
      <c r="K20" s="69">
        <f t="shared" si="3"/>
        <v>0</v>
      </c>
    </row>
    <row r="21" spans="1:11" x14ac:dyDescent="0.25">
      <c r="C21" s="66" t="e">
        <f t="shared" si="5"/>
        <v>#DIV/0!</v>
      </c>
      <c r="E21" s="66" t="e">
        <f t="shared" si="6"/>
        <v>#DIV/0!</v>
      </c>
      <c r="G21" s="63" t="e">
        <f t="shared" si="7"/>
        <v>#DIV/0!</v>
      </c>
      <c r="I21" s="69">
        <f t="shared" si="2"/>
        <v>0</v>
      </c>
      <c r="J21" s="69"/>
      <c r="K21" s="69">
        <f t="shared" si="3"/>
        <v>0</v>
      </c>
    </row>
    <row r="22" spans="1:11" x14ac:dyDescent="0.25">
      <c r="C22" s="66" t="e">
        <f t="shared" si="5"/>
        <v>#DIV/0!</v>
      </c>
      <c r="E22" s="66" t="e">
        <f t="shared" si="6"/>
        <v>#DIV/0!</v>
      </c>
      <c r="G22" s="63" t="e">
        <f t="shared" si="7"/>
        <v>#DIV/0!</v>
      </c>
      <c r="I22" s="69">
        <f t="shared" si="2"/>
        <v>0</v>
      </c>
      <c r="J22" s="69"/>
      <c r="K22" s="69">
        <f t="shared" si="3"/>
        <v>0</v>
      </c>
    </row>
    <row r="23" spans="1:11" x14ac:dyDescent="0.25">
      <c r="C23" s="66" t="e">
        <f t="shared" si="5"/>
        <v>#DIV/0!</v>
      </c>
      <c r="E23" s="66" t="e">
        <f t="shared" si="6"/>
        <v>#DIV/0!</v>
      </c>
      <c r="G23" s="63" t="e">
        <f t="shared" si="7"/>
        <v>#DIV/0!</v>
      </c>
      <c r="I23" s="69">
        <f t="shared" si="2"/>
        <v>0</v>
      </c>
      <c r="J23" s="69"/>
      <c r="K23" s="69">
        <f t="shared" si="3"/>
        <v>0</v>
      </c>
    </row>
    <row r="24" spans="1:11" x14ac:dyDescent="0.25">
      <c r="A24" s="96" t="str">
        <f>营业收入分析!D1</f>
        <v>三亚宋城</v>
      </c>
      <c r="C24" s="66" t="e">
        <f t="shared" si="5"/>
        <v>#DIV/0!</v>
      </c>
      <c r="E24" s="66" t="e">
        <f t="shared" si="6"/>
        <v>#DIV/0!</v>
      </c>
      <c r="G24" s="63" t="e">
        <f t="shared" si="7"/>
        <v>#DIV/0!</v>
      </c>
      <c r="I24" s="69">
        <f t="shared" si="2"/>
        <v>0</v>
      </c>
      <c r="J24" s="69"/>
      <c r="K24" s="69">
        <f t="shared" si="3"/>
        <v>0</v>
      </c>
    </row>
    <row r="25" spans="1:11" ht="94.5" x14ac:dyDescent="0.25">
      <c r="A25" s="67" t="s">
        <v>249</v>
      </c>
      <c r="B25">
        <v>2</v>
      </c>
      <c r="C25" s="94" t="s">
        <v>251</v>
      </c>
      <c r="E25" s="66"/>
      <c r="G25" s="63"/>
      <c r="I25" s="69"/>
      <c r="J25" s="69"/>
      <c r="K25" s="69"/>
    </row>
    <row r="26" spans="1:11" x14ac:dyDescent="0.25">
      <c r="A26" s="67" t="s">
        <v>250</v>
      </c>
      <c r="B26">
        <v>6700</v>
      </c>
      <c r="C26" s="66"/>
      <c r="E26" s="66"/>
      <c r="G26" s="63"/>
      <c r="I26" s="69"/>
      <c r="J26" s="69"/>
      <c r="K26" s="69"/>
    </row>
    <row r="27" spans="1:11" ht="31.5" x14ac:dyDescent="0.25">
      <c r="A27" s="64" t="s">
        <v>72</v>
      </c>
      <c r="B27" s="60" t="s">
        <v>82</v>
      </c>
      <c r="C27" s="60" t="s">
        <v>87</v>
      </c>
      <c r="D27" t="s">
        <v>83</v>
      </c>
      <c r="E27" t="s">
        <v>88</v>
      </c>
      <c r="F27" t="s">
        <v>84</v>
      </c>
      <c r="G27" t="s">
        <v>89</v>
      </c>
      <c r="H27" t="s">
        <v>85</v>
      </c>
      <c r="I27" s="107" t="s">
        <v>245</v>
      </c>
      <c r="J27" s="107" t="s">
        <v>246</v>
      </c>
      <c r="K27" t="s">
        <v>49</v>
      </c>
    </row>
    <row r="28" spans="1:11" x14ac:dyDescent="0.25">
      <c r="A28" s="65">
        <v>40543</v>
      </c>
      <c r="B28" s="67">
        <f>营业收入分析!D2</f>
        <v>0</v>
      </c>
      <c r="C28" s="66" t="e">
        <f t="shared" si="5"/>
        <v>#VALUE!</v>
      </c>
      <c r="D28" s="67">
        <f>营业成本分析!D2</f>
        <v>0</v>
      </c>
      <c r="E28" s="66" t="e">
        <f t="shared" si="6"/>
        <v>#VALUE!</v>
      </c>
      <c r="F28" s="69">
        <f t="shared" ref="F28:F35" si="10">B28-D28</f>
        <v>0</v>
      </c>
      <c r="G28" s="63" t="e">
        <f t="shared" si="7"/>
        <v>#VALUE!</v>
      </c>
      <c r="H28" s="63" t="e">
        <f t="shared" ref="H28:H35" si="11">F28/B28</f>
        <v>#DIV/0!</v>
      </c>
      <c r="I28" s="69">
        <f t="shared" si="2"/>
        <v>0</v>
      </c>
      <c r="J28" s="63">
        <v>0.25</v>
      </c>
      <c r="K28" s="69">
        <f t="shared" si="3"/>
        <v>0</v>
      </c>
    </row>
    <row r="29" spans="1:11" x14ac:dyDescent="0.25">
      <c r="A29" s="65">
        <v>40908</v>
      </c>
      <c r="B29" s="67">
        <f>营业收入分析!D3</f>
        <v>0</v>
      </c>
      <c r="C29" s="66" t="e">
        <f t="shared" si="5"/>
        <v>#DIV/0!</v>
      </c>
      <c r="D29" s="67">
        <f>营业成本分析!D3</f>
        <v>0</v>
      </c>
      <c r="E29" s="66" t="e">
        <f t="shared" si="6"/>
        <v>#DIV/0!</v>
      </c>
      <c r="F29" s="69">
        <f t="shared" si="10"/>
        <v>0</v>
      </c>
      <c r="G29" s="63" t="e">
        <f t="shared" si="7"/>
        <v>#DIV/0!</v>
      </c>
      <c r="H29" s="63" t="e">
        <f t="shared" si="11"/>
        <v>#DIV/0!</v>
      </c>
      <c r="I29" s="69">
        <f t="shared" si="2"/>
        <v>0</v>
      </c>
      <c r="J29" s="63">
        <v>0.25</v>
      </c>
      <c r="K29" s="69">
        <f t="shared" si="3"/>
        <v>0</v>
      </c>
    </row>
    <row r="30" spans="1:11" x14ac:dyDescent="0.25">
      <c r="A30" s="65">
        <v>41274</v>
      </c>
      <c r="B30" s="67">
        <f>营业收入分析!D4</f>
        <v>0</v>
      </c>
      <c r="C30" s="66" t="e">
        <f t="shared" si="5"/>
        <v>#DIV/0!</v>
      </c>
      <c r="D30" s="67">
        <f>营业成本分析!D4</f>
        <v>0</v>
      </c>
      <c r="E30" s="66" t="e">
        <f t="shared" si="6"/>
        <v>#DIV/0!</v>
      </c>
      <c r="F30" s="69">
        <f t="shared" si="10"/>
        <v>0</v>
      </c>
      <c r="G30" s="63" t="e">
        <f t="shared" si="7"/>
        <v>#DIV/0!</v>
      </c>
      <c r="H30" s="63" t="e">
        <f t="shared" si="11"/>
        <v>#DIV/0!</v>
      </c>
      <c r="I30" s="69">
        <f t="shared" si="2"/>
        <v>0</v>
      </c>
      <c r="J30" s="63">
        <v>0.25</v>
      </c>
      <c r="K30" s="69">
        <f t="shared" si="3"/>
        <v>0</v>
      </c>
    </row>
    <row r="31" spans="1:11" x14ac:dyDescent="0.25">
      <c r="A31" s="65">
        <v>41639</v>
      </c>
      <c r="B31" s="67">
        <f>营业收入分析!D5</f>
        <v>33567890.960000001</v>
      </c>
      <c r="C31" s="66" t="e">
        <f t="shared" si="5"/>
        <v>#DIV/0!</v>
      </c>
      <c r="D31" s="67">
        <f>营业成本分析!D5</f>
        <v>15401970.109999999</v>
      </c>
      <c r="E31" s="66" t="e">
        <f t="shared" si="6"/>
        <v>#DIV/0!</v>
      </c>
      <c r="F31" s="69">
        <f t="shared" si="10"/>
        <v>18165920.850000001</v>
      </c>
      <c r="G31" s="63" t="e">
        <f t="shared" si="7"/>
        <v>#DIV/0!</v>
      </c>
      <c r="H31" s="63">
        <f t="shared" si="11"/>
        <v>0.54116956205699018</v>
      </c>
      <c r="I31" s="69">
        <f t="shared" si="2"/>
        <v>9872552.3292307705</v>
      </c>
      <c r="J31" s="63">
        <v>0.25</v>
      </c>
      <c r="K31" s="69">
        <f t="shared" si="3"/>
        <v>7404414.2469230779</v>
      </c>
    </row>
    <row r="32" spans="1:11" x14ac:dyDescent="0.25">
      <c r="A32" s="65">
        <v>42004</v>
      </c>
      <c r="B32" s="67">
        <f>营业收入分析!D6</f>
        <v>159582817.34</v>
      </c>
      <c r="C32" s="66">
        <f t="shared" si="5"/>
        <v>3.7540316885014091</v>
      </c>
      <c r="D32" s="67">
        <f>营业成本分析!D6</f>
        <v>47703917.109999999</v>
      </c>
      <c r="E32" s="66">
        <f t="shared" si="6"/>
        <v>2.0972607250437005</v>
      </c>
      <c r="F32" s="69">
        <f t="shared" si="10"/>
        <v>111878900.23</v>
      </c>
      <c r="G32" s="63">
        <f t="shared" si="7"/>
        <v>5.1587244133566719</v>
      </c>
      <c r="H32" s="63">
        <f t="shared" si="11"/>
        <v>0.70107109333479078</v>
      </c>
      <c r="I32" s="69">
        <f t="shared" si="2"/>
        <v>86192175.632307693</v>
      </c>
      <c r="J32" s="63">
        <v>0.25</v>
      </c>
      <c r="K32" s="69">
        <f t="shared" si="3"/>
        <v>64644131.724230766</v>
      </c>
    </row>
    <row r="33" spans="1:11" x14ac:dyDescent="0.25">
      <c r="A33" s="65">
        <v>42369</v>
      </c>
      <c r="B33" s="67">
        <f>营业收入分析!D7</f>
        <v>257852071.96000001</v>
      </c>
      <c r="C33" s="66">
        <f t="shared" si="5"/>
        <v>0.61578844300406055</v>
      </c>
      <c r="D33" s="67">
        <f>营业成本分析!D7</f>
        <v>58589891.719999999</v>
      </c>
      <c r="E33" s="66">
        <f t="shared" si="6"/>
        <v>0.22819875745000429</v>
      </c>
      <c r="F33" s="69">
        <f t="shared" si="10"/>
        <v>199262180.24000001</v>
      </c>
      <c r="G33" s="63">
        <f t="shared" si="7"/>
        <v>0.78105236850163839</v>
      </c>
      <c r="H33" s="63">
        <f t="shared" si="11"/>
        <v>0.77277711489908485</v>
      </c>
      <c r="I33" s="69">
        <f t="shared" si="2"/>
        <v>167713777.00615388</v>
      </c>
      <c r="J33" s="63">
        <v>0.25</v>
      </c>
      <c r="K33" s="69">
        <f t="shared" si="3"/>
        <v>125785332.75461541</v>
      </c>
    </row>
    <row r="34" spans="1:11" x14ac:dyDescent="0.25">
      <c r="A34" s="65">
        <v>42735</v>
      </c>
      <c r="B34" s="67">
        <f>营业收入分析!D8</f>
        <v>307467248.97000003</v>
      </c>
      <c r="C34" s="66">
        <f t="shared" si="5"/>
        <v>0.19241721283394111</v>
      </c>
      <c r="D34" s="67">
        <f>营业成本分析!D8</f>
        <v>77045456.049999997</v>
      </c>
      <c r="E34" s="66">
        <f t="shared" si="6"/>
        <v>0.31499570639588814</v>
      </c>
      <c r="F34" s="69">
        <f t="shared" si="10"/>
        <v>230421792.92000002</v>
      </c>
      <c r="G34" s="63">
        <f t="shared" si="7"/>
        <v>0.15637494602573362</v>
      </c>
      <c r="H34" s="63">
        <f t="shared" si="11"/>
        <v>0.74941898264579898</v>
      </c>
      <c r="I34" s="69">
        <f t="shared" si="2"/>
        <v>188935778.12384617</v>
      </c>
      <c r="J34" s="63">
        <v>0.25</v>
      </c>
      <c r="K34" s="69">
        <f t="shared" si="3"/>
        <v>141701833.59288463</v>
      </c>
    </row>
    <row r="35" spans="1:11" x14ac:dyDescent="0.25">
      <c r="A35" s="65">
        <v>43100</v>
      </c>
      <c r="B35" s="67">
        <f>营业收入分析!D9</f>
        <v>339980121.20999998</v>
      </c>
      <c r="C35" s="66">
        <f t="shared" si="5"/>
        <v>0.10574418039292462</v>
      </c>
      <c r="D35" s="67">
        <f>营业成本分析!D9</f>
        <v>80343457.269999996</v>
      </c>
      <c r="E35" s="66">
        <f t="shared" si="6"/>
        <v>4.2805914703908085E-2</v>
      </c>
      <c r="F35" s="69">
        <f t="shared" si="10"/>
        <v>259636663.94</v>
      </c>
      <c r="G35" s="63">
        <f t="shared" si="7"/>
        <v>0.1267886628681128</v>
      </c>
      <c r="H35" s="63">
        <f t="shared" si="11"/>
        <v>0.76368189709429157</v>
      </c>
      <c r="I35" s="69">
        <f t="shared" si="2"/>
        <v>216374802.33307689</v>
      </c>
      <c r="J35" s="63">
        <v>0.25</v>
      </c>
      <c r="K35" s="69">
        <f t="shared" si="3"/>
        <v>162281101.74980766</v>
      </c>
    </row>
    <row r="36" spans="1:11" x14ac:dyDescent="0.25">
      <c r="A36" s="65">
        <v>43465</v>
      </c>
      <c r="B36" s="67">
        <f>营业收入分析!D10</f>
        <v>426722284</v>
      </c>
      <c r="C36" s="66">
        <f t="shared" si="5"/>
        <v>0.25513892542093908</v>
      </c>
      <c r="D36" s="67">
        <f>营业成本分析!D10</f>
        <v>80129895.180000007</v>
      </c>
      <c r="E36" s="66">
        <f t="shared" si="6"/>
        <v>-2.6581142666327866E-3</v>
      </c>
      <c r="F36" s="69">
        <f t="shared" ref="F36:F43" si="12">B36-D36</f>
        <v>346592388.81999999</v>
      </c>
      <c r="G36" s="63">
        <f t="shared" si="7"/>
        <v>0.33491311881936203</v>
      </c>
      <c r="H36" s="63">
        <f t="shared" ref="H36:H43" si="13">F36/B36</f>
        <v>0.81222003587701075</v>
      </c>
      <c r="I36" s="69">
        <f t="shared" si="2"/>
        <v>303445522.18461537</v>
      </c>
      <c r="J36" s="63">
        <v>0.25</v>
      </c>
      <c r="K36" s="69">
        <f t="shared" si="3"/>
        <v>227584141.63846153</v>
      </c>
    </row>
    <row r="37" spans="1:11" x14ac:dyDescent="0.25">
      <c r="A37" s="65">
        <v>43830</v>
      </c>
      <c r="B37" s="67">
        <f>营业收入分析!D11</f>
        <v>392729155.06</v>
      </c>
      <c r="C37" s="66">
        <f t="shared" si="5"/>
        <v>-7.96610118912843E-2</v>
      </c>
      <c r="D37" s="67">
        <f>营业成本分析!D11</f>
        <v>58930126.119999997</v>
      </c>
      <c r="E37" s="66">
        <f t="shared" si="6"/>
        <v>-0.26456753765093355</v>
      </c>
      <c r="F37" s="69">
        <f t="shared" si="12"/>
        <v>333799028.94</v>
      </c>
      <c r="G37" s="63">
        <f t="shared" si="7"/>
        <v>-3.6911831571247014E-2</v>
      </c>
      <c r="H37" s="63">
        <f t="shared" si="13"/>
        <v>0.8499471573201719</v>
      </c>
      <c r="I37" s="69">
        <f t="shared" si="2"/>
        <v>302067422.56769234</v>
      </c>
      <c r="J37" s="63">
        <v>0.25</v>
      </c>
      <c r="K37" s="69">
        <f t="shared" si="3"/>
        <v>226550566.92576927</v>
      </c>
    </row>
    <row r="38" spans="1:11" s="71" customFormat="1" x14ac:dyDescent="0.25">
      <c r="A38" s="72">
        <v>43831</v>
      </c>
      <c r="B38" s="91">
        <f>营业收入分析!D12</f>
        <v>127098246.23</v>
      </c>
      <c r="C38" s="74">
        <f t="shared" si="5"/>
        <v>-0.67637175750147116</v>
      </c>
      <c r="D38" s="91">
        <f>营业成本分析!D12</f>
        <v>29293691.27</v>
      </c>
      <c r="E38" s="74">
        <f t="shared" si="6"/>
        <v>-0.50290805062339483</v>
      </c>
      <c r="F38" s="92">
        <f t="shared" si="12"/>
        <v>97804554.960000008</v>
      </c>
      <c r="G38" s="93">
        <f t="shared" si="7"/>
        <v>-0.70699568758308085</v>
      </c>
      <c r="H38" s="93">
        <f t="shared" si="13"/>
        <v>0.76951931172213472</v>
      </c>
      <c r="I38" s="92">
        <f t="shared" si="2"/>
        <v>82031028.891538471</v>
      </c>
      <c r="J38" s="93">
        <v>0.25</v>
      </c>
      <c r="K38" s="92">
        <f t="shared" si="3"/>
        <v>61523271.668653853</v>
      </c>
    </row>
    <row r="39" spans="1:11" x14ac:dyDescent="0.25">
      <c r="A39" s="85">
        <f>A14+1</f>
        <v>2021</v>
      </c>
      <c r="B39" s="67">
        <f>B37*0.43</f>
        <v>168873536.6758</v>
      </c>
      <c r="C39" s="66">
        <f t="shared" si="5"/>
        <v>0.32868502662265248</v>
      </c>
      <c r="D39" s="67">
        <f>B39*0.3</f>
        <v>50662061.002739996</v>
      </c>
      <c r="E39" s="66">
        <f t="shared" si="6"/>
        <v>0.72945295749134853</v>
      </c>
      <c r="F39" s="69">
        <f t="shared" si="12"/>
        <v>118211475.67306</v>
      </c>
      <c r="G39" s="63">
        <f t="shared" si="7"/>
        <v>0.20865000327853842</v>
      </c>
      <c r="H39" s="63">
        <f t="shared" si="13"/>
        <v>0.70000000000000007</v>
      </c>
      <c r="I39" s="69">
        <f t="shared" si="2"/>
        <v>90931904.363892317</v>
      </c>
      <c r="J39" s="63">
        <v>0.25</v>
      </c>
      <c r="K39" s="69">
        <f t="shared" si="3"/>
        <v>68198928.272919238</v>
      </c>
    </row>
    <row r="40" spans="1:11" x14ac:dyDescent="0.25">
      <c r="A40" s="85">
        <f>A39+1</f>
        <v>2022</v>
      </c>
      <c r="B40" s="67">
        <f>B37*0.7</f>
        <v>274910408.542</v>
      </c>
      <c r="C40" s="66">
        <f t="shared" si="5"/>
        <v>0.62790697674418605</v>
      </c>
      <c r="D40" s="67">
        <f>B40*0.2</f>
        <v>54982081.708400004</v>
      </c>
      <c r="E40" s="66">
        <f t="shared" si="6"/>
        <v>8.527131782945753E-2</v>
      </c>
      <c r="F40" s="69">
        <f t="shared" si="12"/>
        <v>219928326.83359998</v>
      </c>
      <c r="G40" s="63">
        <f t="shared" si="7"/>
        <v>0.86046511627906963</v>
      </c>
      <c r="H40" s="63">
        <f t="shared" si="13"/>
        <v>0.79999999999999993</v>
      </c>
      <c r="I40" s="69">
        <f t="shared" si="2"/>
        <v>190322590.52907693</v>
      </c>
      <c r="J40" s="63">
        <v>0.25</v>
      </c>
      <c r="K40" s="69">
        <f t="shared" si="3"/>
        <v>142741942.8968077</v>
      </c>
    </row>
    <row r="41" spans="1:11" x14ac:dyDescent="0.25">
      <c r="A41" s="85">
        <f>A40+1</f>
        <v>2023</v>
      </c>
      <c r="B41" s="67">
        <f>B37</f>
        <v>392729155.06</v>
      </c>
      <c r="C41" s="66">
        <f t="shared" si="5"/>
        <v>0.4285714285714286</v>
      </c>
      <c r="D41" s="67">
        <f>B41*0.2</f>
        <v>78545831.012000009</v>
      </c>
      <c r="E41" s="66">
        <f t="shared" si="6"/>
        <v>0.42857142857142866</v>
      </c>
      <c r="F41" s="69">
        <f t="shared" si="12"/>
        <v>314183324.04799998</v>
      </c>
      <c r="G41" s="63">
        <f t="shared" si="7"/>
        <v>0.42857142857142855</v>
      </c>
      <c r="H41" s="63">
        <f t="shared" si="13"/>
        <v>0.79999999999999993</v>
      </c>
      <c r="I41" s="69">
        <f t="shared" si="2"/>
        <v>271889415.04153848</v>
      </c>
      <c r="J41" s="63">
        <v>0.25</v>
      </c>
      <c r="K41" s="69">
        <f t="shared" si="3"/>
        <v>203917061.28115386</v>
      </c>
    </row>
    <row r="42" spans="1:11" x14ac:dyDescent="0.25">
      <c r="A42" s="85">
        <f>A41+1</f>
        <v>2024</v>
      </c>
      <c r="B42" s="67">
        <f>B41*1.05</f>
        <v>412365612.81300002</v>
      </c>
      <c r="C42" s="66">
        <f t="shared" si="5"/>
        <v>5.0000000000000051E-2</v>
      </c>
      <c r="D42" s="67">
        <f>B42*0.2</f>
        <v>82473122.562600017</v>
      </c>
      <c r="E42" s="66">
        <f t="shared" si="6"/>
        <v>5.0000000000000086E-2</v>
      </c>
      <c r="F42" s="69">
        <f t="shared" si="12"/>
        <v>329892490.25040001</v>
      </c>
      <c r="G42" s="63">
        <f t="shared" si="7"/>
        <v>5.0000000000000093E-2</v>
      </c>
      <c r="H42" s="63">
        <f t="shared" si="13"/>
        <v>0.79999999999999993</v>
      </c>
      <c r="I42" s="69">
        <f t="shared" si="2"/>
        <v>285483885.7936154</v>
      </c>
      <c r="J42" s="63">
        <v>0.25</v>
      </c>
      <c r="K42" s="69">
        <f t="shared" si="3"/>
        <v>214112914.34521157</v>
      </c>
    </row>
    <row r="43" spans="1:11" x14ac:dyDescent="0.25">
      <c r="A43" s="85">
        <f>A42+1</f>
        <v>2025</v>
      </c>
      <c r="B43" s="67">
        <f>B42*1.05</f>
        <v>432983893.45365006</v>
      </c>
      <c r="C43" s="66">
        <f t="shared" si="5"/>
        <v>5.0000000000000079E-2</v>
      </c>
      <c r="D43" s="67">
        <f>B43*0.2</f>
        <v>86596778.69073002</v>
      </c>
      <c r="E43" s="66">
        <f t="shared" si="6"/>
        <v>5.0000000000000037E-2</v>
      </c>
      <c r="F43" s="69">
        <f t="shared" si="12"/>
        <v>346387114.76292002</v>
      </c>
      <c r="G43" s="63">
        <f t="shared" si="7"/>
        <v>5.0000000000000044E-2</v>
      </c>
      <c r="H43" s="63">
        <f t="shared" si="13"/>
        <v>0.79999999999999993</v>
      </c>
      <c r="I43" s="69">
        <f t="shared" si="2"/>
        <v>299758080.08329618</v>
      </c>
      <c r="J43" s="63">
        <v>0.25</v>
      </c>
      <c r="K43" s="69">
        <f t="shared" si="3"/>
        <v>224818560.06247213</v>
      </c>
    </row>
    <row r="44" spans="1:11" x14ac:dyDescent="0.25">
      <c r="C44" s="66">
        <f>(B44-B38)/B38</f>
        <v>-1</v>
      </c>
      <c r="E44" s="66">
        <f>(D44-D38)/D38</f>
        <v>-1</v>
      </c>
      <c r="G44" s="63">
        <f>(F44-F38)/F38</f>
        <v>-1</v>
      </c>
      <c r="I44" s="69">
        <f t="shared" si="2"/>
        <v>0</v>
      </c>
      <c r="J44" s="63">
        <v>0.25</v>
      </c>
      <c r="K44" s="69">
        <f t="shared" si="3"/>
        <v>0</v>
      </c>
    </row>
    <row r="45" spans="1:11" x14ac:dyDescent="0.25">
      <c r="C45" s="66" t="e">
        <f t="shared" si="5"/>
        <v>#DIV/0!</v>
      </c>
      <c r="E45" s="66" t="e">
        <f t="shared" si="6"/>
        <v>#DIV/0!</v>
      </c>
      <c r="G45" s="63" t="e">
        <f t="shared" si="7"/>
        <v>#DIV/0!</v>
      </c>
      <c r="I45" s="69">
        <f t="shared" si="2"/>
        <v>0</v>
      </c>
      <c r="J45" s="63">
        <v>0.25</v>
      </c>
      <c r="K45" s="69">
        <f t="shared" si="3"/>
        <v>0</v>
      </c>
    </row>
    <row r="46" spans="1:11" x14ac:dyDescent="0.25">
      <c r="C46" s="66" t="e">
        <f t="shared" si="5"/>
        <v>#DIV/0!</v>
      </c>
      <c r="E46" s="66" t="e">
        <f t="shared" si="6"/>
        <v>#DIV/0!</v>
      </c>
      <c r="G46" s="63" t="e">
        <f t="shared" si="7"/>
        <v>#DIV/0!</v>
      </c>
      <c r="I46" s="69">
        <f>B46-D46/0.65</f>
        <v>0</v>
      </c>
      <c r="J46" s="63">
        <v>0.25</v>
      </c>
      <c r="K46" s="69">
        <f t="shared" si="3"/>
        <v>0</v>
      </c>
    </row>
    <row r="47" spans="1:11" x14ac:dyDescent="0.25">
      <c r="A47" s="96" t="str">
        <f>营业收入分析!E1</f>
        <v>丽江宋城</v>
      </c>
      <c r="C47" s="66" t="e">
        <f t="shared" si="5"/>
        <v>#DIV/0!</v>
      </c>
      <c r="E47" s="66" t="e">
        <f t="shared" si="6"/>
        <v>#DIV/0!</v>
      </c>
      <c r="G47" s="63" t="e">
        <f t="shared" si="7"/>
        <v>#DIV/0!</v>
      </c>
      <c r="I47" s="69">
        <f t="shared" si="2"/>
        <v>0</v>
      </c>
      <c r="J47" s="63">
        <v>0.25</v>
      </c>
      <c r="K47" s="69">
        <f t="shared" si="3"/>
        <v>0</v>
      </c>
    </row>
    <row r="48" spans="1:11" x14ac:dyDescent="0.25">
      <c r="A48" s="95" t="s">
        <v>252</v>
      </c>
      <c r="B48">
        <v>4700</v>
      </c>
      <c r="C48" s="66"/>
      <c r="E48" s="66"/>
      <c r="G48" s="63"/>
      <c r="I48" s="69"/>
      <c r="J48" s="63"/>
      <c r="K48" s="69"/>
    </row>
    <row r="49" spans="1:11" ht="31.5" x14ac:dyDescent="0.25">
      <c r="A49" s="64" t="s">
        <v>72</v>
      </c>
      <c r="B49" s="60" t="s">
        <v>82</v>
      </c>
      <c r="C49" s="60" t="s">
        <v>87</v>
      </c>
      <c r="D49" t="s">
        <v>83</v>
      </c>
      <c r="E49" t="s">
        <v>88</v>
      </c>
      <c r="F49" t="s">
        <v>84</v>
      </c>
      <c r="G49" t="s">
        <v>89</v>
      </c>
      <c r="H49" t="s">
        <v>85</v>
      </c>
      <c r="I49" s="107" t="s">
        <v>245</v>
      </c>
      <c r="J49" s="107" t="s">
        <v>246</v>
      </c>
      <c r="K49" t="s">
        <v>49</v>
      </c>
    </row>
    <row r="50" spans="1:11" x14ac:dyDescent="0.25">
      <c r="A50" s="65">
        <v>40543</v>
      </c>
      <c r="B50" s="67">
        <f>营业收入分析!E2</f>
        <v>0</v>
      </c>
      <c r="C50" s="66" t="e">
        <f t="shared" si="5"/>
        <v>#VALUE!</v>
      </c>
      <c r="D50" s="67">
        <f>营业成本分析!E2</f>
        <v>0</v>
      </c>
      <c r="E50" s="66" t="e">
        <f t="shared" si="6"/>
        <v>#VALUE!</v>
      </c>
      <c r="F50" s="69">
        <f t="shared" ref="F50:F57" si="14">B50-D50</f>
        <v>0</v>
      </c>
      <c r="G50" s="63" t="e">
        <f t="shared" si="7"/>
        <v>#VALUE!</v>
      </c>
      <c r="H50" s="63" t="e">
        <f t="shared" ref="H50:H57" si="15">F50/B50</f>
        <v>#DIV/0!</v>
      </c>
      <c r="I50" s="69">
        <f t="shared" si="2"/>
        <v>0</v>
      </c>
      <c r="J50" s="63">
        <v>0.25</v>
      </c>
      <c r="K50" s="69">
        <f t="shared" si="3"/>
        <v>0</v>
      </c>
    </row>
    <row r="51" spans="1:11" x14ac:dyDescent="0.25">
      <c r="A51" s="65">
        <v>40908</v>
      </c>
      <c r="B51" s="67">
        <f>营业收入分析!E3</f>
        <v>0</v>
      </c>
      <c r="C51" s="66" t="e">
        <f t="shared" si="5"/>
        <v>#DIV/0!</v>
      </c>
      <c r="D51" s="67">
        <f>营业成本分析!E3</f>
        <v>0</v>
      </c>
      <c r="E51" s="66" t="e">
        <f t="shared" si="6"/>
        <v>#DIV/0!</v>
      </c>
      <c r="F51" s="69">
        <f t="shared" si="14"/>
        <v>0</v>
      </c>
      <c r="G51" s="63" t="e">
        <f t="shared" si="7"/>
        <v>#DIV/0!</v>
      </c>
      <c r="H51" s="63" t="e">
        <f t="shared" si="15"/>
        <v>#DIV/0!</v>
      </c>
      <c r="I51" s="69">
        <f t="shared" si="2"/>
        <v>0</v>
      </c>
      <c r="J51" s="63">
        <v>0.25</v>
      </c>
      <c r="K51" s="69">
        <f t="shared" si="3"/>
        <v>0</v>
      </c>
    </row>
    <row r="52" spans="1:11" x14ac:dyDescent="0.25">
      <c r="A52" s="65">
        <v>41274</v>
      </c>
      <c r="B52" s="67">
        <f>营业收入分析!E4</f>
        <v>0</v>
      </c>
      <c r="C52" s="66" t="e">
        <f t="shared" si="5"/>
        <v>#DIV/0!</v>
      </c>
      <c r="D52" s="67">
        <f>营业成本分析!E4</f>
        <v>0</v>
      </c>
      <c r="E52" s="66" t="e">
        <f t="shared" si="6"/>
        <v>#DIV/0!</v>
      </c>
      <c r="F52" s="69">
        <f t="shared" si="14"/>
        <v>0</v>
      </c>
      <c r="G52" s="63" t="e">
        <f t="shared" si="7"/>
        <v>#DIV/0!</v>
      </c>
      <c r="H52" s="63" t="e">
        <f t="shared" si="15"/>
        <v>#DIV/0!</v>
      </c>
      <c r="I52" s="69">
        <f t="shared" si="2"/>
        <v>0</v>
      </c>
      <c r="J52" s="63">
        <v>0.25</v>
      </c>
      <c r="K52" s="69">
        <f t="shared" si="3"/>
        <v>0</v>
      </c>
    </row>
    <row r="53" spans="1:11" x14ac:dyDescent="0.25">
      <c r="A53" s="65">
        <v>41639</v>
      </c>
      <c r="B53" s="67">
        <f>营业收入分析!E5</f>
        <v>0</v>
      </c>
      <c r="C53" s="66" t="e">
        <f t="shared" si="5"/>
        <v>#DIV/0!</v>
      </c>
      <c r="D53" s="67">
        <f>营业成本分析!E5</f>
        <v>0</v>
      </c>
      <c r="E53" s="66" t="e">
        <f t="shared" si="6"/>
        <v>#DIV/0!</v>
      </c>
      <c r="F53" s="69">
        <f t="shared" si="14"/>
        <v>0</v>
      </c>
      <c r="G53" s="63" t="e">
        <f t="shared" si="7"/>
        <v>#DIV/0!</v>
      </c>
      <c r="H53" s="63" t="e">
        <f t="shared" si="15"/>
        <v>#DIV/0!</v>
      </c>
      <c r="I53" s="69">
        <f t="shared" si="2"/>
        <v>0</v>
      </c>
      <c r="J53" s="63">
        <v>0.25</v>
      </c>
      <c r="K53" s="69">
        <f t="shared" si="3"/>
        <v>0</v>
      </c>
    </row>
    <row r="54" spans="1:11" x14ac:dyDescent="0.25">
      <c r="A54" s="65">
        <v>42004</v>
      </c>
      <c r="B54" s="67">
        <f>营业收入分析!E6</f>
        <v>73933364.819999993</v>
      </c>
      <c r="C54" s="66" t="e">
        <f t="shared" si="5"/>
        <v>#DIV/0!</v>
      </c>
      <c r="D54" s="67">
        <f>营业成本分析!E6</f>
        <v>0</v>
      </c>
      <c r="E54" s="66" t="e">
        <f t="shared" si="6"/>
        <v>#DIV/0!</v>
      </c>
      <c r="F54" s="69">
        <f t="shared" si="14"/>
        <v>73933364.819999993</v>
      </c>
      <c r="G54" s="63" t="e">
        <f t="shared" si="7"/>
        <v>#DIV/0!</v>
      </c>
      <c r="H54" s="63">
        <f t="shared" si="15"/>
        <v>1</v>
      </c>
      <c r="I54" s="69">
        <f t="shared" si="2"/>
        <v>73933364.819999993</v>
      </c>
      <c r="J54" s="63">
        <v>0.25</v>
      </c>
      <c r="K54" s="69">
        <f t="shared" si="3"/>
        <v>55450023.614999995</v>
      </c>
    </row>
    <row r="55" spans="1:11" x14ac:dyDescent="0.25">
      <c r="A55" s="65">
        <v>42369</v>
      </c>
      <c r="B55" s="67">
        <f>营业收入分析!E7</f>
        <v>171198719.31</v>
      </c>
      <c r="C55" s="66">
        <f t="shared" si="5"/>
        <v>1.3155813309296103</v>
      </c>
      <c r="D55" s="67">
        <f>营业成本分析!E7</f>
        <v>63474018.020000003</v>
      </c>
      <c r="E55" s="66" t="e">
        <f t="shared" si="6"/>
        <v>#DIV/0!</v>
      </c>
      <c r="F55" s="69">
        <f t="shared" si="14"/>
        <v>107724701.28999999</v>
      </c>
      <c r="G55" s="63">
        <f t="shared" si="7"/>
        <v>0.45705124543254899</v>
      </c>
      <c r="H55" s="63">
        <f t="shared" si="15"/>
        <v>0.62923777540027204</v>
      </c>
      <c r="I55" s="69">
        <f t="shared" si="2"/>
        <v>73546383.894615382</v>
      </c>
      <c r="J55" s="63">
        <v>0.25</v>
      </c>
      <c r="K55" s="69">
        <f t="shared" si="3"/>
        <v>55159787.920961536</v>
      </c>
    </row>
    <row r="56" spans="1:11" x14ac:dyDescent="0.25">
      <c r="A56" s="65">
        <v>42735</v>
      </c>
      <c r="B56" s="67">
        <f>营业收入分析!E8</f>
        <v>222559993.77000001</v>
      </c>
      <c r="C56" s="66">
        <f t="shared" si="5"/>
        <v>0.30000968854794413</v>
      </c>
      <c r="D56" s="67">
        <f>营业成本分析!E8</f>
        <v>60375909.049999997</v>
      </c>
      <c r="E56" s="66">
        <f t="shared" si="6"/>
        <v>-4.8809088610458289E-2</v>
      </c>
      <c r="F56" s="69">
        <f t="shared" si="14"/>
        <v>162184084.72000003</v>
      </c>
      <c r="G56" s="63">
        <f t="shared" si="7"/>
        <v>0.50554220877710121</v>
      </c>
      <c r="H56" s="63">
        <f t="shared" si="15"/>
        <v>0.72872074613556015</v>
      </c>
      <c r="I56" s="69">
        <f t="shared" si="2"/>
        <v>129673979.8469231</v>
      </c>
      <c r="J56" s="63">
        <v>0.25</v>
      </c>
      <c r="K56" s="69">
        <f t="shared" si="3"/>
        <v>97255484.88519232</v>
      </c>
    </row>
    <row r="57" spans="1:11" x14ac:dyDescent="0.25">
      <c r="A57" s="65">
        <v>43100</v>
      </c>
      <c r="B57" s="67">
        <f>营业收入分析!E9</f>
        <v>227236394.38</v>
      </c>
      <c r="C57" s="66">
        <f t="shared" si="5"/>
        <v>2.1011865298813378E-2</v>
      </c>
      <c r="D57" s="67">
        <f>营业成本分析!E9</f>
        <v>66945157.68</v>
      </c>
      <c r="E57" s="66">
        <f t="shared" si="6"/>
        <v>0.10880579246533105</v>
      </c>
      <c r="F57" s="69">
        <f t="shared" si="14"/>
        <v>160291236.69999999</v>
      </c>
      <c r="G57" s="63">
        <f t="shared" si="7"/>
        <v>-1.1670984999964183E-2</v>
      </c>
      <c r="H57" s="63">
        <f t="shared" si="15"/>
        <v>0.7053942091333758</v>
      </c>
      <c r="I57" s="69">
        <f t="shared" si="2"/>
        <v>124243844.10307692</v>
      </c>
      <c r="J57" s="63">
        <v>0.25</v>
      </c>
      <c r="K57" s="69">
        <f t="shared" si="3"/>
        <v>93182883.077307686</v>
      </c>
    </row>
    <row r="58" spans="1:11" x14ac:dyDescent="0.25">
      <c r="A58" s="65">
        <v>43465</v>
      </c>
      <c r="B58" s="67">
        <f>营业收入分析!E10</f>
        <v>266958976.72999999</v>
      </c>
      <c r="C58" s="66">
        <f t="shared" si="5"/>
        <v>0.17480730786272386</v>
      </c>
      <c r="D58" s="67">
        <f>营业成本分析!E10</f>
        <v>70876733.719999999</v>
      </c>
      <c r="E58" s="66">
        <f t="shared" si="6"/>
        <v>5.8728310997384736E-2</v>
      </c>
      <c r="F58" s="69">
        <f t="shared" ref="F58:F65" si="16">B58-D58</f>
        <v>196082243.00999999</v>
      </c>
      <c r="G58" s="63">
        <f t="shared" si="7"/>
        <v>0.22328735523443624</v>
      </c>
      <c r="H58" s="63">
        <f t="shared" ref="H58:H65" si="17">F58/B58</f>
        <v>0.73450327616559563</v>
      </c>
      <c r="I58" s="69">
        <f t="shared" si="2"/>
        <v>157917847.93000001</v>
      </c>
      <c r="J58" s="63">
        <v>0.25</v>
      </c>
      <c r="K58" s="69">
        <f t="shared" si="3"/>
        <v>118438385.94750001</v>
      </c>
    </row>
    <row r="59" spans="1:11" x14ac:dyDescent="0.25">
      <c r="A59" s="65">
        <v>43830</v>
      </c>
      <c r="B59" s="67">
        <f>营业收入分析!E11</f>
        <v>333433832.56999999</v>
      </c>
      <c r="C59" s="66">
        <f t="shared" si="5"/>
        <v>0.24900775637611205</v>
      </c>
      <c r="D59" s="67">
        <f>营业成本分析!E11</f>
        <v>59356832.689999998</v>
      </c>
      <c r="E59" s="66">
        <f t="shared" si="6"/>
        <v>-0.16253431027887949</v>
      </c>
      <c r="F59" s="69">
        <f t="shared" si="16"/>
        <v>274076999.88</v>
      </c>
      <c r="G59" s="63">
        <f t="shared" si="7"/>
        <v>0.39776552773329071</v>
      </c>
      <c r="H59" s="63">
        <f t="shared" si="17"/>
        <v>0.82198317359550244</v>
      </c>
      <c r="I59" s="69">
        <f t="shared" si="2"/>
        <v>242115628.43153846</v>
      </c>
      <c r="J59" s="63">
        <v>0.25</v>
      </c>
      <c r="K59" s="69">
        <f t="shared" si="3"/>
        <v>181586721.32365385</v>
      </c>
    </row>
    <row r="60" spans="1:11" s="71" customFormat="1" x14ac:dyDescent="0.25">
      <c r="A60" s="72">
        <v>43831</v>
      </c>
      <c r="B60" s="91">
        <f>营业收入分析!E12</f>
        <v>136520949.22999999</v>
      </c>
      <c r="C60" s="74">
        <f t="shared" si="5"/>
        <v>-0.59056059735228206</v>
      </c>
      <c r="D60" s="91">
        <f>营业成本分析!E12</f>
        <v>34341329.43</v>
      </c>
      <c r="E60" s="74">
        <f t="shared" si="6"/>
        <v>-0.42144269035794468</v>
      </c>
      <c r="F60" s="92">
        <f t="shared" si="16"/>
        <v>102179619.79999998</v>
      </c>
      <c r="G60" s="93">
        <f t="shared" si="7"/>
        <v>-0.62718644817063229</v>
      </c>
      <c r="H60" s="93">
        <f t="shared" si="17"/>
        <v>0.74845377486978659</v>
      </c>
      <c r="I60" s="92">
        <f t="shared" si="2"/>
        <v>83688134.722307682</v>
      </c>
      <c r="J60" s="93">
        <v>0.25</v>
      </c>
      <c r="K60" s="92">
        <f t="shared" si="3"/>
        <v>62766101.041730762</v>
      </c>
    </row>
    <row r="61" spans="1:11" x14ac:dyDescent="0.25">
      <c r="A61" s="85">
        <f>A14+1</f>
        <v>2021</v>
      </c>
      <c r="B61" s="67">
        <f>B59*0.484</f>
        <v>161381974.96388</v>
      </c>
      <c r="C61" s="66">
        <f t="shared" si="5"/>
        <v>0.1821041083738443</v>
      </c>
      <c r="D61" s="67">
        <f>B61*0.25</f>
        <v>40345493.740970001</v>
      </c>
      <c r="E61" s="66">
        <f t="shared" si="6"/>
        <v>0.17483785312413869</v>
      </c>
      <c r="F61" s="69">
        <f t="shared" si="16"/>
        <v>121036481.22291</v>
      </c>
      <c r="G61" s="63">
        <f t="shared" si="7"/>
        <v>0.18454620852787731</v>
      </c>
      <c r="H61" s="63">
        <f t="shared" si="17"/>
        <v>0.75</v>
      </c>
      <c r="I61" s="69">
        <f t="shared" si="2"/>
        <v>99311984.593156934</v>
      </c>
      <c r="J61" s="63">
        <v>0.25</v>
      </c>
      <c r="K61" s="69">
        <f t="shared" si="3"/>
        <v>74483988.4448677</v>
      </c>
    </row>
    <row r="62" spans="1:11" x14ac:dyDescent="0.25">
      <c r="A62" s="85">
        <f>A61+1</f>
        <v>2022</v>
      </c>
      <c r="B62" s="67">
        <f>B59*0.8</f>
        <v>266747066.05599999</v>
      </c>
      <c r="C62" s="66">
        <f t="shared" si="5"/>
        <v>0.65289256198347101</v>
      </c>
      <c r="D62" s="67">
        <f>B62*0.2</f>
        <v>53349413.211199999</v>
      </c>
      <c r="E62" s="66">
        <f t="shared" si="6"/>
        <v>0.32231404958677679</v>
      </c>
      <c r="F62" s="69">
        <f t="shared" si="16"/>
        <v>213397652.8448</v>
      </c>
      <c r="G62" s="63">
        <f t="shared" si="7"/>
        <v>0.76308539944903575</v>
      </c>
      <c r="H62" s="63">
        <f t="shared" si="17"/>
        <v>0.8</v>
      </c>
      <c r="I62" s="69">
        <f t="shared" si="2"/>
        <v>184671045.73107693</v>
      </c>
      <c r="J62" s="63">
        <v>0.25</v>
      </c>
      <c r="K62" s="69">
        <f t="shared" si="3"/>
        <v>138503284.29830769</v>
      </c>
    </row>
    <row r="63" spans="1:11" x14ac:dyDescent="0.25">
      <c r="A63" s="85">
        <f>A62+1</f>
        <v>2023</v>
      </c>
      <c r="B63" s="67">
        <f>B59*1.05</f>
        <v>350105524.19849998</v>
      </c>
      <c r="C63" s="66">
        <f t="shared" si="5"/>
        <v>0.31249999999999994</v>
      </c>
      <c r="D63" s="67">
        <f>B63*0.2</f>
        <v>70021104.839699998</v>
      </c>
      <c r="E63" s="66">
        <f t="shared" si="6"/>
        <v>0.3125</v>
      </c>
      <c r="F63" s="69">
        <f t="shared" si="16"/>
        <v>280084419.35879999</v>
      </c>
      <c r="G63" s="63">
        <f t="shared" si="7"/>
        <v>0.3125</v>
      </c>
      <c r="H63" s="63">
        <f t="shared" si="17"/>
        <v>0.8</v>
      </c>
      <c r="I63" s="69">
        <f t="shared" si="2"/>
        <v>242380747.52203846</v>
      </c>
      <c r="J63" s="63">
        <v>0.25</v>
      </c>
      <c r="K63" s="69">
        <f t="shared" si="3"/>
        <v>181785560.64152884</v>
      </c>
    </row>
    <row r="64" spans="1:11" x14ac:dyDescent="0.25">
      <c r="A64" s="85">
        <f>A63+1</f>
        <v>2024</v>
      </c>
      <c r="B64" s="67">
        <f>B63*1.1</f>
        <v>385116076.61835003</v>
      </c>
      <c r="C64" s="66">
        <f t="shared" si="5"/>
        <v>0.10000000000000016</v>
      </c>
      <c r="D64" s="67">
        <f>B64*0.2</f>
        <v>77023215.323670015</v>
      </c>
      <c r="E64" s="66">
        <f t="shared" si="6"/>
        <v>0.10000000000000023</v>
      </c>
      <c r="F64" s="69">
        <f t="shared" si="16"/>
        <v>308092861.29468</v>
      </c>
      <c r="G64" s="63">
        <f t="shared" si="7"/>
        <v>0.10000000000000002</v>
      </c>
      <c r="H64" s="63">
        <f t="shared" si="17"/>
        <v>0.79999999999999993</v>
      </c>
      <c r="I64" s="69">
        <f t="shared" si="2"/>
        <v>266618822.27424231</v>
      </c>
      <c r="J64" s="63">
        <v>0.25</v>
      </c>
      <c r="K64" s="69">
        <f t="shared" si="3"/>
        <v>199964116.70568174</v>
      </c>
    </row>
    <row r="65" spans="1:11" x14ac:dyDescent="0.25">
      <c r="A65" s="85">
        <f>A64+1</f>
        <v>2025</v>
      </c>
      <c r="B65" s="67">
        <f>B64*1.11</f>
        <v>427478845.0463686</v>
      </c>
      <c r="C65" s="66">
        <f t="shared" si="5"/>
        <v>0.11000000000000017</v>
      </c>
      <c r="D65" s="67">
        <f>B65*0.2</f>
        <v>85495769.009273723</v>
      </c>
      <c r="E65" s="66">
        <f t="shared" si="6"/>
        <v>0.11000000000000008</v>
      </c>
      <c r="F65" s="69">
        <f t="shared" si="16"/>
        <v>341983076.03709489</v>
      </c>
      <c r="G65" s="63">
        <f t="shared" si="7"/>
        <v>0.11000000000000029</v>
      </c>
      <c r="H65" s="63">
        <f t="shared" si="17"/>
        <v>0.8</v>
      </c>
      <c r="I65" s="69">
        <f t="shared" si="2"/>
        <v>295946892.72440904</v>
      </c>
      <c r="J65" s="63">
        <v>0.25</v>
      </c>
      <c r="K65" s="69">
        <f t="shared" si="3"/>
        <v>221960169.54330677</v>
      </c>
    </row>
    <row r="66" spans="1:11" x14ac:dyDescent="0.25">
      <c r="C66" s="66">
        <f>(B66-B60)/B60</f>
        <v>-1</v>
      </c>
      <c r="E66" s="66">
        <f>(D66-D60)/D60</f>
        <v>-1</v>
      </c>
      <c r="G66" s="63">
        <f>(F66-F60)/F60</f>
        <v>-1</v>
      </c>
      <c r="I66" s="69">
        <f t="shared" si="2"/>
        <v>0</v>
      </c>
      <c r="J66" s="63">
        <v>0.25</v>
      </c>
      <c r="K66" s="69">
        <f t="shared" si="3"/>
        <v>0</v>
      </c>
    </row>
    <row r="67" spans="1:11" x14ac:dyDescent="0.25">
      <c r="C67" s="66" t="e">
        <f t="shared" si="5"/>
        <v>#DIV/0!</v>
      </c>
      <c r="E67" s="66" t="e">
        <f t="shared" si="6"/>
        <v>#DIV/0!</v>
      </c>
      <c r="G67" s="63" t="e">
        <f t="shared" si="7"/>
        <v>#DIV/0!</v>
      </c>
      <c r="I67" s="69">
        <f>B67-D67/0.65</f>
        <v>0</v>
      </c>
      <c r="J67" s="63">
        <v>0.25</v>
      </c>
      <c r="K67" s="69">
        <f t="shared" si="3"/>
        <v>0</v>
      </c>
    </row>
    <row r="68" spans="1:11" x14ac:dyDescent="0.25">
      <c r="A68" s="67" t="str">
        <f>营业收入分析!F1</f>
        <v>九寨沟宋城</v>
      </c>
      <c r="C68" s="66" t="e">
        <f t="shared" si="5"/>
        <v>#DIV/0!</v>
      </c>
      <c r="E68" s="66" t="e">
        <f t="shared" si="6"/>
        <v>#DIV/0!</v>
      </c>
      <c r="G68" s="63" t="e">
        <f t="shared" si="7"/>
        <v>#DIV/0!</v>
      </c>
      <c r="I68" s="69">
        <f t="shared" si="2"/>
        <v>0</v>
      </c>
      <c r="J68" s="63">
        <v>0.25</v>
      </c>
      <c r="K68" s="69">
        <f t="shared" si="3"/>
        <v>0</v>
      </c>
    </row>
    <row r="69" spans="1:11" x14ac:dyDescent="0.25">
      <c r="A69" s="67"/>
      <c r="C69" s="66"/>
      <c r="E69" s="66"/>
      <c r="G69" s="63"/>
      <c r="I69" s="69"/>
      <c r="J69" s="63"/>
      <c r="K69" s="69"/>
    </row>
    <row r="70" spans="1:11" ht="31.5" x14ac:dyDescent="0.25">
      <c r="A70" s="64" t="s">
        <v>72</v>
      </c>
      <c r="B70" s="60" t="s">
        <v>82</v>
      </c>
      <c r="C70" s="60" t="s">
        <v>87</v>
      </c>
      <c r="D70" t="s">
        <v>83</v>
      </c>
      <c r="E70" t="s">
        <v>88</v>
      </c>
      <c r="F70" t="s">
        <v>84</v>
      </c>
      <c r="G70" t="s">
        <v>89</v>
      </c>
      <c r="H70" t="s">
        <v>85</v>
      </c>
      <c r="I70" s="107" t="s">
        <v>245</v>
      </c>
      <c r="J70" s="107" t="s">
        <v>246</v>
      </c>
      <c r="K70" t="s">
        <v>49</v>
      </c>
    </row>
    <row r="71" spans="1:11" x14ac:dyDescent="0.25">
      <c r="A71" s="65">
        <v>40543</v>
      </c>
      <c r="B71" s="67">
        <f>营业收入分析!F2</f>
        <v>0</v>
      </c>
      <c r="C71" s="66" t="e">
        <f>(B71-B70)/B70</f>
        <v>#VALUE!</v>
      </c>
      <c r="D71" s="67">
        <f>营业成本分析!F2</f>
        <v>0</v>
      </c>
      <c r="E71" s="66" t="e">
        <f t="shared" si="6"/>
        <v>#VALUE!</v>
      </c>
      <c r="F71" s="69">
        <f t="shared" ref="F71:F78" si="18">B71-D71</f>
        <v>0</v>
      </c>
      <c r="G71" s="63" t="e">
        <f t="shared" si="7"/>
        <v>#VALUE!</v>
      </c>
      <c r="H71" s="63" t="e">
        <f t="shared" ref="H71:H78" si="19">F71/B71</f>
        <v>#DIV/0!</v>
      </c>
      <c r="I71" s="69">
        <f t="shared" si="2"/>
        <v>0</v>
      </c>
      <c r="J71" s="63">
        <v>0.15</v>
      </c>
      <c r="K71" s="69">
        <f t="shared" si="3"/>
        <v>0</v>
      </c>
    </row>
    <row r="72" spans="1:11" x14ac:dyDescent="0.25">
      <c r="A72" s="65">
        <v>40908</v>
      </c>
      <c r="B72" s="67">
        <f>营业收入分析!F3</f>
        <v>0</v>
      </c>
      <c r="C72" s="66" t="e">
        <f t="shared" si="5"/>
        <v>#DIV/0!</v>
      </c>
      <c r="D72" s="67">
        <f>营业成本分析!F3</f>
        <v>0</v>
      </c>
      <c r="E72" s="66" t="e">
        <f t="shared" si="6"/>
        <v>#DIV/0!</v>
      </c>
      <c r="F72" s="69">
        <f t="shared" si="18"/>
        <v>0</v>
      </c>
      <c r="G72" s="63" t="e">
        <f t="shared" si="7"/>
        <v>#DIV/0!</v>
      </c>
      <c r="H72" s="63" t="e">
        <f t="shared" si="19"/>
        <v>#DIV/0!</v>
      </c>
      <c r="I72" s="69">
        <f t="shared" si="2"/>
        <v>0</v>
      </c>
      <c r="J72" s="63">
        <v>0.15</v>
      </c>
      <c r="K72" s="69">
        <f t="shared" si="3"/>
        <v>0</v>
      </c>
    </row>
    <row r="73" spans="1:11" x14ac:dyDescent="0.25">
      <c r="A73" s="65">
        <v>41274</v>
      </c>
      <c r="B73" s="67">
        <f>营业收入分析!F4</f>
        <v>0</v>
      </c>
      <c r="C73" s="66" t="e">
        <f t="shared" si="5"/>
        <v>#DIV/0!</v>
      </c>
      <c r="D73" s="67">
        <f>营业成本分析!F4</f>
        <v>0</v>
      </c>
      <c r="E73" s="66" t="e">
        <f t="shared" si="6"/>
        <v>#DIV/0!</v>
      </c>
      <c r="F73" s="69">
        <f t="shared" si="18"/>
        <v>0</v>
      </c>
      <c r="G73" s="63" t="e">
        <f t="shared" si="7"/>
        <v>#DIV/0!</v>
      </c>
      <c r="H73" s="63" t="e">
        <f t="shared" si="19"/>
        <v>#DIV/0!</v>
      </c>
      <c r="I73" s="69">
        <f t="shared" si="2"/>
        <v>0</v>
      </c>
      <c r="J73" s="63">
        <v>0.15</v>
      </c>
      <c r="K73" s="69">
        <f t="shared" si="3"/>
        <v>0</v>
      </c>
    </row>
    <row r="74" spans="1:11" x14ac:dyDescent="0.25">
      <c r="A74" s="65">
        <v>41639</v>
      </c>
      <c r="B74" s="67">
        <f>营业收入分析!F5</f>
        <v>0</v>
      </c>
      <c r="C74" s="66" t="e">
        <f t="shared" si="5"/>
        <v>#DIV/0!</v>
      </c>
      <c r="D74" s="67">
        <f>营业成本分析!F5</f>
        <v>0</v>
      </c>
      <c r="E74" s="66" t="e">
        <f t="shared" si="6"/>
        <v>#DIV/0!</v>
      </c>
      <c r="F74" s="69">
        <f t="shared" si="18"/>
        <v>0</v>
      </c>
      <c r="G74" s="63" t="e">
        <f t="shared" si="7"/>
        <v>#DIV/0!</v>
      </c>
      <c r="H74" s="63" t="e">
        <f t="shared" si="19"/>
        <v>#DIV/0!</v>
      </c>
      <c r="I74" s="69">
        <f t="shared" si="2"/>
        <v>0</v>
      </c>
      <c r="J74" s="63">
        <v>0.15</v>
      </c>
      <c r="K74" s="69">
        <f t="shared" si="3"/>
        <v>0</v>
      </c>
    </row>
    <row r="75" spans="1:11" x14ac:dyDescent="0.25">
      <c r="A75" s="65">
        <v>42004</v>
      </c>
      <c r="B75" s="67">
        <f>营业收入分析!F6</f>
        <v>63465841.310000002</v>
      </c>
      <c r="C75" s="66" t="e">
        <f t="shared" si="5"/>
        <v>#DIV/0!</v>
      </c>
      <c r="D75" s="67">
        <f>营业成本分析!F6</f>
        <v>0</v>
      </c>
      <c r="E75" s="66" t="e">
        <f t="shared" si="6"/>
        <v>#DIV/0!</v>
      </c>
      <c r="F75" s="69">
        <f t="shared" si="18"/>
        <v>63465841.310000002</v>
      </c>
      <c r="G75" s="63" t="e">
        <f t="shared" si="7"/>
        <v>#DIV/0!</v>
      </c>
      <c r="H75" s="63">
        <f t="shared" si="19"/>
        <v>1</v>
      </c>
      <c r="I75" s="69">
        <f t="shared" si="2"/>
        <v>63465841.310000002</v>
      </c>
      <c r="J75" s="63">
        <v>0.15</v>
      </c>
      <c r="K75" s="69">
        <f t="shared" si="3"/>
        <v>53945965.113499999</v>
      </c>
    </row>
    <row r="76" spans="1:11" x14ac:dyDescent="0.25">
      <c r="A76" s="65">
        <v>42369</v>
      </c>
      <c r="B76" s="67">
        <f>营业收入分析!F7</f>
        <v>131115944.73999999</v>
      </c>
      <c r="C76" s="66">
        <f t="shared" si="5"/>
        <v>1.0659293571728119</v>
      </c>
      <c r="D76" s="67">
        <f>营业成本分析!F7</f>
        <v>42894905.310000002</v>
      </c>
      <c r="E76" s="66" t="e">
        <f t="shared" si="6"/>
        <v>#DIV/0!</v>
      </c>
      <c r="F76" s="69">
        <f t="shared" si="18"/>
        <v>88221039.429999992</v>
      </c>
      <c r="G76" s="63">
        <f t="shared" si="7"/>
        <v>0.39005546304952921</v>
      </c>
      <c r="H76" s="63">
        <f t="shared" si="19"/>
        <v>0.67284752899382572</v>
      </c>
      <c r="I76" s="69">
        <f t="shared" si="2"/>
        <v>65123782.72461538</v>
      </c>
      <c r="J76" s="63">
        <v>0.15</v>
      </c>
      <c r="K76" s="69">
        <f t="shared" si="3"/>
        <v>55355215.315923072</v>
      </c>
    </row>
    <row r="77" spans="1:11" x14ac:dyDescent="0.25">
      <c r="A77" s="65">
        <v>42735</v>
      </c>
      <c r="B77" s="67">
        <f>营业收入分析!F8</f>
        <v>149279367.16</v>
      </c>
      <c r="C77" s="66">
        <f t="shared" si="5"/>
        <v>0.13852947066062532</v>
      </c>
      <c r="D77" s="67">
        <f>营业成本分析!F8</f>
        <v>45675188.009999998</v>
      </c>
      <c r="E77" s="66">
        <f t="shared" si="6"/>
        <v>6.4816151939420044E-2</v>
      </c>
      <c r="F77" s="69">
        <f t="shared" si="18"/>
        <v>103604179.15000001</v>
      </c>
      <c r="G77" s="63">
        <f t="shared" si="7"/>
        <v>0.17437042024658919</v>
      </c>
      <c r="H77" s="63">
        <f t="shared" si="19"/>
        <v>0.69402879393878592</v>
      </c>
      <c r="I77" s="69">
        <f t="shared" si="2"/>
        <v>79009847.144615382</v>
      </c>
      <c r="J77" s="63">
        <v>0.15</v>
      </c>
      <c r="K77" s="69">
        <f t="shared" si="3"/>
        <v>67158370.072923079</v>
      </c>
    </row>
    <row r="78" spans="1:11" x14ac:dyDescent="0.25">
      <c r="A78" s="65">
        <v>43100</v>
      </c>
      <c r="B78" s="67">
        <f>营业收入分析!F9</f>
        <v>90585086.010000005</v>
      </c>
      <c r="C78" s="66">
        <f t="shared" si="5"/>
        <v>-0.39318415040633531</v>
      </c>
      <c r="D78" s="67">
        <f>营业成本分析!F9</f>
        <v>23151926.16</v>
      </c>
      <c r="E78" s="66">
        <f t="shared" si="6"/>
        <v>-0.49311809827840924</v>
      </c>
      <c r="F78" s="69">
        <f t="shared" si="18"/>
        <v>67433159.850000009</v>
      </c>
      <c r="G78" s="63">
        <f t="shared" si="7"/>
        <v>-0.34912702939937335</v>
      </c>
      <c r="H78" s="63">
        <f t="shared" si="19"/>
        <v>0.7444179038760953</v>
      </c>
      <c r="I78" s="69">
        <f t="shared" si="2"/>
        <v>54966738.071538471</v>
      </c>
      <c r="J78" s="63">
        <v>0.15</v>
      </c>
      <c r="K78" s="69">
        <f t="shared" si="3"/>
        <v>46721727.360807702</v>
      </c>
    </row>
    <row r="79" spans="1:11" x14ac:dyDescent="0.25">
      <c r="A79" s="65">
        <v>43465</v>
      </c>
      <c r="B79" s="67">
        <f>营业收入分析!F10</f>
        <v>1778339.57</v>
      </c>
      <c r="C79" s="66">
        <f t="shared" si="5"/>
        <v>-0.98036829627998945</v>
      </c>
      <c r="D79" s="67">
        <f>营业成本分析!F10</f>
        <v>1746370.39</v>
      </c>
      <c r="E79" s="66">
        <f t="shared" si="6"/>
        <v>-0.92456911023596666</v>
      </c>
      <c r="F79" s="69">
        <f t="shared" ref="F79:F86" si="20">B79-D79</f>
        <v>31969.180000000168</v>
      </c>
      <c r="G79" s="63">
        <f t="shared" si="7"/>
        <v>-0.99952591306604766</v>
      </c>
      <c r="H79" s="63">
        <f t="shared" ref="H79:H86" si="21">F79/B79</f>
        <v>1.7976982877347867E-2</v>
      </c>
      <c r="I79" s="69">
        <f t="shared" si="2"/>
        <v>-908384.10692307656</v>
      </c>
      <c r="J79" s="63">
        <v>0.15</v>
      </c>
      <c r="K79" s="69">
        <f t="shared" si="3"/>
        <v>-772126.49088461511</v>
      </c>
    </row>
    <row r="80" spans="1:11" x14ac:dyDescent="0.25">
      <c r="A80" s="65">
        <v>43830</v>
      </c>
      <c r="B80" s="67">
        <f>营业收入分析!F11</f>
        <v>0</v>
      </c>
      <c r="C80" s="66">
        <f t="shared" si="5"/>
        <v>-1</v>
      </c>
      <c r="D80" s="67">
        <f>营业成本分析!F11</f>
        <v>0</v>
      </c>
      <c r="E80" s="66">
        <f t="shared" si="6"/>
        <v>-1</v>
      </c>
      <c r="F80" s="69">
        <f t="shared" si="20"/>
        <v>0</v>
      </c>
      <c r="G80" s="63">
        <f t="shared" si="7"/>
        <v>-1</v>
      </c>
      <c r="H80" s="63" t="e">
        <f t="shared" si="21"/>
        <v>#DIV/0!</v>
      </c>
      <c r="I80" s="69">
        <f t="shared" si="2"/>
        <v>0</v>
      </c>
      <c r="J80" s="63">
        <v>0.15</v>
      </c>
      <c r="K80" s="69">
        <f t="shared" si="3"/>
        <v>0</v>
      </c>
    </row>
    <row r="81" spans="1:11" s="71" customFormat="1" x14ac:dyDescent="0.25">
      <c r="A81" s="72">
        <v>43831</v>
      </c>
      <c r="B81" s="91">
        <f>营业收入分析!F12</f>
        <v>25667095.210000001</v>
      </c>
      <c r="C81" s="74" t="e">
        <f t="shared" si="5"/>
        <v>#DIV/0!</v>
      </c>
      <c r="D81" s="91">
        <f>营业成本分析!F12</f>
        <v>0</v>
      </c>
      <c r="E81" s="74" t="e">
        <f t="shared" si="6"/>
        <v>#DIV/0!</v>
      </c>
      <c r="F81" s="92">
        <f t="shared" si="20"/>
        <v>25667095.210000001</v>
      </c>
      <c r="G81" s="93" t="e">
        <f t="shared" si="7"/>
        <v>#DIV/0!</v>
      </c>
      <c r="H81" s="93">
        <f t="shared" si="21"/>
        <v>1</v>
      </c>
      <c r="I81" s="92">
        <f t="shared" si="2"/>
        <v>25667095.210000001</v>
      </c>
      <c r="J81" s="93">
        <v>0.15</v>
      </c>
      <c r="K81" s="92">
        <f t="shared" si="3"/>
        <v>21817030.9285</v>
      </c>
    </row>
    <row r="82" spans="1:11" x14ac:dyDescent="0.25">
      <c r="A82" s="85">
        <f>A14+1</f>
        <v>2021</v>
      </c>
      <c r="B82" s="67">
        <f>B77*0.27</f>
        <v>40305429.133200005</v>
      </c>
      <c r="C82" s="66">
        <f t="shared" si="5"/>
        <v>0.57031517604286019</v>
      </c>
      <c r="D82" s="67">
        <f>B82*0.4</f>
        <v>16122171.653280003</v>
      </c>
      <c r="E82" s="66" t="e">
        <f t="shared" si="6"/>
        <v>#DIV/0!</v>
      </c>
      <c r="F82" s="69">
        <f t="shared" si="20"/>
        <v>24183257.47992</v>
      </c>
      <c r="G82" s="63">
        <f t="shared" si="7"/>
        <v>-5.7810894374284008E-2</v>
      </c>
      <c r="H82" s="63">
        <f t="shared" si="21"/>
        <v>0.6</v>
      </c>
      <c r="I82" s="69">
        <f t="shared" si="2"/>
        <v>15502088.128153846</v>
      </c>
      <c r="J82" s="63">
        <v>0.15</v>
      </c>
      <c r="K82" s="69">
        <f t="shared" si="3"/>
        <v>13176774.908930769</v>
      </c>
    </row>
    <row r="83" spans="1:11" x14ac:dyDescent="0.25">
      <c r="A83" s="85">
        <f>A82+1</f>
        <v>2022</v>
      </c>
      <c r="B83" s="67">
        <f>B77*0.6</f>
        <v>89567620.295999989</v>
      </c>
      <c r="C83" s="66">
        <f t="shared" si="5"/>
        <v>1.2222222222222217</v>
      </c>
      <c r="D83" s="67">
        <f>B83*0.3</f>
        <v>26870286.088799994</v>
      </c>
      <c r="E83" s="66">
        <f t="shared" si="6"/>
        <v>0.66666666666666596</v>
      </c>
      <c r="F83" s="69">
        <f t="shared" si="20"/>
        <v>62697334.207199991</v>
      </c>
      <c r="G83" s="63">
        <f t="shared" si="7"/>
        <v>1.5925925925925923</v>
      </c>
      <c r="H83" s="63">
        <f t="shared" si="21"/>
        <v>0.7</v>
      </c>
      <c r="I83" s="69">
        <f t="shared" si="2"/>
        <v>48228718.620923072</v>
      </c>
      <c r="J83" s="63">
        <v>0.15</v>
      </c>
      <c r="K83" s="69">
        <f t="shared" si="3"/>
        <v>40994410.827784613</v>
      </c>
    </row>
    <row r="84" spans="1:11" x14ac:dyDescent="0.25">
      <c r="A84" s="85">
        <f>A83+1</f>
        <v>2023</v>
      </c>
      <c r="B84" s="67">
        <f>B77</f>
        <v>149279367.16</v>
      </c>
      <c r="C84" s="66">
        <f t="shared" si="5"/>
        <v>0.66666666666666685</v>
      </c>
      <c r="D84" s="67">
        <f>B84*0.3</f>
        <v>44783810.147999994</v>
      </c>
      <c r="E84" s="66">
        <f t="shared" si="6"/>
        <v>0.66666666666666685</v>
      </c>
      <c r="F84" s="69">
        <f t="shared" si="20"/>
        <v>104495557.01199999</v>
      </c>
      <c r="G84" s="63">
        <f t="shared" si="7"/>
        <v>0.66666666666666685</v>
      </c>
      <c r="H84" s="63">
        <f t="shared" si="21"/>
        <v>0.7</v>
      </c>
      <c r="I84" s="69">
        <f t="shared" si="2"/>
        <v>80381197.701538473</v>
      </c>
      <c r="J84" s="63">
        <v>0.15</v>
      </c>
      <c r="K84" s="69">
        <f t="shared" si="3"/>
        <v>68324018.046307698</v>
      </c>
    </row>
    <row r="85" spans="1:11" x14ac:dyDescent="0.25">
      <c r="A85" s="85">
        <f>A84+1</f>
        <v>2024</v>
      </c>
      <c r="B85" s="67">
        <f>B84*1.5</f>
        <v>223919050.74000001</v>
      </c>
      <c r="C85" s="66">
        <f t="shared" si="5"/>
        <v>0.50000000000000011</v>
      </c>
      <c r="D85" s="67">
        <f>B85*0.3</f>
        <v>67175715.222000003</v>
      </c>
      <c r="E85" s="66">
        <f t="shared" si="6"/>
        <v>0.50000000000000022</v>
      </c>
      <c r="F85" s="69">
        <f t="shared" si="20"/>
        <v>156743335.51800001</v>
      </c>
      <c r="G85" s="63">
        <f t="shared" si="7"/>
        <v>0.50000000000000011</v>
      </c>
      <c r="H85" s="63">
        <f t="shared" si="21"/>
        <v>0.7</v>
      </c>
      <c r="I85" s="69">
        <f t="shared" si="2"/>
        <v>120571796.5523077</v>
      </c>
      <c r="J85" s="63">
        <v>0.15</v>
      </c>
      <c r="K85" s="69">
        <f t="shared" si="3"/>
        <v>102486027.06946154</v>
      </c>
    </row>
    <row r="86" spans="1:11" x14ac:dyDescent="0.25">
      <c r="A86" s="85">
        <f>A85+1</f>
        <v>2025</v>
      </c>
      <c r="B86" s="67">
        <f>B85*1.3</f>
        <v>291094765.96200001</v>
      </c>
      <c r="C86" s="66">
        <f t="shared" si="5"/>
        <v>0.3</v>
      </c>
      <c r="D86" s="67">
        <f>B86*0.3</f>
        <v>87328429.788599998</v>
      </c>
      <c r="E86" s="66">
        <f t="shared" si="6"/>
        <v>0.29999999999999993</v>
      </c>
      <c r="F86" s="69">
        <f t="shared" si="20"/>
        <v>203766336.17340001</v>
      </c>
      <c r="G86" s="63">
        <f t="shared" si="7"/>
        <v>0.30000000000000004</v>
      </c>
      <c r="H86" s="63">
        <f t="shared" si="21"/>
        <v>0.70000000000000007</v>
      </c>
      <c r="I86" s="69">
        <f t="shared" si="2"/>
        <v>156743335.51800001</v>
      </c>
      <c r="J86" s="63">
        <v>0.15</v>
      </c>
      <c r="K86" s="69">
        <f t="shared" si="3"/>
        <v>133231835.1903</v>
      </c>
    </row>
    <row r="87" spans="1:11" x14ac:dyDescent="0.25">
      <c r="C87" s="66">
        <f>(B87-B81)/B81</f>
        <v>-1</v>
      </c>
      <c r="E87" s="66" t="e">
        <f>(D87-D81)/D81</f>
        <v>#DIV/0!</v>
      </c>
      <c r="G87" s="63">
        <f>(F87-F81)/F81</f>
        <v>-1</v>
      </c>
      <c r="I87" s="69">
        <f t="shared" si="2"/>
        <v>0</v>
      </c>
      <c r="J87" s="63">
        <v>0.25</v>
      </c>
      <c r="K87" s="69">
        <f t="shared" si="3"/>
        <v>0</v>
      </c>
    </row>
    <row r="88" spans="1:11" x14ac:dyDescent="0.25">
      <c r="A88" s="96" t="str">
        <f>营业收入分析!G1</f>
        <v>桂林宋城</v>
      </c>
      <c r="C88" s="66" t="e">
        <f t="shared" si="5"/>
        <v>#DIV/0!</v>
      </c>
      <c r="E88" s="66" t="e">
        <f t="shared" si="6"/>
        <v>#DIV/0!</v>
      </c>
      <c r="G88" s="63" t="e">
        <f t="shared" si="7"/>
        <v>#DIV/0!</v>
      </c>
      <c r="I88" s="69">
        <f t="shared" si="2"/>
        <v>0</v>
      </c>
      <c r="J88" s="63">
        <v>0.25</v>
      </c>
      <c r="K88" s="69">
        <f t="shared" si="3"/>
        <v>0</v>
      </c>
    </row>
    <row r="89" spans="1:11" x14ac:dyDescent="0.25">
      <c r="A89" s="67" t="s">
        <v>253</v>
      </c>
      <c r="B89" s="97">
        <v>43308</v>
      </c>
      <c r="C89" s="66"/>
      <c r="E89" s="66"/>
      <c r="G89" s="63"/>
      <c r="I89" s="69"/>
      <c r="J89" s="63"/>
      <c r="K89" s="69"/>
    </row>
    <row r="90" spans="1:11" x14ac:dyDescent="0.25">
      <c r="A90" s="67" t="s">
        <v>254</v>
      </c>
      <c r="B90" s="98">
        <v>161</v>
      </c>
      <c r="C90" s="66"/>
      <c r="E90" s="66"/>
      <c r="G90" s="63"/>
      <c r="I90" s="69"/>
      <c r="J90" s="63"/>
      <c r="K90" s="69"/>
    </row>
    <row r="91" spans="1:11" x14ac:dyDescent="0.25">
      <c r="A91" s="67" t="s">
        <v>255</v>
      </c>
      <c r="B91" s="98" t="s">
        <v>256</v>
      </c>
      <c r="C91" s="66"/>
      <c r="E91" s="66"/>
      <c r="G91" s="63"/>
      <c r="I91" s="69"/>
      <c r="J91" s="63"/>
      <c r="K91" s="69"/>
    </row>
    <row r="92" spans="1:11" x14ac:dyDescent="0.25">
      <c r="A92" s="67" t="s">
        <v>257</v>
      </c>
      <c r="B92" s="69">
        <v>800000000</v>
      </c>
      <c r="C92" s="66"/>
      <c r="E92" s="66"/>
      <c r="G92" s="63"/>
      <c r="I92" s="69"/>
      <c r="J92" s="63"/>
      <c r="K92" s="69"/>
    </row>
    <row r="93" spans="1:11" x14ac:dyDescent="0.25">
      <c r="A93" s="67" t="s">
        <v>258</v>
      </c>
      <c r="B93" s="63">
        <v>0.7</v>
      </c>
      <c r="C93" s="66"/>
      <c r="E93" s="66"/>
      <c r="G93" s="63"/>
      <c r="I93" s="69"/>
      <c r="J93" s="63"/>
      <c r="K93" s="69"/>
    </row>
    <row r="94" spans="1:11" x14ac:dyDescent="0.25">
      <c r="A94" s="67" t="s">
        <v>259</v>
      </c>
      <c r="B94" s="98">
        <v>3200</v>
      </c>
      <c r="C94" s="66"/>
      <c r="E94" s="66"/>
      <c r="G94" s="63"/>
      <c r="I94" s="69"/>
      <c r="J94" s="63"/>
      <c r="K94" s="69"/>
    </row>
    <row r="95" spans="1:11" ht="31.5" x14ac:dyDescent="0.25">
      <c r="A95" s="64" t="s">
        <v>72</v>
      </c>
      <c r="B95" s="60" t="s">
        <v>82</v>
      </c>
      <c r="C95" s="60" t="s">
        <v>87</v>
      </c>
      <c r="D95" t="s">
        <v>83</v>
      </c>
      <c r="E95" t="s">
        <v>88</v>
      </c>
      <c r="F95" t="s">
        <v>84</v>
      </c>
      <c r="G95" t="s">
        <v>89</v>
      </c>
      <c r="H95" t="s">
        <v>85</v>
      </c>
      <c r="I95" s="107" t="s">
        <v>245</v>
      </c>
      <c r="J95" s="107" t="s">
        <v>246</v>
      </c>
      <c r="K95" t="s">
        <v>49</v>
      </c>
    </row>
    <row r="96" spans="1:11" x14ac:dyDescent="0.25">
      <c r="A96" s="65">
        <v>40543</v>
      </c>
      <c r="B96" s="67">
        <f>营业收入分析!G2</f>
        <v>0</v>
      </c>
      <c r="C96" s="66" t="e">
        <f>(B96-B95)/B95</f>
        <v>#VALUE!</v>
      </c>
      <c r="D96" s="67">
        <f>营业成本分析!G2</f>
        <v>0</v>
      </c>
      <c r="E96" s="66" t="e">
        <f t="shared" si="6"/>
        <v>#VALUE!</v>
      </c>
      <c r="F96" s="69">
        <f t="shared" ref="F96:F103" si="22">B96-D96</f>
        <v>0</v>
      </c>
      <c r="G96" s="63" t="e">
        <f t="shared" si="7"/>
        <v>#VALUE!</v>
      </c>
      <c r="H96" s="63" t="e">
        <f t="shared" ref="H96:H103" si="23">F96/B96</f>
        <v>#DIV/0!</v>
      </c>
      <c r="I96" s="69">
        <f t="shared" si="2"/>
        <v>0</v>
      </c>
      <c r="J96" s="63">
        <v>0.25</v>
      </c>
      <c r="K96" s="69">
        <f t="shared" si="3"/>
        <v>0</v>
      </c>
    </row>
    <row r="97" spans="1:11" x14ac:dyDescent="0.25">
      <c r="A97" s="65">
        <v>40908</v>
      </c>
      <c r="B97" s="67">
        <f>营业收入分析!G3</f>
        <v>0</v>
      </c>
      <c r="C97" s="66" t="e">
        <f t="shared" si="5"/>
        <v>#DIV/0!</v>
      </c>
      <c r="D97" s="67">
        <f>营业成本分析!G3</f>
        <v>0</v>
      </c>
      <c r="E97" s="66" t="e">
        <f t="shared" si="6"/>
        <v>#DIV/0!</v>
      </c>
      <c r="F97" s="69">
        <f t="shared" si="22"/>
        <v>0</v>
      </c>
      <c r="G97" s="63" t="e">
        <f t="shared" si="7"/>
        <v>#DIV/0!</v>
      </c>
      <c r="H97" s="63" t="e">
        <f t="shared" si="23"/>
        <v>#DIV/0!</v>
      </c>
      <c r="I97" s="69">
        <f t="shared" si="2"/>
        <v>0</v>
      </c>
      <c r="J97" s="63">
        <v>0.25</v>
      </c>
      <c r="K97" s="69">
        <f t="shared" si="3"/>
        <v>0</v>
      </c>
    </row>
    <row r="98" spans="1:11" x14ac:dyDescent="0.25">
      <c r="A98" s="65">
        <v>41274</v>
      </c>
      <c r="B98" s="67">
        <f>营业收入分析!G4</f>
        <v>0</v>
      </c>
      <c r="C98" s="66" t="e">
        <f t="shared" si="5"/>
        <v>#DIV/0!</v>
      </c>
      <c r="D98" s="67">
        <f>营业成本分析!G4</f>
        <v>0</v>
      </c>
      <c r="E98" s="66" t="e">
        <f t="shared" si="6"/>
        <v>#DIV/0!</v>
      </c>
      <c r="F98" s="69">
        <f t="shared" si="22"/>
        <v>0</v>
      </c>
      <c r="G98" s="63" t="e">
        <f t="shared" si="7"/>
        <v>#DIV/0!</v>
      </c>
      <c r="H98" s="63" t="e">
        <f t="shared" si="23"/>
        <v>#DIV/0!</v>
      </c>
      <c r="I98" s="69">
        <f t="shared" si="2"/>
        <v>0</v>
      </c>
      <c r="J98" s="63">
        <v>0.25</v>
      </c>
      <c r="K98" s="69">
        <f t="shared" si="3"/>
        <v>0</v>
      </c>
    </row>
    <row r="99" spans="1:11" x14ac:dyDescent="0.25">
      <c r="A99" s="65">
        <v>41639</v>
      </c>
      <c r="B99" s="67">
        <f>营业收入分析!G5</f>
        <v>0</v>
      </c>
      <c r="C99" s="66" t="e">
        <f t="shared" si="5"/>
        <v>#DIV/0!</v>
      </c>
      <c r="D99" s="67">
        <f>营业成本分析!G5</f>
        <v>0</v>
      </c>
      <c r="E99" s="66" t="e">
        <f t="shared" si="6"/>
        <v>#DIV/0!</v>
      </c>
      <c r="F99" s="69">
        <f t="shared" si="22"/>
        <v>0</v>
      </c>
      <c r="G99" s="63" t="e">
        <f t="shared" si="7"/>
        <v>#DIV/0!</v>
      </c>
      <c r="H99" s="63" t="e">
        <f t="shared" si="23"/>
        <v>#DIV/0!</v>
      </c>
      <c r="I99" s="69">
        <f>B99-D99/0.65</f>
        <v>0</v>
      </c>
      <c r="J99" s="63">
        <v>0.25</v>
      </c>
      <c r="K99" s="69">
        <f t="shared" ref="K99:K223" si="24">I99*(1-J99)</f>
        <v>0</v>
      </c>
    </row>
    <row r="100" spans="1:11" x14ac:dyDescent="0.25">
      <c r="A100" s="65">
        <v>42004</v>
      </c>
      <c r="B100" s="67">
        <f>营业收入分析!G6</f>
        <v>0</v>
      </c>
      <c r="C100" s="66" t="e">
        <f t="shared" ref="C100:C124" si="25">(B100-B99)/B99</f>
        <v>#DIV/0!</v>
      </c>
      <c r="D100" s="67">
        <f>营业成本分析!G6</f>
        <v>0</v>
      </c>
      <c r="E100" s="66" t="e">
        <f t="shared" ref="E100:E223" si="26">(D100-D99)/D99</f>
        <v>#DIV/0!</v>
      </c>
      <c r="F100" s="69">
        <f t="shared" si="22"/>
        <v>0</v>
      </c>
      <c r="G100" s="63" t="e">
        <f t="shared" ref="G100:G223" si="27">(F100-F99)/F99</f>
        <v>#DIV/0!</v>
      </c>
      <c r="H100" s="63" t="e">
        <f t="shared" si="23"/>
        <v>#DIV/0!</v>
      </c>
      <c r="I100" s="69">
        <f>B100-D100/0.65</f>
        <v>0</v>
      </c>
      <c r="J100" s="63">
        <v>0.25</v>
      </c>
      <c r="K100" s="69">
        <f t="shared" si="24"/>
        <v>0</v>
      </c>
    </row>
    <row r="101" spans="1:11" x14ac:dyDescent="0.25">
      <c r="A101" s="65">
        <v>42369</v>
      </c>
      <c r="B101" s="67">
        <f>营业收入分析!G7</f>
        <v>0</v>
      </c>
      <c r="C101" s="66" t="e">
        <f t="shared" si="25"/>
        <v>#DIV/0!</v>
      </c>
      <c r="D101" s="67">
        <f>营业成本分析!G7</f>
        <v>0</v>
      </c>
      <c r="E101" s="66" t="e">
        <f t="shared" si="26"/>
        <v>#DIV/0!</v>
      </c>
      <c r="F101" s="69">
        <f t="shared" si="22"/>
        <v>0</v>
      </c>
      <c r="G101" s="63" t="e">
        <f t="shared" si="27"/>
        <v>#DIV/0!</v>
      </c>
      <c r="H101" s="63" t="e">
        <f t="shared" si="23"/>
        <v>#DIV/0!</v>
      </c>
      <c r="I101" s="69">
        <f>B101-D101/0.65</f>
        <v>0</v>
      </c>
      <c r="J101" s="63">
        <v>0.25</v>
      </c>
      <c r="K101" s="69">
        <f t="shared" si="24"/>
        <v>0</v>
      </c>
    </row>
    <row r="102" spans="1:11" x14ac:dyDescent="0.25">
      <c r="A102" s="65">
        <v>42735</v>
      </c>
      <c r="B102" s="67">
        <f>营业收入分析!G8</f>
        <v>0</v>
      </c>
      <c r="C102" s="66" t="e">
        <f t="shared" si="25"/>
        <v>#DIV/0!</v>
      </c>
      <c r="D102" s="67">
        <f>营业成本分析!G8</f>
        <v>0</v>
      </c>
      <c r="E102" s="66" t="e">
        <f t="shared" si="26"/>
        <v>#DIV/0!</v>
      </c>
      <c r="F102" s="69">
        <f t="shared" si="22"/>
        <v>0</v>
      </c>
      <c r="G102" s="63" t="e">
        <f t="shared" si="27"/>
        <v>#DIV/0!</v>
      </c>
      <c r="H102" s="63" t="e">
        <f t="shared" si="23"/>
        <v>#DIV/0!</v>
      </c>
      <c r="I102" s="69">
        <f t="shared" ref="I102:I129" si="28">B102-D102/0.65</f>
        <v>0</v>
      </c>
      <c r="J102" s="63">
        <v>0.25</v>
      </c>
      <c r="K102" s="69">
        <f t="shared" si="24"/>
        <v>0</v>
      </c>
    </row>
    <row r="103" spans="1:11" x14ac:dyDescent="0.25">
      <c r="A103" s="65">
        <v>43100</v>
      </c>
      <c r="B103" s="67">
        <f>营业收入分析!G9</f>
        <v>0</v>
      </c>
      <c r="C103" s="66" t="e">
        <f t="shared" si="25"/>
        <v>#DIV/0!</v>
      </c>
      <c r="D103" s="67">
        <f>营业成本分析!G9</f>
        <v>0</v>
      </c>
      <c r="E103" s="66" t="e">
        <f t="shared" si="26"/>
        <v>#DIV/0!</v>
      </c>
      <c r="F103" s="69">
        <f t="shared" si="22"/>
        <v>0</v>
      </c>
      <c r="G103" s="63" t="e">
        <f t="shared" si="27"/>
        <v>#DIV/0!</v>
      </c>
      <c r="H103" s="63" t="e">
        <f t="shared" si="23"/>
        <v>#DIV/0!</v>
      </c>
      <c r="I103" s="69">
        <f t="shared" si="28"/>
        <v>0</v>
      </c>
      <c r="J103" s="63">
        <v>0.25</v>
      </c>
      <c r="K103" s="69">
        <f t="shared" si="24"/>
        <v>0</v>
      </c>
    </row>
    <row r="104" spans="1:11" x14ac:dyDescent="0.25">
      <c r="A104" s="65">
        <v>43465</v>
      </c>
      <c r="B104" s="67">
        <f>营业收入分析!G10</f>
        <v>42659643.259999998</v>
      </c>
      <c r="C104" s="66" t="e">
        <f t="shared" si="25"/>
        <v>#DIV/0!</v>
      </c>
      <c r="D104" s="67">
        <f>营业成本分析!G10</f>
        <v>31384154.07</v>
      </c>
      <c r="E104" s="66" t="e">
        <f t="shared" si="26"/>
        <v>#DIV/0!</v>
      </c>
      <c r="F104" s="69">
        <f t="shared" ref="F104:F111" si="29">B104-D104</f>
        <v>11275489.189999998</v>
      </c>
      <c r="G104" s="63" t="e">
        <f t="shared" si="27"/>
        <v>#DIV/0!</v>
      </c>
      <c r="H104" s="63">
        <f t="shared" ref="H104:H111" si="30">F104/B104</f>
        <v>0.264312786707537</v>
      </c>
      <c r="I104" s="69">
        <f t="shared" si="28"/>
        <v>-5623670.6938461512</v>
      </c>
      <c r="J104" s="63">
        <v>0.25</v>
      </c>
      <c r="K104" s="69">
        <f t="shared" si="24"/>
        <v>-4217753.0203846134</v>
      </c>
    </row>
    <row r="105" spans="1:11" x14ac:dyDescent="0.25">
      <c r="A105" s="65">
        <v>43830</v>
      </c>
      <c r="B105" s="67">
        <f>营业收入分析!G11</f>
        <v>160649726.50999999</v>
      </c>
      <c r="C105" s="66">
        <f t="shared" si="25"/>
        <v>2.765847865414147</v>
      </c>
      <c r="D105" s="67">
        <f>营业成本分析!G11</f>
        <v>46124530.280000001</v>
      </c>
      <c r="E105" s="66">
        <f t="shared" si="26"/>
        <v>0.4696757534749128</v>
      </c>
      <c r="F105" s="69">
        <f t="shared" si="29"/>
        <v>114525196.22999999</v>
      </c>
      <c r="G105" s="63">
        <f t="shared" si="27"/>
        <v>9.1570046585269278</v>
      </c>
      <c r="H105" s="63">
        <f t="shared" si="30"/>
        <v>0.71288758915422812</v>
      </c>
      <c r="I105" s="69">
        <f t="shared" si="28"/>
        <v>89688910.694615379</v>
      </c>
      <c r="J105" s="63">
        <v>0.25</v>
      </c>
      <c r="K105" s="69">
        <f t="shared" si="24"/>
        <v>67266683.020961538</v>
      </c>
    </row>
    <row r="106" spans="1:11" s="71" customFormat="1" x14ac:dyDescent="0.25">
      <c r="A106" s="72">
        <v>43831</v>
      </c>
      <c r="B106" s="91">
        <f>营业收入分析!G12</f>
        <v>56586027.07</v>
      </c>
      <c r="C106" s="74">
        <f t="shared" si="25"/>
        <v>-0.64776767256757406</v>
      </c>
      <c r="D106" s="91">
        <f>营业成本分析!G12</f>
        <v>0</v>
      </c>
      <c r="E106" s="74">
        <f t="shared" si="26"/>
        <v>-1</v>
      </c>
      <c r="F106" s="92">
        <f t="shared" si="29"/>
        <v>56586027.07</v>
      </c>
      <c r="G106" s="93">
        <f t="shared" si="27"/>
        <v>-0.50590761742631063</v>
      </c>
      <c r="H106" s="93">
        <f t="shared" si="30"/>
        <v>1</v>
      </c>
      <c r="I106" s="92">
        <f t="shared" si="28"/>
        <v>56586027.07</v>
      </c>
      <c r="J106" s="93">
        <v>0.25</v>
      </c>
      <c r="K106" s="92">
        <f t="shared" si="24"/>
        <v>42439520.302500002</v>
      </c>
    </row>
    <row r="107" spans="1:11" x14ac:dyDescent="0.25">
      <c r="A107" s="85">
        <f>A14+1</f>
        <v>2021</v>
      </c>
      <c r="B107" s="67">
        <f>B105*0.73</f>
        <v>117274300.35229999</v>
      </c>
      <c r="C107" s="66">
        <f t="shared" si="25"/>
        <v>1.0724957454112354</v>
      </c>
      <c r="D107" s="67">
        <f>B107*0.3</f>
        <v>35182290.105689995</v>
      </c>
      <c r="E107" s="66" t="e">
        <f t="shared" si="26"/>
        <v>#DIV/0!</v>
      </c>
      <c r="F107" s="69">
        <f t="shared" si="29"/>
        <v>82092010.246609986</v>
      </c>
      <c r="G107" s="63">
        <f t="shared" si="27"/>
        <v>0.45074702178786458</v>
      </c>
      <c r="H107" s="63">
        <f t="shared" si="30"/>
        <v>0.7</v>
      </c>
      <c r="I107" s="69">
        <f t="shared" si="28"/>
        <v>63147700.1897</v>
      </c>
      <c r="J107" s="63">
        <v>0.25</v>
      </c>
      <c r="K107" s="69">
        <f t="shared" si="24"/>
        <v>47360775.142274998</v>
      </c>
    </row>
    <row r="108" spans="1:11" x14ac:dyDescent="0.25">
      <c r="A108" s="85">
        <f>A107+1</f>
        <v>2022</v>
      </c>
      <c r="B108" s="67">
        <f>B105</f>
        <v>160649726.50999999</v>
      </c>
      <c r="C108" s="66">
        <f t="shared" si="25"/>
        <v>0.36986301369863017</v>
      </c>
      <c r="D108" s="67">
        <f>B108*0.3</f>
        <v>48194917.952999994</v>
      </c>
      <c r="E108" s="66">
        <f t="shared" si="26"/>
        <v>0.36986301369863017</v>
      </c>
      <c r="F108" s="69">
        <f t="shared" si="29"/>
        <v>112454808.557</v>
      </c>
      <c r="G108" s="63">
        <f t="shared" si="27"/>
        <v>0.36986301369863034</v>
      </c>
      <c r="H108" s="63">
        <f t="shared" si="30"/>
        <v>0.70000000000000007</v>
      </c>
      <c r="I108" s="69">
        <f t="shared" si="28"/>
        <v>86503698.890000001</v>
      </c>
      <c r="J108" s="63">
        <v>0.25</v>
      </c>
      <c r="K108" s="69">
        <f t="shared" si="24"/>
        <v>64877774.167500004</v>
      </c>
    </row>
    <row r="109" spans="1:11" x14ac:dyDescent="0.25">
      <c r="A109" s="85">
        <f>A108+1</f>
        <v>2023</v>
      </c>
      <c r="B109" s="67">
        <f>B108*1.3</f>
        <v>208844644.463</v>
      </c>
      <c r="C109" s="66">
        <f t="shared" si="25"/>
        <v>0.3000000000000001</v>
      </c>
      <c r="D109" s="67">
        <f>B109*0.3</f>
        <v>62653393.3389</v>
      </c>
      <c r="E109" s="66">
        <f t="shared" si="26"/>
        <v>0.30000000000000016</v>
      </c>
      <c r="F109" s="69">
        <f t="shared" si="29"/>
        <v>146191251.1241</v>
      </c>
      <c r="G109" s="63">
        <f t="shared" si="27"/>
        <v>0.30000000000000004</v>
      </c>
      <c r="H109" s="63">
        <f t="shared" si="30"/>
        <v>0.7</v>
      </c>
      <c r="I109" s="69">
        <f t="shared" si="28"/>
        <v>112454808.557</v>
      </c>
      <c r="J109" s="63">
        <v>0.25</v>
      </c>
      <c r="K109" s="69">
        <f t="shared" si="24"/>
        <v>84341106.417750001</v>
      </c>
    </row>
    <row r="110" spans="1:11" x14ac:dyDescent="0.25">
      <c r="A110" s="85">
        <f>A109+1</f>
        <v>2024</v>
      </c>
      <c r="B110" s="67">
        <f>B109*1.3</f>
        <v>271498037.80190003</v>
      </c>
      <c r="C110" s="66">
        <f t="shared" si="25"/>
        <v>0.30000000000000016</v>
      </c>
      <c r="D110" s="67">
        <f>B110*0.3</f>
        <v>81449411.340570003</v>
      </c>
      <c r="E110" s="66">
        <f t="shared" si="26"/>
        <v>0.30000000000000004</v>
      </c>
      <c r="F110" s="69">
        <f t="shared" si="29"/>
        <v>190048626.46133003</v>
      </c>
      <c r="G110" s="63">
        <f t="shared" si="27"/>
        <v>0.30000000000000021</v>
      </c>
      <c r="H110" s="63">
        <f t="shared" si="30"/>
        <v>0.70000000000000007</v>
      </c>
      <c r="I110" s="69">
        <f t="shared" si="28"/>
        <v>146191251.12410003</v>
      </c>
      <c r="J110" s="63">
        <v>0.25</v>
      </c>
      <c r="K110" s="69">
        <f t="shared" si="24"/>
        <v>109643438.34307502</v>
      </c>
    </row>
    <row r="111" spans="1:11" x14ac:dyDescent="0.25">
      <c r="A111" s="85">
        <f>A110+1</f>
        <v>2025</v>
      </c>
      <c r="B111" s="67">
        <f>B110*1.15</f>
        <v>312222743.47218502</v>
      </c>
      <c r="C111" s="66">
        <f t="shared" si="25"/>
        <v>0.14999999999999994</v>
      </c>
      <c r="D111" s="67">
        <f>B111*0.3</f>
        <v>93666823.041655496</v>
      </c>
      <c r="E111" s="66">
        <f t="shared" si="26"/>
        <v>0.14999999999999991</v>
      </c>
      <c r="F111" s="69">
        <f t="shared" si="29"/>
        <v>218555920.43052953</v>
      </c>
      <c r="G111" s="63">
        <f t="shared" si="27"/>
        <v>0.15000000000000002</v>
      </c>
      <c r="H111" s="63">
        <f t="shared" si="30"/>
        <v>0.70000000000000007</v>
      </c>
      <c r="I111" s="69">
        <f t="shared" si="28"/>
        <v>168119938.79271501</v>
      </c>
      <c r="J111" s="63">
        <v>0.25</v>
      </c>
      <c r="K111" s="69">
        <f t="shared" si="24"/>
        <v>126089954.09453626</v>
      </c>
    </row>
    <row r="112" spans="1:11" x14ac:dyDescent="0.25">
      <c r="C112" s="66">
        <f>(B112-B106)/B106</f>
        <v>-1</v>
      </c>
      <c r="E112" s="66" t="e">
        <f>(D112-D106)/D106</f>
        <v>#DIV/0!</v>
      </c>
      <c r="G112" s="63">
        <f>(F112-F106)/F106</f>
        <v>-1</v>
      </c>
      <c r="I112" s="69">
        <f t="shared" si="28"/>
        <v>0</v>
      </c>
      <c r="J112" s="63">
        <v>0.25</v>
      </c>
      <c r="K112" s="69">
        <f t="shared" si="24"/>
        <v>0</v>
      </c>
    </row>
    <row r="113" spans="1:11" x14ac:dyDescent="0.25">
      <c r="A113" s="96" t="str">
        <f>营业收入分析!H1</f>
        <v>张家界宋城</v>
      </c>
      <c r="C113" s="66" t="e">
        <f t="shared" si="25"/>
        <v>#DIV/0!</v>
      </c>
      <c r="E113" s="66" t="e">
        <f t="shared" si="26"/>
        <v>#DIV/0!</v>
      </c>
      <c r="G113" s="63" t="e">
        <f t="shared" si="27"/>
        <v>#DIV/0!</v>
      </c>
      <c r="I113" s="69">
        <f t="shared" si="28"/>
        <v>0</v>
      </c>
      <c r="J113" s="63">
        <v>0.25</v>
      </c>
      <c r="K113" s="69">
        <f t="shared" si="24"/>
        <v>0</v>
      </c>
    </row>
    <row r="114" spans="1:11" x14ac:dyDescent="0.25">
      <c r="A114" s="67" t="s">
        <v>253</v>
      </c>
      <c r="B114" s="97">
        <v>43644</v>
      </c>
      <c r="C114" s="66"/>
      <c r="E114" s="66"/>
      <c r="G114" s="63"/>
      <c r="I114" s="69"/>
      <c r="J114" s="63"/>
      <c r="K114" s="69"/>
    </row>
    <row r="115" spans="1:11" x14ac:dyDescent="0.25">
      <c r="A115" s="67" t="s">
        <v>254</v>
      </c>
      <c r="B115" s="98">
        <v>170</v>
      </c>
      <c r="C115" s="66"/>
      <c r="E115" s="66"/>
      <c r="G115" s="63"/>
      <c r="I115" s="69"/>
      <c r="J115" s="63"/>
      <c r="K115" s="69"/>
    </row>
    <row r="116" spans="1:11" ht="45" customHeight="1" x14ac:dyDescent="0.25">
      <c r="A116" s="67" t="s">
        <v>255</v>
      </c>
      <c r="B116" s="117" t="s">
        <v>260</v>
      </c>
      <c r="C116" s="118"/>
      <c r="D116" s="118"/>
      <c r="E116" s="118"/>
      <c r="F116" s="118"/>
      <c r="G116" s="118"/>
      <c r="H116" s="118"/>
      <c r="I116" s="69"/>
      <c r="J116" s="63"/>
      <c r="K116" s="69"/>
    </row>
    <row r="117" spans="1:11" x14ac:dyDescent="0.25">
      <c r="A117" s="67" t="s">
        <v>257</v>
      </c>
      <c r="B117" s="69"/>
      <c r="C117" s="66"/>
      <c r="E117" s="66"/>
      <c r="G117" s="63"/>
      <c r="I117" s="69"/>
      <c r="J117" s="63"/>
      <c r="K117" s="69"/>
    </row>
    <row r="118" spans="1:11" x14ac:dyDescent="0.25">
      <c r="A118" s="67" t="s">
        <v>258</v>
      </c>
      <c r="B118" s="63"/>
      <c r="C118" s="66"/>
      <c r="E118" s="66"/>
      <c r="G118" s="63"/>
      <c r="I118" s="69"/>
      <c r="J118" s="63"/>
      <c r="K118" s="69"/>
    </row>
    <row r="119" spans="1:11" x14ac:dyDescent="0.25">
      <c r="A119" s="67" t="s">
        <v>259</v>
      </c>
      <c r="B119" s="98"/>
      <c r="C119" s="66"/>
      <c r="E119" s="66"/>
      <c r="G119" s="63"/>
      <c r="I119" s="69"/>
      <c r="J119" s="63"/>
      <c r="K119" s="69"/>
    </row>
    <row r="120" spans="1:11" ht="31.5" x14ac:dyDescent="0.25">
      <c r="A120" s="64" t="s">
        <v>72</v>
      </c>
      <c r="B120" s="60" t="s">
        <v>82</v>
      </c>
      <c r="C120" s="60" t="s">
        <v>87</v>
      </c>
      <c r="D120" t="s">
        <v>83</v>
      </c>
      <c r="E120" t="s">
        <v>88</v>
      </c>
      <c r="F120" t="s">
        <v>84</v>
      </c>
      <c r="G120" t="s">
        <v>89</v>
      </c>
      <c r="H120" t="s">
        <v>85</v>
      </c>
      <c r="I120" s="107" t="s">
        <v>245</v>
      </c>
      <c r="J120" s="107" t="s">
        <v>246</v>
      </c>
      <c r="K120" t="s">
        <v>49</v>
      </c>
    </row>
    <row r="121" spans="1:11" x14ac:dyDescent="0.25">
      <c r="A121" s="65">
        <v>40543</v>
      </c>
      <c r="B121" s="67">
        <f>营业收入分析!H2</f>
        <v>0</v>
      </c>
      <c r="C121" s="66" t="e">
        <f t="shared" si="25"/>
        <v>#VALUE!</v>
      </c>
      <c r="D121" s="67">
        <f>营业成本分析!H2</f>
        <v>0</v>
      </c>
      <c r="E121" s="66" t="e">
        <f t="shared" si="26"/>
        <v>#VALUE!</v>
      </c>
      <c r="F121" s="69">
        <f t="shared" ref="F121:F128" si="31">B121-D121</f>
        <v>0</v>
      </c>
      <c r="G121" s="63" t="e">
        <f t="shared" si="27"/>
        <v>#VALUE!</v>
      </c>
      <c r="H121" s="63" t="e">
        <f t="shared" ref="H121:H128" si="32">F121/B121</f>
        <v>#DIV/0!</v>
      </c>
      <c r="I121" s="69">
        <f t="shared" si="28"/>
        <v>0</v>
      </c>
      <c r="J121" s="63">
        <v>0.25</v>
      </c>
      <c r="K121" s="69">
        <f t="shared" si="24"/>
        <v>0</v>
      </c>
    </row>
    <row r="122" spans="1:11" x14ac:dyDescent="0.25">
      <c r="A122" s="65">
        <v>40908</v>
      </c>
      <c r="B122" s="67">
        <f>营业收入分析!H3</f>
        <v>0</v>
      </c>
      <c r="C122" s="66" t="e">
        <f t="shared" si="25"/>
        <v>#DIV/0!</v>
      </c>
      <c r="D122" s="67">
        <f>营业成本分析!H3</f>
        <v>0</v>
      </c>
      <c r="E122" s="66" t="e">
        <f t="shared" si="26"/>
        <v>#DIV/0!</v>
      </c>
      <c r="F122" s="69">
        <f t="shared" si="31"/>
        <v>0</v>
      </c>
      <c r="G122" s="63" t="e">
        <f t="shared" si="27"/>
        <v>#DIV/0!</v>
      </c>
      <c r="H122" s="63" t="e">
        <f t="shared" si="32"/>
        <v>#DIV/0!</v>
      </c>
      <c r="I122" s="69">
        <f t="shared" si="28"/>
        <v>0</v>
      </c>
      <c r="J122" s="63">
        <v>0.25</v>
      </c>
      <c r="K122" s="69">
        <f t="shared" si="24"/>
        <v>0</v>
      </c>
    </row>
    <row r="123" spans="1:11" x14ac:dyDescent="0.25">
      <c r="A123" s="65">
        <v>41274</v>
      </c>
      <c r="B123" s="67">
        <f>营业收入分析!H4</f>
        <v>0</v>
      </c>
      <c r="C123" s="66" t="e">
        <f t="shared" si="25"/>
        <v>#DIV/0!</v>
      </c>
      <c r="D123" s="67">
        <f>营业成本分析!H4</f>
        <v>0</v>
      </c>
      <c r="E123" s="66" t="e">
        <f t="shared" si="26"/>
        <v>#DIV/0!</v>
      </c>
      <c r="F123" s="69">
        <f t="shared" si="31"/>
        <v>0</v>
      </c>
      <c r="G123" s="63" t="e">
        <f t="shared" si="27"/>
        <v>#DIV/0!</v>
      </c>
      <c r="H123" s="63" t="e">
        <f t="shared" si="32"/>
        <v>#DIV/0!</v>
      </c>
      <c r="I123" s="69">
        <f t="shared" si="28"/>
        <v>0</v>
      </c>
      <c r="J123" s="63">
        <v>0.25</v>
      </c>
      <c r="K123" s="69">
        <f t="shared" si="24"/>
        <v>0</v>
      </c>
    </row>
    <row r="124" spans="1:11" x14ac:dyDescent="0.25">
      <c r="A124" s="65">
        <v>41639</v>
      </c>
      <c r="B124" s="67">
        <f>营业收入分析!H5</f>
        <v>0</v>
      </c>
      <c r="C124" s="66" t="e">
        <f t="shared" si="25"/>
        <v>#DIV/0!</v>
      </c>
      <c r="D124" s="67">
        <f>营业成本分析!H5</f>
        <v>0</v>
      </c>
      <c r="E124" s="66" t="e">
        <f t="shared" si="26"/>
        <v>#DIV/0!</v>
      </c>
      <c r="F124" s="69">
        <f t="shared" si="31"/>
        <v>0</v>
      </c>
      <c r="G124" s="63" t="e">
        <f t="shared" si="27"/>
        <v>#DIV/0!</v>
      </c>
      <c r="H124" s="63" t="e">
        <f t="shared" si="32"/>
        <v>#DIV/0!</v>
      </c>
      <c r="I124" s="69">
        <f t="shared" si="28"/>
        <v>0</v>
      </c>
      <c r="J124" s="63">
        <v>0.25</v>
      </c>
      <c r="K124" s="69">
        <f t="shared" si="24"/>
        <v>0</v>
      </c>
    </row>
    <row r="125" spans="1:11" x14ac:dyDescent="0.25">
      <c r="A125" s="65">
        <v>42004</v>
      </c>
      <c r="B125" s="67">
        <f>营业收入分析!H6</f>
        <v>0</v>
      </c>
      <c r="C125" s="66" t="e">
        <f>(B125-B124)/B124</f>
        <v>#DIV/0!</v>
      </c>
      <c r="D125" s="67">
        <f>营业成本分析!H6</f>
        <v>0</v>
      </c>
      <c r="E125" s="66" t="e">
        <f t="shared" si="26"/>
        <v>#DIV/0!</v>
      </c>
      <c r="F125" s="69">
        <f t="shared" si="31"/>
        <v>0</v>
      </c>
      <c r="G125" s="63" t="e">
        <f t="shared" si="27"/>
        <v>#DIV/0!</v>
      </c>
      <c r="H125" s="63" t="e">
        <f t="shared" si="32"/>
        <v>#DIV/0!</v>
      </c>
      <c r="I125" s="69">
        <f t="shared" si="28"/>
        <v>0</v>
      </c>
      <c r="J125" s="63">
        <v>0.25</v>
      </c>
      <c r="K125" s="69">
        <f t="shared" si="24"/>
        <v>0</v>
      </c>
    </row>
    <row r="126" spans="1:11" x14ac:dyDescent="0.25">
      <c r="A126" s="65">
        <v>42369</v>
      </c>
      <c r="B126" s="67">
        <f>营业收入分析!H7</f>
        <v>0</v>
      </c>
      <c r="C126" s="66" t="e">
        <f t="shared" ref="C126:C150" si="33">(B126-B125)/B125</f>
        <v>#DIV/0!</v>
      </c>
      <c r="D126" s="67">
        <f>营业成本分析!H7</f>
        <v>0</v>
      </c>
      <c r="E126" s="66" t="e">
        <f t="shared" si="26"/>
        <v>#DIV/0!</v>
      </c>
      <c r="F126" s="69">
        <f t="shared" si="31"/>
        <v>0</v>
      </c>
      <c r="G126" s="63" t="e">
        <f t="shared" si="27"/>
        <v>#DIV/0!</v>
      </c>
      <c r="H126" s="63" t="e">
        <f t="shared" si="32"/>
        <v>#DIV/0!</v>
      </c>
      <c r="I126" s="69">
        <f t="shared" si="28"/>
        <v>0</v>
      </c>
      <c r="J126" s="63">
        <v>0.25</v>
      </c>
      <c r="K126" s="69">
        <f t="shared" si="24"/>
        <v>0</v>
      </c>
    </row>
    <row r="127" spans="1:11" x14ac:dyDescent="0.25">
      <c r="A127" s="65">
        <v>42735</v>
      </c>
      <c r="B127" s="67">
        <f>营业收入分析!H8</f>
        <v>0</v>
      </c>
      <c r="C127" s="66" t="e">
        <f t="shared" si="33"/>
        <v>#DIV/0!</v>
      </c>
      <c r="D127" s="67">
        <f>营业成本分析!H8</f>
        <v>0</v>
      </c>
      <c r="E127" s="66" t="e">
        <f t="shared" si="26"/>
        <v>#DIV/0!</v>
      </c>
      <c r="F127" s="69">
        <f t="shared" si="31"/>
        <v>0</v>
      </c>
      <c r="G127" s="63" t="e">
        <f t="shared" si="27"/>
        <v>#DIV/0!</v>
      </c>
      <c r="H127" s="63" t="e">
        <f t="shared" si="32"/>
        <v>#DIV/0!</v>
      </c>
      <c r="I127" s="69">
        <f t="shared" si="28"/>
        <v>0</v>
      </c>
      <c r="J127" s="63">
        <v>0.25</v>
      </c>
      <c r="K127" s="69">
        <f t="shared" si="24"/>
        <v>0</v>
      </c>
    </row>
    <row r="128" spans="1:11" x14ac:dyDescent="0.25">
      <c r="A128" s="65">
        <v>43100</v>
      </c>
      <c r="B128" s="67">
        <f>营业收入分析!H9</f>
        <v>0</v>
      </c>
      <c r="C128" s="66" t="e">
        <f t="shared" si="33"/>
        <v>#DIV/0!</v>
      </c>
      <c r="D128" s="67">
        <f>营业成本分析!H9</f>
        <v>0</v>
      </c>
      <c r="E128" s="66" t="e">
        <f t="shared" si="26"/>
        <v>#DIV/0!</v>
      </c>
      <c r="F128" s="69">
        <f t="shared" si="31"/>
        <v>0</v>
      </c>
      <c r="G128" s="63" t="e">
        <f t="shared" si="27"/>
        <v>#DIV/0!</v>
      </c>
      <c r="H128" s="63" t="e">
        <f t="shared" si="32"/>
        <v>#DIV/0!</v>
      </c>
      <c r="I128" s="69">
        <f t="shared" si="28"/>
        <v>0</v>
      </c>
      <c r="J128" s="63">
        <v>0.25</v>
      </c>
      <c r="K128" s="69">
        <f t="shared" si="24"/>
        <v>0</v>
      </c>
    </row>
    <row r="129" spans="1:11" x14ac:dyDescent="0.25">
      <c r="A129" s="65">
        <v>43465</v>
      </c>
      <c r="B129" s="67">
        <f>营业收入分析!H10</f>
        <v>0</v>
      </c>
      <c r="C129" s="66" t="e">
        <f t="shared" si="33"/>
        <v>#DIV/0!</v>
      </c>
      <c r="D129" s="67">
        <f>营业成本分析!H10</f>
        <v>0</v>
      </c>
      <c r="E129" s="66" t="e">
        <f t="shared" si="26"/>
        <v>#DIV/0!</v>
      </c>
      <c r="F129" s="69">
        <f t="shared" ref="F129:F136" si="34">B129-D129</f>
        <v>0</v>
      </c>
      <c r="G129" s="63" t="e">
        <f t="shared" si="27"/>
        <v>#DIV/0!</v>
      </c>
      <c r="H129" s="63" t="e">
        <f t="shared" ref="H129:H136" si="35">F129/B129</f>
        <v>#DIV/0!</v>
      </c>
      <c r="I129" s="69">
        <f t="shared" si="28"/>
        <v>0</v>
      </c>
      <c r="J129" s="63">
        <v>0.25</v>
      </c>
      <c r="K129" s="69">
        <f t="shared" si="24"/>
        <v>0</v>
      </c>
    </row>
    <row r="130" spans="1:11" x14ac:dyDescent="0.25">
      <c r="A130" s="65">
        <v>43830</v>
      </c>
      <c r="B130" s="67">
        <f>营业收入分析!H11</f>
        <v>65470605.659999996</v>
      </c>
      <c r="C130" s="66" t="e">
        <f t="shared" si="33"/>
        <v>#DIV/0!</v>
      </c>
      <c r="D130" s="67">
        <f>营业成本分析!H11</f>
        <v>21941624.469999999</v>
      </c>
      <c r="E130" s="66" t="e">
        <f t="shared" si="26"/>
        <v>#DIV/0!</v>
      </c>
      <c r="F130" s="69">
        <f t="shared" si="34"/>
        <v>43528981.189999998</v>
      </c>
      <c r="G130" s="63" t="e">
        <f t="shared" si="27"/>
        <v>#DIV/0!</v>
      </c>
      <c r="H130" s="63">
        <f t="shared" si="35"/>
        <v>0.66486296791041477</v>
      </c>
      <c r="I130" s="69">
        <f t="shared" ref="I130:I138" si="36">B130-D130/0.65</f>
        <v>31714260.321538463</v>
      </c>
      <c r="J130" s="63">
        <v>0.25</v>
      </c>
      <c r="K130" s="69">
        <f t="shared" si="24"/>
        <v>23785695.241153847</v>
      </c>
    </row>
    <row r="131" spans="1:11" s="71" customFormat="1" x14ac:dyDescent="0.25">
      <c r="A131" s="72">
        <v>43831</v>
      </c>
      <c r="B131" s="91">
        <f>营业收入分析!H12</f>
        <v>18120963.579999998</v>
      </c>
      <c r="C131" s="74">
        <f t="shared" si="33"/>
        <v>-0.72321985725769444</v>
      </c>
      <c r="D131" s="91">
        <f>营业成本分析!H12</f>
        <v>0</v>
      </c>
      <c r="E131" s="74">
        <f t="shared" si="26"/>
        <v>-1</v>
      </c>
      <c r="F131" s="92">
        <f t="shared" si="34"/>
        <v>18120963.579999998</v>
      </c>
      <c r="G131" s="93">
        <f t="shared" si="27"/>
        <v>-0.58370347560160762</v>
      </c>
      <c r="H131" s="93">
        <f t="shared" si="35"/>
        <v>1</v>
      </c>
      <c r="I131" s="92">
        <f t="shared" si="36"/>
        <v>18120963.579999998</v>
      </c>
      <c r="J131" s="93">
        <v>0.25</v>
      </c>
      <c r="K131" s="92">
        <f t="shared" si="24"/>
        <v>13590722.684999999</v>
      </c>
    </row>
    <row r="132" spans="1:11" x14ac:dyDescent="0.25">
      <c r="A132" s="85">
        <f>A14+1</f>
        <v>2021</v>
      </c>
      <c r="B132" s="67">
        <f>B130*0.8</f>
        <v>52376484.527999997</v>
      </c>
      <c r="C132" s="66">
        <f t="shared" si="33"/>
        <v>1.8903807624119733</v>
      </c>
      <c r="D132" s="67">
        <f>B132*0.3</f>
        <v>15712945.358399998</v>
      </c>
      <c r="E132" s="66" t="e">
        <f t="shared" si="26"/>
        <v>#DIV/0!</v>
      </c>
      <c r="F132" s="69">
        <f t="shared" si="34"/>
        <v>36663539.169599995</v>
      </c>
      <c r="G132" s="63">
        <f t="shared" si="27"/>
        <v>1.0232665336883813</v>
      </c>
      <c r="H132" s="63">
        <f t="shared" si="35"/>
        <v>0.7</v>
      </c>
      <c r="I132" s="69">
        <f t="shared" si="36"/>
        <v>28202722.438153848</v>
      </c>
      <c r="J132" s="63">
        <v>0.25</v>
      </c>
      <c r="K132" s="69">
        <f t="shared" si="24"/>
        <v>21152041.828615386</v>
      </c>
    </row>
    <row r="133" spans="1:11" x14ac:dyDescent="0.25">
      <c r="A133" s="85">
        <f>A132+1</f>
        <v>2022</v>
      </c>
      <c r="B133" s="67">
        <f>B132*2</f>
        <v>104752969.05599999</v>
      </c>
      <c r="C133" s="66">
        <f t="shared" si="33"/>
        <v>1</v>
      </c>
      <c r="D133" s="67">
        <f>B133*0.3</f>
        <v>31425890.716799997</v>
      </c>
      <c r="E133" s="66">
        <f t="shared" si="26"/>
        <v>1</v>
      </c>
      <c r="F133" s="69">
        <f t="shared" si="34"/>
        <v>73327078.33919999</v>
      </c>
      <c r="G133" s="63">
        <f t="shared" si="27"/>
        <v>1</v>
      </c>
      <c r="H133" s="63">
        <f t="shared" si="35"/>
        <v>0.7</v>
      </c>
      <c r="I133" s="69">
        <f t="shared" si="36"/>
        <v>56405444.876307696</v>
      </c>
      <c r="J133" s="63">
        <v>0.25</v>
      </c>
      <c r="K133" s="69">
        <f t="shared" si="24"/>
        <v>42304083.657230772</v>
      </c>
    </row>
    <row r="134" spans="1:11" x14ac:dyDescent="0.25">
      <c r="A134" s="85">
        <f>A133+1</f>
        <v>2023</v>
      </c>
      <c r="B134" s="67">
        <f>B133*1.6</f>
        <v>167604750.4896</v>
      </c>
      <c r="C134" s="66">
        <f t="shared" si="33"/>
        <v>0.60000000000000009</v>
      </c>
      <c r="D134" s="67">
        <f>B134*0.3</f>
        <v>50281425.146880001</v>
      </c>
      <c r="E134" s="66">
        <f t="shared" si="26"/>
        <v>0.6000000000000002</v>
      </c>
      <c r="F134" s="69">
        <f t="shared" si="34"/>
        <v>117323325.34272</v>
      </c>
      <c r="G134" s="63">
        <f t="shared" si="27"/>
        <v>0.6000000000000002</v>
      </c>
      <c r="H134" s="63">
        <f t="shared" si="35"/>
        <v>0.7</v>
      </c>
      <c r="I134" s="69">
        <f t="shared" si="36"/>
        <v>90248711.802092314</v>
      </c>
      <c r="J134" s="63">
        <v>0.25</v>
      </c>
      <c r="K134" s="69">
        <f t="shared" si="24"/>
        <v>67686533.851569235</v>
      </c>
    </row>
    <row r="135" spans="1:11" x14ac:dyDescent="0.25">
      <c r="A135" s="85">
        <f>A134+1</f>
        <v>2024</v>
      </c>
      <c r="B135" s="67">
        <f>B134*1.5</f>
        <v>251407125.7344</v>
      </c>
      <c r="C135" s="66">
        <f t="shared" si="33"/>
        <v>0.5</v>
      </c>
      <c r="D135" s="67">
        <f>B135*0.3</f>
        <v>75422137.720320001</v>
      </c>
      <c r="E135" s="66">
        <f t="shared" si="26"/>
        <v>0.5</v>
      </c>
      <c r="F135" s="69">
        <f t="shared" si="34"/>
        <v>175984988.01407999</v>
      </c>
      <c r="G135" s="63">
        <f t="shared" si="27"/>
        <v>0.49999999999999989</v>
      </c>
      <c r="H135" s="63">
        <f t="shared" si="35"/>
        <v>0.7</v>
      </c>
      <c r="I135" s="69">
        <f t="shared" si="36"/>
        <v>135373067.70313847</v>
      </c>
      <c r="J135" s="63">
        <v>0.25</v>
      </c>
      <c r="K135" s="69">
        <f t="shared" si="24"/>
        <v>101529800.77735385</v>
      </c>
    </row>
    <row r="136" spans="1:11" x14ac:dyDescent="0.25">
      <c r="A136" s="85">
        <f>A135+1</f>
        <v>2025</v>
      </c>
      <c r="B136" s="67">
        <f>B135*1.3</f>
        <v>326829263.45472002</v>
      </c>
      <c r="C136" s="66">
        <f t="shared" si="33"/>
        <v>0.30000000000000004</v>
      </c>
      <c r="D136" s="67">
        <f>B136*0.3</f>
        <v>98048779.036416009</v>
      </c>
      <c r="E136" s="66">
        <f t="shared" si="26"/>
        <v>0.3000000000000001</v>
      </c>
      <c r="F136" s="69">
        <f t="shared" si="34"/>
        <v>228780484.41830403</v>
      </c>
      <c r="G136" s="63">
        <f t="shared" si="27"/>
        <v>0.30000000000000021</v>
      </c>
      <c r="H136" s="63">
        <f t="shared" si="35"/>
        <v>0.70000000000000007</v>
      </c>
      <c r="I136" s="69">
        <f t="shared" si="36"/>
        <v>175984988.01408002</v>
      </c>
      <c r="J136" s="63">
        <v>0.25</v>
      </c>
      <c r="K136" s="69">
        <f t="shared" si="24"/>
        <v>131988741.01056001</v>
      </c>
    </row>
    <row r="137" spans="1:11" x14ac:dyDescent="0.25">
      <c r="C137" s="66">
        <f>(B137-B131)/B131</f>
        <v>-1</v>
      </c>
      <c r="E137" s="66" t="e">
        <f>(D137-D131)/D131</f>
        <v>#DIV/0!</v>
      </c>
      <c r="G137" s="63">
        <f>(F137-F131)/F131</f>
        <v>-1</v>
      </c>
      <c r="I137" s="69">
        <f t="shared" si="36"/>
        <v>0</v>
      </c>
      <c r="J137" s="63">
        <v>0.25</v>
      </c>
      <c r="K137" s="69">
        <f t="shared" si="24"/>
        <v>0</v>
      </c>
    </row>
    <row r="138" spans="1:11" x14ac:dyDescent="0.25">
      <c r="A138" s="67" t="str">
        <f>营业收入分析!I1</f>
        <v>西安宋城</v>
      </c>
      <c r="C138" s="66" t="e">
        <f t="shared" si="33"/>
        <v>#DIV/0!</v>
      </c>
      <c r="E138" s="66" t="e">
        <f t="shared" si="26"/>
        <v>#DIV/0!</v>
      </c>
      <c r="G138" s="63" t="e">
        <f t="shared" si="27"/>
        <v>#DIV/0!</v>
      </c>
      <c r="I138" s="69">
        <f t="shared" si="36"/>
        <v>0</v>
      </c>
      <c r="J138" s="63">
        <v>0.25</v>
      </c>
      <c r="K138" s="69">
        <f t="shared" si="24"/>
        <v>0</v>
      </c>
    </row>
    <row r="139" spans="1:11" x14ac:dyDescent="0.25">
      <c r="A139" s="67" t="s">
        <v>253</v>
      </c>
      <c r="B139" s="97">
        <v>44004</v>
      </c>
      <c r="C139" s="66"/>
      <c r="E139" s="66"/>
      <c r="G139" s="63"/>
      <c r="I139" s="69"/>
      <c r="J139" s="63"/>
      <c r="K139" s="69"/>
    </row>
    <row r="140" spans="1:11" x14ac:dyDescent="0.25">
      <c r="A140" s="67" t="s">
        <v>254</v>
      </c>
      <c r="B140" s="98">
        <v>100</v>
      </c>
      <c r="C140" s="66"/>
      <c r="E140" s="66"/>
      <c r="G140" s="63"/>
      <c r="I140" s="69"/>
      <c r="J140" s="63"/>
      <c r="K140" s="69"/>
    </row>
    <row r="141" spans="1:11" ht="45" customHeight="1" x14ac:dyDescent="0.25">
      <c r="A141" s="67" t="s">
        <v>255</v>
      </c>
      <c r="B141" s="117" t="s">
        <v>262</v>
      </c>
      <c r="C141" s="118"/>
      <c r="D141" s="118"/>
      <c r="E141" s="118"/>
      <c r="F141" s="118"/>
      <c r="G141" s="118"/>
      <c r="H141" s="118"/>
      <c r="I141" s="69"/>
      <c r="J141" s="63"/>
      <c r="K141" s="69"/>
    </row>
    <row r="142" spans="1:11" x14ac:dyDescent="0.25">
      <c r="A142" s="67" t="s">
        <v>257</v>
      </c>
      <c r="B142" s="69"/>
      <c r="C142" s="66"/>
      <c r="E142" s="66"/>
      <c r="G142" s="63"/>
      <c r="I142" s="69"/>
      <c r="J142" s="63"/>
      <c r="K142" s="69"/>
    </row>
    <row r="143" spans="1:11" x14ac:dyDescent="0.25">
      <c r="A143" s="67" t="s">
        <v>258</v>
      </c>
      <c r="B143" s="63"/>
      <c r="C143" s="66"/>
      <c r="E143" s="66"/>
      <c r="G143" s="63"/>
      <c r="I143" s="69"/>
      <c r="J143" s="63"/>
      <c r="K143" s="69"/>
    </row>
    <row r="144" spans="1:11" x14ac:dyDescent="0.25">
      <c r="A144" s="67" t="s">
        <v>261</v>
      </c>
      <c r="B144" s="98">
        <v>6</v>
      </c>
      <c r="C144" s="66"/>
      <c r="E144" s="66"/>
      <c r="G144" s="63"/>
      <c r="I144" s="69"/>
      <c r="J144" s="63"/>
      <c r="K144" s="69"/>
    </row>
    <row r="145" spans="1:11" x14ac:dyDescent="0.25">
      <c r="A145" s="67" t="s">
        <v>259</v>
      </c>
      <c r="B145" s="98"/>
      <c r="C145" s="66"/>
      <c r="E145" s="66"/>
      <c r="G145" s="63"/>
      <c r="I145" s="69"/>
      <c r="J145" s="63"/>
      <c r="K145" s="69"/>
    </row>
    <row r="146" spans="1:11" ht="31.5" x14ac:dyDescent="0.25">
      <c r="A146" s="64" t="s">
        <v>72</v>
      </c>
      <c r="B146" s="60" t="s">
        <v>82</v>
      </c>
      <c r="C146" s="60" t="s">
        <v>87</v>
      </c>
      <c r="D146" t="s">
        <v>83</v>
      </c>
      <c r="E146" t="s">
        <v>88</v>
      </c>
      <c r="F146" t="s">
        <v>84</v>
      </c>
      <c r="G146" t="s">
        <v>89</v>
      </c>
      <c r="H146" t="s">
        <v>85</v>
      </c>
      <c r="I146" s="107" t="s">
        <v>245</v>
      </c>
      <c r="J146" s="107" t="s">
        <v>246</v>
      </c>
      <c r="K146" t="s">
        <v>49</v>
      </c>
    </row>
    <row r="147" spans="1:11" x14ac:dyDescent="0.25">
      <c r="A147" s="65">
        <v>40543</v>
      </c>
      <c r="B147" s="67">
        <f>营业收入分析!I2</f>
        <v>0</v>
      </c>
      <c r="C147" s="66" t="e">
        <f t="shared" si="33"/>
        <v>#VALUE!</v>
      </c>
      <c r="D147" s="67">
        <f>营业成本分析!I2</f>
        <v>0</v>
      </c>
      <c r="E147" s="66" t="e">
        <f t="shared" si="26"/>
        <v>#VALUE!</v>
      </c>
      <c r="F147" s="69">
        <f t="shared" ref="F147:F154" si="37">B147-D147</f>
        <v>0</v>
      </c>
      <c r="G147" s="63" t="e">
        <f t="shared" si="27"/>
        <v>#VALUE!</v>
      </c>
      <c r="H147" s="63" t="e">
        <f t="shared" ref="H147:H154" si="38">F147/B147</f>
        <v>#DIV/0!</v>
      </c>
      <c r="I147" s="69">
        <f t="shared" ref="I147:I165" si="39">B147-D147/0.65</f>
        <v>0</v>
      </c>
      <c r="J147" s="63">
        <v>0.25</v>
      </c>
      <c r="K147" s="69">
        <f t="shared" si="24"/>
        <v>0</v>
      </c>
    </row>
    <row r="148" spans="1:11" x14ac:dyDescent="0.25">
      <c r="A148" s="65">
        <v>40908</v>
      </c>
      <c r="B148" s="67">
        <f>营业收入分析!I3</f>
        <v>0</v>
      </c>
      <c r="C148" s="66" t="e">
        <f t="shared" si="33"/>
        <v>#DIV/0!</v>
      </c>
      <c r="D148" s="67">
        <f>营业成本分析!I3</f>
        <v>0</v>
      </c>
      <c r="E148" s="66" t="e">
        <f t="shared" si="26"/>
        <v>#DIV/0!</v>
      </c>
      <c r="F148" s="69">
        <f t="shared" si="37"/>
        <v>0</v>
      </c>
      <c r="G148" s="63" t="e">
        <f t="shared" si="27"/>
        <v>#DIV/0!</v>
      </c>
      <c r="H148" s="63" t="e">
        <f t="shared" si="38"/>
        <v>#DIV/0!</v>
      </c>
      <c r="I148" s="69">
        <f t="shared" si="39"/>
        <v>0</v>
      </c>
      <c r="J148" s="63">
        <v>0.25</v>
      </c>
      <c r="K148" s="69">
        <f t="shared" si="24"/>
        <v>0</v>
      </c>
    </row>
    <row r="149" spans="1:11" x14ac:dyDescent="0.25">
      <c r="A149" s="65">
        <v>41274</v>
      </c>
      <c r="B149" s="67">
        <f>营业收入分析!I4</f>
        <v>0</v>
      </c>
      <c r="C149" s="66" t="e">
        <f t="shared" si="33"/>
        <v>#DIV/0!</v>
      </c>
      <c r="D149" s="67">
        <f>营业成本分析!I4</f>
        <v>0</v>
      </c>
      <c r="E149" s="66" t="e">
        <f t="shared" si="26"/>
        <v>#DIV/0!</v>
      </c>
      <c r="F149" s="69">
        <f t="shared" si="37"/>
        <v>0</v>
      </c>
      <c r="G149" s="63" t="e">
        <f t="shared" si="27"/>
        <v>#DIV/0!</v>
      </c>
      <c r="H149" s="63" t="e">
        <f t="shared" si="38"/>
        <v>#DIV/0!</v>
      </c>
      <c r="I149" s="69">
        <f t="shared" si="39"/>
        <v>0</v>
      </c>
      <c r="J149" s="63">
        <v>0.25</v>
      </c>
      <c r="K149" s="69">
        <f t="shared" si="24"/>
        <v>0</v>
      </c>
    </row>
    <row r="150" spans="1:11" x14ac:dyDescent="0.25">
      <c r="A150" s="65">
        <v>41639</v>
      </c>
      <c r="B150" s="67">
        <f>营业收入分析!I5</f>
        <v>0</v>
      </c>
      <c r="C150" s="66" t="e">
        <f t="shared" si="33"/>
        <v>#DIV/0!</v>
      </c>
      <c r="D150" s="67">
        <f>营业成本分析!I5</f>
        <v>0</v>
      </c>
      <c r="E150" s="66" t="e">
        <f t="shared" si="26"/>
        <v>#DIV/0!</v>
      </c>
      <c r="F150" s="69">
        <f t="shared" si="37"/>
        <v>0</v>
      </c>
      <c r="G150" s="63" t="e">
        <f t="shared" si="27"/>
        <v>#DIV/0!</v>
      </c>
      <c r="H150" s="63" t="e">
        <f t="shared" si="38"/>
        <v>#DIV/0!</v>
      </c>
      <c r="I150" s="69">
        <f t="shared" si="39"/>
        <v>0</v>
      </c>
      <c r="J150" s="63">
        <v>0.25</v>
      </c>
      <c r="K150" s="69">
        <f t="shared" si="24"/>
        <v>0</v>
      </c>
    </row>
    <row r="151" spans="1:11" x14ac:dyDescent="0.25">
      <c r="A151" s="65">
        <v>42004</v>
      </c>
      <c r="B151" s="67">
        <f>营业收入分析!I6</f>
        <v>0</v>
      </c>
      <c r="C151" s="66" t="e">
        <f t="shared" ref="C151:C162" si="40">(B151-B150)/B150</f>
        <v>#DIV/0!</v>
      </c>
      <c r="D151" s="67">
        <f>营业成本分析!I6</f>
        <v>0</v>
      </c>
      <c r="E151" s="66" t="e">
        <f t="shared" si="26"/>
        <v>#DIV/0!</v>
      </c>
      <c r="F151" s="69">
        <f t="shared" si="37"/>
        <v>0</v>
      </c>
      <c r="G151" s="63" t="e">
        <f t="shared" si="27"/>
        <v>#DIV/0!</v>
      </c>
      <c r="H151" s="63" t="e">
        <f t="shared" si="38"/>
        <v>#DIV/0!</v>
      </c>
      <c r="I151" s="69">
        <f t="shared" si="39"/>
        <v>0</v>
      </c>
      <c r="J151" s="63">
        <v>0.25</v>
      </c>
      <c r="K151" s="69">
        <f t="shared" si="24"/>
        <v>0</v>
      </c>
    </row>
    <row r="152" spans="1:11" x14ac:dyDescent="0.25">
      <c r="A152" s="65">
        <v>42369</v>
      </c>
      <c r="B152" s="67">
        <f>营业收入分析!I7</f>
        <v>0</v>
      </c>
      <c r="C152" s="66" t="e">
        <f t="shared" si="40"/>
        <v>#DIV/0!</v>
      </c>
      <c r="D152" s="67">
        <f>营业成本分析!I7</f>
        <v>0</v>
      </c>
      <c r="E152" s="66" t="e">
        <f t="shared" si="26"/>
        <v>#DIV/0!</v>
      </c>
      <c r="F152" s="69">
        <f t="shared" si="37"/>
        <v>0</v>
      </c>
      <c r="G152" s="63" t="e">
        <f t="shared" si="27"/>
        <v>#DIV/0!</v>
      </c>
      <c r="H152" s="63" t="e">
        <f t="shared" si="38"/>
        <v>#DIV/0!</v>
      </c>
      <c r="I152" s="69">
        <f t="shared" si="39"/>
        <v>0</v>
      </c>
      <c r="J152" s="63">
        <v>0.25</v>
      </c>
      <c r="K152" s="69">
        <f t="shared" si="24"/>
        <v>0</v>
      </c>
    </row>
    <row r="153" spans="1:11" x14ac:dyDescent="0.25">
      <c r="A153" s="65">
        <v>42735</v>
      </c>
      <c r="B153" s="67">
        <f>营业收入分析!I8</f>
        <v>0</v>
      </c>
      <c r="C153" s="66" t="e">
        <f t="shared" si="40"/>
        <v>#DIV/0!</v>
      </c>
      <c r="D153" s="67">
        <f>营业成本分析!I8</f>
        <v>0</v>
      </c>
      <c r="E153" s="66" t="e">
        <f t="shared" si="26"/>
        <v>#DIV/0!</v>
      </c>
      <c r="F153" s="69">
        <f t="shared" si="37"/>
        <v>0</v>
      </c>
      <c r="G153" s="63" t="e">
        <f t="shared" si="27"/>
        <v>#DIV/0!</v>
      </c>
      <c r="H153" s="63" t="e">
        <f t="shared" si="38"/>
        <v>#DIV/0!</v>
      </c>
      <c r="I153" s="69">
        <f t="shared" si="39"/>
        <v>0</v>
      </c>
      <c r="J153" s="63">
        <v>0.25</v>
      </c>
      <c r="K153" s="69">
        <f t="shared" si="24"/>
        <v>0</v>
      </c>
    </row>
    <row r="154" spans="1:11" x14ac:dyDescent="0.25">
      <c r="A154" s="65">
        <v>43100</v>
      </c>
      <c r="B154" s="67">
        <f>营业收入分析!I9</f>
        <v>0</v>
      </c>
      <c r="C154" s="66" t="e">
        <f t="shared" si="40"/>
        <v>#DIV/0!</v>
      </c>
      <c r="D154" s="67">
        <f>营业成本分析!I9</f>
        <v>0</v>
      </c>
      <c r="E154" s="66" t="e">
        <f t="shared" si="26"/>
        <v>#DIV/0!</v>
      </c>
      <c r="F154" s="69">
        <f t="shared" si="37"/>
        <v>0</v>
      </c>
      <c r="G154" s="63" t="e">
        <f t="shared" si="27"/>
        <v>#DIV/0!</v>
      </c>
      <c r="H154" s="63" t="e">
        <f t="shared" si="38"/>
        <v>#DIV/0!</v>
      </c>
      <c r="I154" s="69">
        <f t="shared" si="39"/>
        <v>0</v>
      </c>
      <c r="J154" s="63">
        <v>0.25</v>
      </c>
      <c r="K154" s="69">
        <f t="shared" si="24"/>
        <v>0</v>
      </c>
    </row>
    <row r="155" spans="1:11" x14ac:dyDescent="0.25">
      <c r="A155" s="65">
        <v>43465</v>
      </c>
      <c r="B155" s="67">
        <f>营业收入分析!I10</f>
        <v>0</v>
      </c>
      <c r="C155" s="66" t="e">
        <f t="shared" si="40"/>
        <v>#DIV/0!</v>
      </c>
      <c r="D155" s="67">
        <f>营业成本分析!I10</f>
        <v>0</v>
      </c>
      <c r="E155" s="66" t="e">
        <f t="shared" si="26"/>
        <v>#DIV/0!</v>
      </c>
      <c r="F155" s="69">
        <f t="shared" ref="F155:F162" si="41">B155-D155</f>
        <v>0</v>
      </c>
      <c r="G155" s="63" t="e">
        <f t="shared" si="27"/>
        <v>#DIV/0!</v>
      </c>
      <c r="H155" s="63" t="e">
        <f t="shared" ref="H155:H162" si="42">F155/B155</f>
        <v>#DIV/0!</v>
      </c>
      <c r="I155" s="69">
        <f t="shared" si="39"/>
        <v>0</v>
      </c>
      <c r="J155" s="63">
        <v>0.25</v>
      </c>
      <c r="K155" s="69">
        <f t="shared" si="24"/>
        <v>0</v>
      </c>
    </row>
    <row r="156" spans="1:11" x14ac:dyDescent="0.25">
      <c r="A156" s="65">
        <v>43830</v>
      </c>
      <c r="B156" s="67">
        <f>营业收入分析!I11</f>
        <v>0</v>
      </c>
      <c r="C156" s="66" t="e">
        <f t="shared" si="40"/>
        <v>#DIV/0!</v>
      </c>
      <c r="D156" s="67">
        <f>营业成本分析!I11</f>
        <v>0</v>
      </c>
      <c r="E156" s="66" t="e">
        <f t="shared" si="26"/>
        <v>#DIV/0!</v>
      </c>
      <c r="F156" s="69">
        <f t="shared" si="41"/>
        <v>0</v>
      </c>
      <c r="G156" s="63" t="e">
        <f t="shared" si="27"/>
        <v>#DIV/0!</v>
      </c>
      <c r="H156" s="63" t="e">
        <f t="shared" si="42"/>
        <v>#DIV/0!</v>
      </c>
      <c r="I156" s="69">
        <f t="shared" si="39"/>
        <v>0</v>
      </c>
      <c r="J156" s="63">
        <v>0.25</v>
      </c>
      <c r="K156" s="69">
        <f t="shared" si="24"/>
        <v>0</v>
      </c>
    </row>
    <row r="157" spans="1:11" s="71" customFormat="1" x14ac:dyDescent="0.25">
      <c r="A157" s="72">
        <v>43831</v>
      </c>
      <c r="B157" s="91">
        <f>营业收入分析!I12</f>
        <v>25002178.140000001</v>
      </c>
      <c r="C157" s="74" t="e">
        <f t="shared" si="40"/>
        <v>#DIV/0!</v>
      </c>
      <c r="D157" s="91">
        <f>营业成本分析!I12</f>
        <v>0</v>
      </c>
      <c r="E157" s="74" t="e">
        <f t="shared" si="26"/>
        <v>#DIV/0!</v>
      </c>
      <c r="F157" s="92">
        <f t="shared" si="41"/>
        <v>25002178.140000001</v>
      </c>
      <c r="G157" s="93" t="e">
        <f t="shared" si="27"/>
        <v>#DIV/0!</v>
      </c>
      <c r="H157" s="93">
        <f t="shared" si="42"/>
        <v>1</v>
      </c>
      <c r="I157" s="92">
        <f t="shared" si="39"/>
        <v>25002178.140000001</v>
      </c>
      <c r="J157" s="93">
        <v>0.25</v>
      </c>
      <c r="K157" s="92">
        <f t="shared" si="24"/>
        <v>18751633.605</v>
      </c>
    </row>
    <row r="158" spans="1:11" x14ac:dyDescent="0.25">
      <c r="A158" s="85">
        <f>A14+1</f>
        <v>2021</v>
      </c>
      <c r="B158" s="67">
        <f>B157</f>
        <v>25002178.140000001</v>
      </c>
      <c r="C158" s="66">
        <f t="shared" si="40"/>
        <v>0</v>
      </c>
      <c r="D158" s="67">
        <f>B158*0.4</f>
        <v>10000871.256000001</v>
      </c>
      <c r="E158" s="66" t="e">
        <f t="shared" si="26"/>
        <v>#DIV/0!</v>
      </c>
      <c r="F158" s="69">
        <f t="shared" si="41"/>
        <v>15001306.884</v>
      </c>
      <c r="G158" s="63">
        <f t="shared" si="27"/>
        <v>-0.4</v>
      </c>
      <c r="H158" s="63">
        <f t="shared" si="42"/>
        <v>0.6</v>
      </c>
      <c r="I158" s="69">
        <f t="shared" si="39"/>
        <v>9616222.3615384605</v>
      </c>
      <c r="J158" s="63">
        <v>0.25</v>
      </c>
      <c r="K158" s="69">
        <f t="shared" si="24"/>
        <v>7212166.7711538449</v>
      </c>
    </row>
    <row r="159" spans="1:11" x14ac:dyDescent="0.25">
      <c r="A159" s="85">
        <f>A158+1</f>
        <v>2022</v>
      </c>
      <c r="B159" s="67">
        <f>B158*3</f>
        <v>75006534.420000002</v>
      </c>
      <c r="C159" s="66">
        <f t="shared" si="40"/>
        <v>2</v>
      </c>
      <c r="D159" s="67">
        <f>B159*0.4</f>
        <v>30002613.768000003</v>
      </c>
      <c r="E159" s="66">
        <f t="shared" si="26"/>
        <v>2</v>
      </c>
      <c r="F159" s="69">
        <f t="shared" si="41"/>
        <v>45003920.651999995</v>
      </c>
      <c r="G159" s="63">
        <f t="shared" si="27"/>
        <v>1.9999999999999998</v>
      </c>
      <c r="H159" s="63">
        <f t="shared" si="42"/>
        <v>0.59999999999999987</v>
      </c>
      <c r="I159" s="69">
        <f t="shared" si="39"/>
        <v>28848667.084615387</v>
      </c>
      <c r="J159" s="63">
        <v>0.25</v>
      </c>
      <c r="K159" s="69">
        <f t="shared" si="24"/>
        <v>21636500.313461542</v>
      </c>
    </row>
    <row r="160" spans="1:11" x14ac:dyDescent="0.25">
      <c r="A160" s="85">
        <f>A159+1</f>
        <v>2023</v>
      </c>
      <c r="B160" s="67">
        <f>B159*1.6</f>
        <v>120010455.07200001</v>
      </c>
      <c r="C160" s="66">
        <f t="shared" si="40"/>
        <v>0.60000000000000009</v>
      </c>
      <c r="D160" s="67">
        <f>B160*0.3</f>
        <v>36003136.521600001</v>
      </c>
      <c r="E160" s="66">
        <f t="shared" si="26"/>
        <v>0.1999999999999999</v>
      </c>
      <c r="F160" s="69">
        <f t="shared" si="41"/>
        <v>84007318.550400019</v>
      </c>
      <c r="G160" s="63">
        <f t="shared" si="27"/>
        <v>0.86666666666666725</v>
      </c>
      <c r="H160" s="63">
        <f t="shared" si="42"/>
        <v>0.70000000000000007</v>
      </c>
      <c r="I160" s="69">
        <f t="shared" si="39"/>
        <v>64621014.269538477</v>
      </c>
      <c r="J160" s="63">
        <v>0.25</v>
      </c>
      <c r="K160" s="69">
        <f t="shared" si="24"/>
        <v>48465760.702153862</v>
      </c>
    </row>
    <row r="161" spans="1:11" x14ac:dyDescent="0.25">
      <c r="A161" s="85">
        <f>A160+1</f>
        <v>2024</v>
      </c>
      <c r="B161" s="67">
        <f>B160*1.5</f>
        <v>180015682.60800001</v>
      </c>
      <c r="C161" s="66">
        <f t="shared" si="40"/>
        <v>0.49999999999999994</v>
      </c>
      <c r="D161" s="67">
        <f>B161*0.3</f>
        <v>54004704.782400005</v>
      </c>
      <c r="E161" s="66">
        <f t="shared" si="26"/>
        <v>0.50000000000000011</v>
      </c>
      <c r="F161" s="69">
        <f t="shared" si="41"/>
        <v>126010977.8256</v>
      </c>
      <c r="G161" s="63">
        <f t="shared" si="27"/>
        <v>0.49999999999999967</v>
      </c>
      <c r="H161" s="63">
        <f t="shared" si="42"/>
        <v>0.7</v>
      </c>
      <c r="I161" s="69">
        <f t="shared" si="39"/>
        <v>96931521.404307693</v>
      </c>
      <c r="J161" s="63">
        <v>0.25</v>
      </c>
      <c r="K161" s="69">
        <f t="shared" si="24"/>
        <v>72698641.053230762</v>
      </c>
    </row>
    <row r="162" spans="1:11" x14ac:dyDescent="0.25">
      <c r="A162" s="85">
        <f>A161+1</f>
        <v>2025</v>
      </c>
      <c r="B162" s="67">
        <f>B161*1.3</f>
        <v>234020387.39040002</v>
      </c>
      <c r="C162" s="66">
        <f t="shared" si="40"/>
        <v>0.30000000000000004</v>
      </c>
      <c r="D162" s="67">
        <f>B162*0.3</f>
        <v>70206116.217120007</v>
      </c>
      <c r="E162" s="66">
        <f t="shared" si="26"/>
        <v>0.3</v>
      </c>
      <c r="F162" s="69">
        <f t="shared" si="41"/>
        <v>163814271.17328</v>
      </c>
      <c r="G162" s="63">
        <f t="shared" si="27"/>
        <v>0.30000000000000004</v>
      </c>
      <c r="H162" s="63">
        <f t="shared" si="42"/>
        <v>0.7</v>
      </c>
      <c r="I162" s="69">
        <f t="shared" si="39"/>
        <v>126010977.82560001</v>
      </c>
      <c r="J162" s="63">
        <v>0.25</v>
      </c>
      <c r="K162" s="69">
        <f t="shared" si="24"/>
        <v>94508233.369200006</v>
      </c>
    </row>
    <row r="163" spans="1:11" x14ac:dyDescent="0.25">
      <c r="C163" s="66">
        <f>(B163-B157)/B157</f>
        <v>-1</v>
      </c>
      <c r="E163" s="66" t="e">
        <f>(D163-D157)/D157</f>
        <v>#DIV/0!</v>
      </c>
      <c r="G163" s="63">
        <f>(F163-F157)/F157</f>
        <v>-1</v>
      </c>
      <c r="I163" s="69">
        <f t="shared" si="39"/>
        <v>0</v>
      </c>
      <c r="J163" s="63">
        <v>0.25</v>
      </c>
      <c r="K163" s="69">
        <f t="shared" si="24"/>
        <v>0</v>
      </c>
    </row>
    <row r="164" spans="1:11" x14ac:dyDescent="0.25">
      <c r="C164" s="66">
        <f>(B164-B158)/B158</f>
        <v>-1</v>
      </c>
      <c r="E164" s="66">
        <f>(D164-D158)/D158</f>
        <v>-1</v>
      </c>
      <c r="G164" s="63">
        <f>(F164-F158)/F158</f>
        <v>-1</v>
      </c>
      <c r="I164" s="69">
        <f t="shared" si="39"/>
        <v>0</v>
      </c>
      <c r="J164" s="63">
        <v>0.25</v>
      </c>
      <c r="K164" s="69">
        <f>I164*(1-J164)</f>
        <v>0</v>
      </c>
    </row>
    <row r="165" spans="1:11" x14ac:dyDescent="0.25">
      <c r="A165" s="96" t="s">
        <v>263</v>
      </c>
      <c r="C165" s="66" t="e">
        <f>(B165-B164)/B164</f>
        <v>#DIV/0!</v>
      </c>
      <c r="E165" s="66" t="e">
        <f>(D165-D164)/D164</f>
        <v>#DIV/0!</v>
      </c>
      <c r="G165" s="63" t="e">
        <f>(F165-F164)/F164</f>
        <v>#DIV/0!</v>
      </c>
      <c r="I165" s="69">
        <f t="shared" si="39"/>
        <v>0</v>
      </c>
      <c r="J165" s="63">
        <v>0.25</v>
      </c>
      <c r="K165" s="69">
        <f>I165*(1-J165)</f>
        <v>0</v>
      </c>
    </row>
    <row r="166" spans="1:11" x14ac:dyDescent="0.25">
      <c r="A166" s="67" t="s">
        <v>253</v>
      </c>
      <c r="B166" s="97">
        <v>44287</v>
      </c>
      <c r="C166" s="66"/>
      <c r="E166" s="66"/>
      <c r="G166" s="63"/>
      <c r="I166" s="69"/>
      <c r="J166" s="63"/>
      <c r="K166" s="69"/>
    </row>
    <row r="167" spans="1:11" x14ac:dyDescent="0.25">
      <c r="A167" s="67" t="s">
        <v>254</v>
      </c>
      <c r="B167" s="98">
        <v>100</v>
      </c>
      <c r="C167" s="66"/>
      <c r="E167" s="66"/>
      <c r="G167" s="63"/>
      <c r="I167" s="69"/>
      <c r="J167" s="63"/>
      <c r="K167" s="69"/>
    </row>
    <row r="168" spans="1:11" ht="45" customHeight="1" x14ac:dyDescent="0.25">
      <c r="A168" s="67" t="s">
        <v>255</v>
      </c>
      <c r="B168" s="117"/>
      <c r="C168" s="118"/>
      <c r="D168" s="118"/>
      <c r="E168" s="118"/>
      <c r="F168" s="118"/>
      <c r="G168" s="118"/>
      <c r="H168" s="118"/>
      <c r="I168" s="69"/>
      <c r="J168" s="63"/>
      <c r="K168" s="69"/>
    </row>
    <row r="169" spans="1:11" x14ac:dyDescent="0.25">
      <c r="A169" s="67" t="s">
        <v>257</v>
      </c>
      <c r="B169" s="69"/>
      <c r="C169" s="66"/>
      <c r="E169" s="66"/>
      <c r="G169" s="63"/>
      <c r="I169" s="69"/>
      <c r="J169" s="63"/>
      <c r="K169" s="69"/>
    </row>
    <row r="170" spans="1:11" x14ac:dyDescent="0.25">
      <c r="A170" s="67" t="s">
        <v>258</v>
      </c>
      <c r="B170" s="63"/>
      <c r="C170" s="66"/>
      <c r="E170" s="66"/>
      <c r="G170" s="63"/>
      <c r="I170" s="69"/>
      <c r="J170" s="63"/>
      <c r="K170" s="69"/>
    </row>
    <row r="171" spans="1:11" x14ac:dyDescent="0.25">
      <c r="A171" s="67" t="s">
        <v>261</v>
      </c>
      <c r="B171" s="98"/>
      <c r="C171" s="66"/>
      <c r="E171" s="66"/>
      <c r="G171" s="63"/>
      <c r="I171" s="69"/>
      <c r="J171" s="63"/>
      <c r="K171" s="69"/>
    </row>
    <row r="172" spans="1:11" x14ac:dyDescent="0.25">
      <c r="A172" s="67" t="s">
        <v>259</v>
      </c>
      <c r="B172" s="98"/>
      <c r="C172" s="66"/>
      <c r="E172" s="66"/>
      <c r="G172" s="63"/>
      <c r="I172" s="69"/>
      <c r="J172" s="63"/>
      <c r="K172" s="69"/>
    </row>
    <row r="173" spans="1:11" ht="31.5" x14ac:dyDescent="0.25">
      <c r="A173" s="64" t="s">
        <v>72</v>
      </c>
      <c r="B173" s="60" t="s">
        <v>82</v>
      </c>
      <c r="C173" s="60" t="s">
        <v>87</v>
      </c>
      <c r="D173" t="s">
        <v>83</v>
      </c>
      <c r="E173" t="s">
        <v>88</v>
      </c>
      <c r="F173" t="s">
        <v>84</v>
      </c>
      <c r="G173" t="s">
        <v>89</v>
      </c>
      <c r="H173" t="s">
        <v>85</v>
      </c>
      <c r="I173" s="107" t="s">
        <v>245</v>
      </c>
      <c r="J173" s="107" t="s">
        <v>246</v>
      </c>
      <c r="K173" t="s">
        <v>49</v>
      </c>
    </row>
    <row r="174" spans="1:11" x14ac:dyDescent="0.25">
      <c r="A174" s="65">
        <v>40543</v>
      </c>
      <c r="B174" s="67">
        <f>营业收入分析!I29</f>
        <v>0</v>
      </c>
      <c r="C174" s="66" t="e">
        <f>(B174-B173)/B173</f>
        <v>#VALUE!</v>
      </c>
      <c r="D174" s="67">
        <f>营业成本分析!I29</f>
        <v>0</v>
      </c>
      <c r="E174" s="66" t="e">
        <f t="shared" ref="E174:E189" si="43">(D174-D173)/D173</f>
        <v>#VALUE!</v>
      </c>
      <c r="F174" s="69">
        <f t="shared" ref="F174:F181" si="44">B174-D174</f>
        <v>0</v>
      </c>
      <c r="G174" s="63" t="e">
        <f t="shared" ref="G174:G189" si="45">(F174-F173)/F173</f>
        <v>#VALUE!</v>
      </c>
      <c r="H174" s="63" t="e">
        <f t="shared" ref="H174:H181" si="46">F174/B174</f>
        <v>#DIV/0!</v>
      </c>
      <c r="I174" s="69">
        <f t="shared" ref="I174:I190" si="47">B174-D174/0.65</f>
        <v>0</v>
      </c>
      <c r="J174" s="63">
        <v>0.25</v>
      </c>
      <c r="K174" s="69">
        <f t="shared" ref="K174:K190" si="48">I174*(1-J174)</f>
        <v>0</v>
      </c>
    </row>
    <row r="175" spans="1:11" x14ac:dyDescent="0.25">
      <c r="A175" s="65">
        <v>40908</v>
      </c>
      <c r="B175" s="67">
        <f>营业收入分析!I30</f>
        <v>0</v>
      </c>
      <c r="C175" s="66" t="e">
        <f>(B175-B174)/B174</f>
        <v>#DIV/0!</v>
      </c>
      <c r="D175" s="67">
        <f>营业成本分析!I30</f>
        <v>0</v>
      </c>
      <c r="E175" s="66" t="e">
        <f t="shared" si="43"/>
        <v>#DIV/0!</v>
      </c>
      <c r="F175" s="69">
        <f t="shared" si="44"/>
        <v>0</v>
      </c>
      <c r="G175" s="63" t="e">
        <f t="shared" si="45"/>
        <v>#DIV/0!</v>
      </c>
      <c r="H175" s="63" t="e">
        <f t="shared" si="46"/>
        <v>#DIV/0!</v>
      </c>
      <c r="I175" s="69">
        <f t="shared" si="47"/>
        <v>0</v>
      </c>
      <c r="J175" s="63">
        <v>0.25</v>
      </c>
      <c r="K175" s="69">
        <f t="shared" si="48"/>
        <v>0</v>
      </c>
    </row>
    <row r="176" spans="1:11" x14ac:dyDescent="0.25">
      <c r="A176" s="65">
        <v>41274</v>
      </c>
      <c r="B176" s="67">
        <f>营业收入分析!I31</f>
        <v>0</v>
      </c>
      <c r="C176" s="66" t="e">
        <f>(B176-B175)/B175</f>
        <v>#DIV/0!</v>
      </c>
      <c r="D176" s="67">
        <f>营业成本分析!I31</f>
        <v>0</v>
      </c>
      <c r="E176" s="66" t="e">
        <f t="shared" si="43"/>
        <v>#DIV/0!</v>
      </c>
      <c r="F176" s="69">
        <f t="shared" si="44"/>
        <v>0</v>
      </c>
      <c r="G176" s="63" t="e">
        <f t="shared" si="45"/>
        <v>#DIV/0!</v>
      </c>
      <c r="H176" s="63" t="e">
        <f t="shared" si="46"/>
        <v>#DIV/0!</v>
      </c>
      <c r="I176" s="69">
        <f t="shared" si="47"/>
        <v>0</v>
      </c>
      <c r="J176" s="63">
        <v>0.25</v>
      </c>
      <c r="K176" s="69">
        <f t="shared" si="48"/>
        <v>0</v>
      </c>
    </row>
    <row r="177" spans="1:11" x14ac:dyDescent="0.25">
      <c r="A177" s="65">
        <v>41639</v>
      </c>
      <c r="B177" s="67">
        <f>营业收入分析!I32</f>
        <v>0</v>
      </c>
      <c r="C177" s="66" t="e">
        <f>(B177-B176)/B176</f>
        <v>#DIV/0!</v>
      </c>
      <c r="D177" s="67">
        <f>营业成本分析!I32</f>
        <v>0</v>
      </c>
      <c r="E177" s="66" t="e">
        <f t="shared" si="43"/>
        <v>#DIV/0!</v>
      </c>
      <c r="F177" s="69">
        <f t="shared" si="44"/>
        <v>0</v>
      </c>
      <c r="G177" s="63" t="e">
        <f t="shared" si="45"/>
        <v>#DIV/0!</v>
      </c>
      <c r="H177" s="63" t="e">
        <f t="shared" si="46"/>
        <v>#DIV/0!</v>
      </c>
      <c r="I177" s="69">
        <f t="shared" si="47"/>
        <v>0</v>
      </c>
      <c r="J177" s="63">
        <v>0.25</v>
      </c>
      <c r="K177" s="69">
        <f t="shared" si="48"/>
        <v>0</v>
      </c>
    </row>
    <row r="178" spans="1:11" x14ac:dyDescent="0.25">
      <c r="A178" s="65">
        <v>42004</v>
      </c>
      <c r="B178" s="67">
        <f>营业收入分析!I33</f>
        <v>0</v>
      </c>
      <c r="C178" s="66" t="e">
        <f>(B178-B177)/B177</f>
        <v>#DIV/0!</v>
      </c>
      <c r="D178" s="67">
        <f>营业成本分析!I33</f>
        <v>0</v>
      </c>
      <c r="E178" s="66" t="e">
        <f t="shared" si="43"/>
        <v>#DIV/0!</v>
      </c>
      <c r="F178" s="69">
        <f t="shared" si="44"/>
        <v>0</v>
      </c>
      <c r="G178" s="63" t="e">
        <f t="shared" si="45"/>
        <v>#DIV/0!</v>
      </c>
      <c r="H178" s="63" t="e">
        <f t="shared" si="46"/>
        <v>#DIV/0!</v>
      </c>
      <c r="I178" s="69">
        <f t="shared" si="47"/>
        <v>0</v>
      </c>
      <c r="J178" s="63">
        <v>0.25</v>
      </c>
      <c r="K178" s="69">
        <f t="shared" si="48"/>
        <v>0</v>
      </c>
    </row>
    <row r="179" spans="1:11" x14ac:dyDescent="0.25">
      <c r="A179" s="65">
        <v>42369</v>
      </c>
      <c r="B179" s="67">
        <f>营业收入分析!I34</f>
        <v>0</v>
      </c>
      <c r="C179" s="66" t="e">
        <f t="shared" ref="C179:C189" si="49">(B179-B178)/B178</f>
        <v>#DIV/0!</v>
      </c>
      <c r="D179" s="67">
        <f>营业成本分析!I34</f>
        <v>0</v>
      </c>
      <c r="E179" s="66" t="e">
        <f t="shared" si="43"/>
        <v>#DIV/0!</v>
      </c>
      <c r="F179" s="69">
        <f t="shared" si="44"/>
        <v>0</v>
      </c>
      <c r="G179" s="63" t="e">
        <f t="shared" si="45"/>
        <v>#DIV/0!</v>
      </c>
      <c r="H179" s="63" t="e">
        <f t="shared" si="46"/>
        <v>#DIV/0!</v>
      </c>
      <c r="I179" s="69">
        <f t="shared" si="47"/>
        <v>0</v>
      </c>
      <c r="J179" s="63">
        <v>0.25</v>
      </c>
      <c r="K179" s="69">
        <f t="shared" si="48"/>
        <v>0</v>
      </c>
    </row>
    <row r="180" spans="1:11" x14ac:dyDescent="0.25">
      <c r="A180" s="65">
        <v>42735</v>
      </c>
      <c r="B180" s="67">
        <f>营业收入分析!I35</f>
        <v>0</v>
      </c>
      <c r="C180" s="66" t="e">
        <f t="shared" si="49"/>
        <v>#DIV/0!</v>
      </c>
      <c r="D180" s="67">
        <f>营业成本分析!I35</f>
        <v>0</v>
      </c>
      <c r="E180" s="66" t="e">
        <f t="shared" si="43"/>
        <v>#DIV/0!</v>
      </c>
      <c r="F180" s="69">
        <f t="shared" si="44"/>
        <v>0</v>
      </c>
      <c r="G180" s="63" t="e">
        <f t="shared" si="45"/>
        <v>#DIV/0!</v>
      </c>
      <c r="H180" s="63" t="e">
        <f t="shared" si="46"/>
        <v>#DIV/0!</v>
      </c>
      <c r="I180" s="69">
        <f t="shared" si="47"/>
        <v>0</v>
      </c>
      <c r="J180" s="63">
        <v>0.25</v>
      </c>
      <c r="K180" s="69">
        <f t="shared" si="48"/>
        <v>0</v>
      </c>
    </row>
    <row r="181" spans="1:11" x14ac:dyDescent="0.25">
      <c r="A181" s="65">
        <v>43100</v>
      </c>
      <c r="B181" s="67">
        <f>营业收入分析!I36</f>
        <v>0</v>
      </c>
      <c r="C181" s="66" t="e">
        <f t="shared" si="49"/>
        <v>#DIV/0!</v>
      </c>
      <c r="D181" s="67">
        <f>营业成本分析!I36</f>
        <v>0</v>
      </c>
      <c r="E181" s="66" t="e">
        <f t="shared" si="43"/>
        <v>#DIV/0!</v>
      </c>
      <c r="F181" s="69">
        <f t="shared" si="44"/>
        <v>0</v>
      </c>
      <c r="G181" s="63" t="e">
        <f t="shared" si="45"/>
        <v>#DIV/0!</v>
      </c>
      <c r="H181" s="63" t="e">
        <f t="shared" si="46"/>
        <v>#DIV/0!</v>
      </c>
      <c r="I181" s="69">
        <f t="shared" si="47"/>
        <v>0</v>
      </c>
      <c r="J181" s="63">
        <v>0.25</v>
      </c>
      <c r="K181" s="69">
        <f t="shared" si="48"/>
        <v>0</v>
      </c>
    </row>
    <row r="182" spans="1:11" x14ac:dyDescent="0.25">
      <c r="A182" s="65">
        <v>43465</v>
      </c>
      <c r="B182" s="67">
        <f>营业收入分析!I37</f>
        <v>0</v>
      </c>
      <c r="C182" s="66" t="e">
        <f t="shared" si="49"/>
        <v>#DIV/0!</v>
      </c>
      <c r="D182" s="67">
        <f>营业成本分析!I37</f>
        <v>0</v>
      </c>
      <c r="E182" s="66" t="e">
        <f t="shared" si="43"/>
        <v>#DIV/0!</v>
      </c>
      <c r="F182" s="69">
        <f t="shared" ref="F182:F189" si="50">B182-D182</f>
        <v>0</v>
      </c>
      <c r="G182" s="63" t="e">
        <f t="shared" si="45"/>
        <v>#DIV/0!</v>
      </c>
      <c r="H182" s="63" t="e">
        <f t="shared" ref="H182:H189" si="51">F182/B182</f>
        <v>#DIV/0!</v>
      </c>
      <c r="I182" s="69">
        <f t="shared" si="47"/>
        <v>0</v>
      </c>
      <c r="J182" s="63">
        <v>0.25</v>
      </c>
      <c r="K182" s="69">
        <f t="shared" si="48"/>
        <v>0</v>
      </c>
    </row>
    <row r="183" spans="1:11" x14ac:dyDescent="0.25">
      <c r="A183" s="65">
        <v>43830</v>
      </c>
      <c r="B183" s="67">
        <f>营业收入分析!I38</f>
        <v>0</v>
      </c>
      <c r="C183" s="66" t="e">
        <f t="shared" si="49"/>
        <v>#DIV/0!</v>
      </c>
      <c r="D183" s="67">
        <f>营业成本分析!I38</f>
        <v>0</v>
      </c>
      <c r="E183" s="66" t="e">
        <f t="shared" si="43"/>
        <v>#DIV/0!</v>
      </c>
      <c r="F183" s="69">
        <f t="shared" si="50"/>
        <v>0</v>
      </c>
      <c r="G183" s="63" t="e">
        <f t="shared" si="45"/>
        <v>#DIV/0!</v>
      </c>
      <c r="H183" s="63" t="e">
        <f t="shared" si="51"/>
        <v>#DIV/0!</v>
      </c>
      <c r="I183" s="69">
        <f t="shared" si="47"/>
        <v>0</v>
      </c>
      <c r="J183" s="63">
        <v>0.25</v>
      </c>
      <c r="K183" s="69">
        <f t="shared" si="48"/>
        <v>0</v>
      </c>
    </row>
    <row r="184" spans="1:11" s="71" customFormat="1" x14ac:dyDescent="0.25">
      <c r="A184" s="90">
        <v>2020</v>
      </c>
      <c r="B184" s="91">
        <f>营业收入分析!I39</f>
        <v>0</v>
      </c>
      <c r="C184" s="74" t="e">
        <f t="shared" si="49"/>
        <v>#DIV/0!</v>
      </c>
      <c r="D184" s="91">
        <f>营业成本分析!I39</f>
        <v>0</v>
      </c>
      <c r="E184" s="74" t="e">
        <f t="shared" si="43"/>
        <v>#DIV/0!</v>
      </c>
      <c r="F184" s="92">
        <f t="shared" si="50"/>
        <v>0</v>
      </c>
      <c r="G184" s="93" t="e">
        <f t="shared" si="45"/>
        <v>#DIV/0!</v>
      </c>
      <c r="H184" s="93" t="e">
        <f t="shared" si="51"/>
        <v>#DIV/0!</v>
      </c>
      <c r="I184" s="92">
        <f t="shared" si="47"/>
        <v>0</v>
      </c>
      <c r="J184" s="93">
        <v>0.25</v>
      </c>
      <c r="K184" s="92">
        <f t="shared" si="48"/>
        <v>0</v>
      </c>
    </row>
    <row r="185" spans="1:11" x14ac:dyDescent="0.25">
      <c r="A185" s="85">
        <f>A184+1</f>
        <v>2021</v>
      </c>
      <c r="B185" s="67">
        <f>100000000</f>
        <v>100000000</v>
      </c>
      <c r="C185" s="66" t="e">
        <f t="shared" si="49"/>
        <v>#DIV/0!</v>
      </c>
      <c r="D185" s="67">
        <f>B185*0.4</f>
        <v>40000000</v>
      </c>
      <c r="E185" s="66" t="e">
        <f t="shared" si="43"/>
        <v>#DIV/0!</v>
      </c>
      <c r="F185" s="69">
        <f t="shared" si="50"/>
        <v>60000000</v>
      </c>
      <c r="G185" s="63" t="e">
        <f t="shared" si="45"/>
        <v>#DIV/0!</v>
      </c>
      <c r="H185" s="63">
        <f t="shared" si="51"/>
        <v>0.6</v>
      </c>
      <c r="I185" s="69">
        <f t="shared" si="47"/>
        <v>38461538.461538464</v>
      </c>
      <c r="J185" s="63">
        <v>0.25</v>
      </c>
      <c r="K185" s="69">
        <f t="shared" si="48"/>
        <v>28846153.846153848</v>
      </c>
    </row>
    <row r="186" spans="1:11" x14ac:dyDescent="0.25">
      <c r="A186" s="85">
        <f>A185+1</f>
        <v>2022</v>
      </c>
      <c r="B186" s="67">
        <f>B185*4</f>
        <v>400000000</v>
      </c>
      <c r="C186" s="66">
        <f t="shared" si="49"/>
        <v>3</v>
      </c>
      <c r="D186" s="67">
        <f>B186*0.4</f>
        <v>160000000</v>
      </c>
      <c r="E186" s="66">
        <f t="shared" si="43"/>
        <v>3</v>
      </c>
      <c r="F186" s="69">
        <f t="shared" si="50"/>
        <v>240000000</v>
      </c>
      <c r="G186" s="63">
        <f t="shared" si="45"/>
        <v>3</v>
      </c>
      <c r="H186" s="63">
        <f t="shared" si="51"/>
        <v>0.6</v>
      </c>
      <c r="I186" s="69">
        <f t="shared" si="47"/>
        <v>153846153.84615386</v>
      </c>
      <c r="J186" s="63">
        <v>0.25</v>
      </c>
      <c r="K186" s="69">
        <f t="shared" si="48"/>
        <v>115384615.38461539</v>
      </c>
    </row>
    <row r="187" spans="1:11" x14ac:dyDescent="0.25">
      <c r="A187" s="85">
        <f>A186+1</f>
        <v>2023</v>
      </c>
      <c r="B187" s="67">
        <f>B186*1.8</f>
        <v>720000000</v>
      </c>
      <c r="C187" s="66">
        <f t="shared" si="49"/>
        <v>0.8</v>
      </c>
      <c r="D187" s="67">
        <f>B187*0.3</f>
        <v>216000000</v>
      </c>
      <c r="E187" s="66">
        <f t="shared" si="43"/>
        <v>0.35</v>
      </c>
      <c r="F187" s="69">
        <f t="shared" si="50"/>
        <v>504000000</v>
      </c>
      <c r="G187" s="63">
        <f t="shared" si="45"/>
        <v>1.1000000000000001</v>
      </c>
      <c r="H187" s="63">
        <f t="shared" si="51"/>
        <v>0.7</v>
      </c>
      <c r="I187" s="69">
        <f t="shared" si="47"/>
        <v>387692307.69230771</v>
      </c>
      <c r="J187" s="63">
        <v>0.25</v>
      </c>
      <c r="K187" s="69">
        <f t="shared" si="48"/>
        <v>290769230.76923078</v>
      </c>
    </row>
    <row r="188" spans="1:11" x14ac:dyDescent="0.25">
      <c r="A188" s="85">
        <f>A187+1</f>
        <v>2024</v>
      </c>
      <c r="B188" s="67">
        <f>B187*1.4</f>
        <v>1007999999.9999999</v>
      </c>
      <c r="C188" s="66">
        <f t="shared" si="49"/>
        <v>0.39999999999999986</v>
      </c>
      <c r="D188" s="67">
        <f>B188*0.3</f>
        <v>302399999.99999994</v>
      </c>
      <c r="E188" s="66">
        <f t="shared" si="43"/>
        <v>0.39999999999999974</v>
      </c>
      <c r="F188" s="69">
        <f t="shared" si="50"/>
        <v>705600000</v>
      </c>
      <c r="G188" s="63">
        <f t="shared" si="45"/>
        <v>0.4</v>
      </c>
      <c r="H188" s="63">
        <f t="shared" si="51"/>
        <v>0.70000000000000007</v>
      </c>
      <c r="I188" s="69">
        <f t="shared" si="47"/>
        <v>542769230.76923084</v>
      </c>
      <c r="J188" s="63">
        <v>0.25</v>
      </c>
      <c r="K188" s="69">
        <f t="shared" si="48"/>
        <v>407076923.07692313</v>
      </c>
    </row>
    <row r="189" spans="1:11" x14ac:dyDescent="0.25">
      <c r="A189" s="85">
        <f>A188+1</f>
        <v>2025</v>
      </c>
      <c r="B189" s="67">
        <f>B188*1.3</f>
        <v>1310400000</v>
      </c>
      <c r="C189" s="66">
        <f t="shared" si="49"/>
        <v>0.30000000000000016</v>
      </c>
      <c r="D189" s="67">
        <f>B189*0.3</f>
        <v>393120000</v>
      </c>
      <c r="E189" s="66">
        <f t="shared" si="43"/>
        <v>0.30000000000000027</v>
      </c>
      <c r="F189" s="69">
        <f t="shared" si="50"/>
        <v>917280000</v>
      </c>
      <c r="G189" s="63">
        <f t="shared" si="45"/>
        <v>0.3</v>
      </c>
      <c r="H189" s="63">
        <f t="shared" si="51"/>
        <v>0.7</v>
      </c>
      <c r="I189" s="69">
        <f t="shared" si="47"/>
        <v>705600000</v>
      </c>
      <c r="J189" s="63">
        <v>0.25</v>
      </c>
      <c r="K189" s="69">
        <f t="shared" si="48"/>
        <v>529200000</v>
      </c>
    </row>
    <row r="190" spans="1:11" x14ac:dyDescent="0.25">
      <c r="C190" s="66" t="e">
        <f>(B190-B184)/B184</f>
        <v>#DIV/0!</v>
      </c>
      <c r="E190" s="66" t="e">
        <f>(D190-D184)/D184</f>
        <v>#DIV/0!</v>
      </c>
      <c r="G190" s="63" t="e">
        <f>(F190-F184)/F184</f>
        <v>#DIV/0!</v>
      </c>
      <c r="I190" s="69">
        <f t="shared" si="47"/>
        <v>0</v>
      </c>
      <c r="J190" s="63">
        <v>0.25</v>
      </c>
      <c r="K190" s="69">
        <f t="shared" si="48"/>
        <v>0</v>
      </c>
    </row>
    <row r="191" spans="1:11" x14ac:dyDescent="0.25">
      <c r="A191" s="67" t="str">
        <f>营业收入分析!J1</f>
        <v>数字娱乐平台</v>
      </c>
      <c r="C191" s="66" t="e">
        <f>(B191-B163)/B163</f>
        <v>#DIV/0!</v>
      </c>
      <c r="E191" s="66" t="e">
        <f>(D191-D163)/D163</f>
        <v>#DIV/0!</v>
      </c>
      <c r="G191" s="63" t="e">
        <f>(F191-F163)/F163</f>
        <v>#DIV/0!</v>
      </c>
      <c r="I191" s="69">
        <f>B191-D191/0.65</f>
        <v>0</v>
      </c>
      <c r="J191" s="63">
        <v>0.25</v>
      </c>
      <c r="K191" s="69">
        <f t="shared" si="24"/>
        <v>0</v>
      </c>
    </row>
    <row r="192" spans="1:11" ht="31.5" x14ac:dyDescent="0.25">
      <c r="A192" s="64" t="s">
        <v>72</v>
      </c>
      <c r="B192" s="60" t="s">
        <v>82</v>
      </c>
      <c r="C192" s="60" t="s">
        <v>87</v>
      </c>
      <c r="D192" t="s">
        <v>83</v>
      </c>
      <c r="E192" t="s">
        <v>88</v>
      </c>
      <c r="F192" t="s">
        <v>84</v>
      </c>
      <c r="G192" t="s">
        <v>89</v>
      </c>
      <c r="H192" t="s">
        <v>85</v>
      </c>
      <c r="I192" s="107" t="s">
        <v>245</v>
      </c>
      <c r="J192" s="107" t="s">
        <v>246</v>
      </c>
      <c r="K192" t="s">
        <v>49</v>
      </c>
    </row>
    <row r="193" spans="1:11" x14ac:dyDescent="0.25">
      <c r="A193" s="65">
        <v>40543</v>
      </c>
      <c r="B193" s="67">
        <f>营业收入分析!J2</f>
        <v>0</v>
      </c>
      <c r="C193" s="66" t="e">
        <f t="shared" ref="C193:C202" si="52">(B193-B192)/B192</f>
        <v>#VALUE!</v>
      </c>
      <c r="D193" s="67">
        <f>营业成本分析!J2</f>
        <v>0</v>
      </c>
      <c r="E193" s="66" t="e">
        <f t="shared" si="26"/>
        <v>#VALUE!</v>
      </c>
      <c r="F193" s="69">
        <f t="shared" ref="F193:F200" si="53">B193-D193</f>
        <v>0</v>
      </c>
      <c r="G193" s="63" t="e">
        <f t="shared" si="27"/>
        <v>#VALUE!</v>
      </c>
      <c r="H193" s="63" t="e">
        <f t="shared" ref="H193:H200" si="54">F193/B193</f>
        <v>#DIV/0!</v>
      </c>
      <c r="I193" s="69">
        <f>B193-D193/0.65</f>
        <v>0</v>
      </c>
      <c r="J193" s="63">
        <v>0.15</v>
      </c>
      <c r="K193" s="69">
        <f t="shared" si="24"/>
        <v>0</v>
      </c>
    </row>
    <row r="194" spans="1:11" x14ac:dyDescent="0.25">
      <c r="A194" s="65">
        <v>40908</v>
      </c>
      <c r="B194" s="67">
        <f>营业收入分析!J3</f>
        <v>0</v>
      </c>
      <c r="C194" s="66" t="e">
        <f t="shared" si="52"/>
        <v>#DIV/0!</v>
      </c>
      <c r="D194" s="67">
        <f>营业成本分析!J3</f>
        <v>0</v>
      </c>
      <c r="E194" s="66" t="e">
        <f t="shared" si="26"/>
        <v>#DIV/0!</v>
      </c>
      <c r="F194" s="69">
        <f t="shared" si="53"/>
        <v>0</v>
      </c>
      <c r="G194" s="63" t="e">
        <f t="shared" si="27"/>
        <v>#DIV/0!</v>
      </c>
      <c r="H194" s="63" t="e">
        <f t="shared" si="54"/>
        <v>#DIV/0!</v>
      </c>
      <c r="I194" s="69">
        <f>B194-D194/0.65</f>
        <v>0</v>
      </c>
      <c r="J194" s="63">
        <v>0.15</v>
      </c>
      <c r="K194" s="69">
        <f t="shared" si="24"/>
        <v>0</v>
      </c>
    </row>
    <row r="195" spans="1:11" x14ac:dyDescent="0.25">
      <c r="A195" s="65">
        <v>41274</v>
      </c>
      <c r="B195" s="67">
        <f>营业收入分析!J4</f>
        <v>0</v>
      </c>
      <c r="C195" s="66" t="e">
        <f t="shared" si="52"/>
        <v>#DIV/0!</v>
      </c>
      <c r="D195" s="67">
        <f>营业成本分析!J4</f>
        <v>0</v>
      </c>
      <c r="E195" s="66" t="e">
        <f t="shared" si="26"/>
        <v>#DIV/0!</v>
      </c>
      <c r="F195" s="69">
        <f t="shared" si="53"/>
        <v>0</v>
      </c>
      <c r="G195" s="63" t="e">
        <f t="shared" si="27"/>
        <v>#DIV/0!</v>
      </c>
      <c r="H195" s="63" t="e">
        <f t="shared" si="54"/>
        <v>#DIV/0!</v>
      </c>
      <c r="I195" s="69">
        <f t="shared" ref="I195:I219" si="55">B195-D195/0.65</f>
        <v>0</v>
      </c>
      <c r="J195" s="63">
        <v>0.15</v>
      </c>
      <c r="K195" s="69">
        <f t="shared" si="24"/>
        <v>0</v>
      </c>
    </row>
    <row r="196" spans="1:11" x14ac:dyDescent="0.25">
      <c r="A196" s="65">
        <v>41639</v>
      </c>
      <c r="B196" s="67">
        <f>营业收入分析!J5</f>
        <v>0</v>
      </c>
      <c r="C196" s="66" t="e">
        <f t="shared" si="52"/>
        <v>#DIV/0!</v>
      </c>
      <c r="D196" s="67">
        <f>营业成本分析!J5</f>
        <v>0</v>
      </c>
      <c r="E196" s="66" t="e">
        <f t="shared" si="26"/>
        <v>#DIV/0!</v>
      </c>
      <c r="F196" s="69">
        <f t="shared" si="53"/>
        <v>0</v>
      </c>
      <c r="G196" s="63" t="e">
        <f t="shared" si="27"/>
        <v>#DIV/0!</v>
      </c>
      <c r="H196" s="63" t="e">
        <f t="shared" si="54"/>
        <v>#DIV/0!</v>
      </c>
      <c r="I196" s="69">
        <f t="shared" si="55"/>
        <v>0</v>
      </c>
      <c r="J196" s="63">
        <v>0.15</v>
      </c>
      <c r="K196" s="69">
        <f t="shared" si="24"/>
        <v>0</v>
      </c>
    </row>
    <row r="197" spans="1:11" x14ac:dyDescent="0.25">
      <c r="A197" s="65">
        <v>42004</v>
      </c>
      <c r="B197" s="67">
        <f>营业收入分析!J6</f>
        <v>0</v>
      </c>
      <c r="C197" s="66" t="e">
        <f t="shared" si="52"/>
        <v>#DIV/0!</v>
      </c>
      <c r="D197" s="67">
        <f>营业成本分析!J6</f>
        <v>0</v>
      </c>
      <c r="E197" s="66" t="e">
        <f t="shared" si="26"/>
        <v>#DIV/0!</v>
      </c>
      <c r="F197" s="69">
        <f t="shared" si="53"/>
        <v>0</v>
      </c>
      <c r="G197" s="63" t="e">
        <f t="shared" si="27"/>
        <v>#DIV/0!</v>
      </c>
      <c r="H197" s="63" t="e">
        <f t="shared" si="54"/>
        <v>#DIV/0!</v>
      </c>
      <c r="I197" s="69">
        <f t="shared" si="55"/>
        <v>0</v>
      </c>
      <c r="J197" s="63">
        <v>0.15</v>
      </c>
      <c r="K197" s="69">
        <f t="shared" si="24"/>
        <v>0</v>
      </c>
    </row>
    <row r="198" spans="1:11" x14ac:dyDescent="0.25">
      <c r="A198" s="65">
        <v>42369</v>
      </c>
      <c r="B198" s="67">
        <f>营业收入分析!J7</f>
        <v>369099362.92000002</v>
      </c>
      <c r="C198" s="66" t="e">
        <f t="shared" si="52"/>
        <v>#DIV/0!</v>
      </c>
      <c r="D198" s="67">
        <f>营业成本分析!J7</f>
        <v>179637611.21000001</v>
      </c>
      <c r="E198" s="66" t="e">
        <f t="shared" si="26"/>
        <v>#DIV/0!</v>
      </c>
      <c r="F198" s="69">
        <f t="shared" si="53"/>
        <v>189461751.71000001</v>
      </c>
      <c r="G198" s="63" t="e">
        <f t="shared" si="27"/>
        <v>#DIV/0!</v>
      </c>
      <c r="H198" s="63">
        <f t="shared" si="54"/>
        <v>0.51330825989820161</v>
      </c>
      <c r="I198" s="69">
        <f t="shared" si="55"/>
        <v>92733807.212307692</v>
      </c>
      <c r="J198" s="63">
        <v>0.15</v>
      </c>
      <c r="K198" s="69">
        <f t="shared" si="24"/>
        <v>78823736.130461529</v>
      </c>
    </row>
    <row r="199" spans="1:11" x14ac:dyDescent="0.25">
      <c r="A199" s="65">
        <v>42735</v>
      </c>
      <c r="B199" s="67">
        <f>营业收入分析!J8</f>
        <v>1090212510.98</v>
      </c>
      <c r="C199" s="66">
        <f t="shared" si="52"/>
        <v>1.9537100859648373</v>
      </c>
      <c r="D199" s="67">
        <f>营业成本分析!J8</f>
        <v>545134015.62</v>
      </c>
      <c r="E199" s="66">
        <f t="shared" si="26"/>
        <v>2.0346318454587289</v>
      </c>
      <c r="F199" s="69">
        <f t="shared" si="53"/>
        <v>545078495.36000001</v>
      </c>
      <c r="G199" s="63">
        <f t="shared" si="27"/>
        <v>1.8769843540469604</v>
      </c>
      <c r="H199" s="63">
        <f t="shared" si="54"/>
        <v>0.49997453695520788</v>
      </c>
      <c r="I199" s="69">
        <f t="shared" si="55"/>
        <v>251544794.6415385</v>
      </c>
      <c r="J199" s="63">
        <v>0.15</v>
      </c>
      <c r="K199" s="69">
        <f t="shared" si="24"/>
        <v>213813075.44530773</v>
      </c>
    </row>
    <row r="200" spans="1:11" x14ac:dyDescent="0.25">
      <c r="A200" s="65">
        <v>43100</v>
      </c>
      <c r="B200" s="67">
        <f>营业收入分析!J9</f>
        <v>1240133995.3599999</v>
      </c>
      <c r="C200" s="66">
        <f t="shared" si="52"/>
        <v>0.13751583555506472</v>
      </c>
      <c r="D200" s="67">
        <f>营业成本分析!J9</f>
        <v>606234968.12</v>
      </c>
      <c r="E200" s="66">
        <f t="shared" si="26"/>
        <v>0.11208427790092634</v>
      </c>
      <c r="F200" s="69">
        <f t="shared" si="53"/>
        <v>633899027.23999989</v>
      </c>
      <c r="G200" s="63">
        <f t="shared" si="27"/>
        <v>0.16294998360068833</v>
      </c>
      <c r="H200" s="63">
        <f t="shared" si="54"/>
        <v>0.51115365727554674</v>
      </c>
      <c r="I200" s="69">
        <f t="shared" si="55"/>
        <v>307464813.63692296</v>
      </c>
      <c r="J200" s="63">
        <v>0.15</v>
      </c>
      <c r="K200" s="69">
        <f t="shared" si="24"/>
        <v>261345091.5913845</v>
      </c>
    </row>
    <row r="201" spans="1:11" x14ac:dyDescent="0.25">
      <c r="A201" s="65">
        <v>43465</v>
      </c>
      <c r="B201" s="67">
        <f>营业收入分析!J10</f>
        <v>1233596141.03</v>
      </c>
      <c r="C201" s="66">
        <f t="shared" si="52"/>
        <v>-5.2718934844633806E-3</v>
      </c>
      <c r="D201" s="67">
        <f>营业成本分析!J10</f>
        <v>521449699.55000001</v>
      </c>
      <c r="E201" s="66">
        <f t="shared" si="26"/>
        <v>-0.13985545708939925</v>
      </c>
      <c r="F201" s="69">
        <f t="shared" ref="F201:F208" si="56">B201-D201</f>
        <v>712146441.48000002</v>
      </c>
      <c r="G201" s="63">
        <f t="shared" si="27"/>
        <v>0.12343829360440862</v>
      </c>
      <c r="H201" s="63">
        <f t="shared" ref="H201:H208" si="57">F201/B201</f>
        <v>0.57729301980905046</v>
      </c>
      <c r="I201" s="69">
        <f t="shared" si="55"/>
        <v>431365834.02999997</v>
      </c>
      <c r="J201" s="63">
        <v>0.15</v>
      </c>
      <c r="K201" s="69">
        <f t="shared" si="24"/>
        <v>366660958.92549998</v>
      </c>
    </row>
    <row r="202" spans="1:11" x14ac:dyDescent="0.25">
      <c r="A202" s="65">
        <v>43830</v>
      </c>
      <c r="B202" s="67">
        <f>营业收入分析!J11</f>
        <v>383412284.25</v>
      </c>
      <c r="C202" s="66">
        <f t="shared" si="52"/>
        <v>-0.68919140430362635</v>
      </c>
      <c r="D202" s="67">
        <f>营业成本分析!J11</f>
        <v>170265034.41999999</v>
      </c>
      <c r="E202" s="66">
        <f t="shared" si="26"/>
        <v>-0.67347754813755745</v>
      </c>
      <c r="F202" s="69">
        <f t="shared" si="56"/>
        <v>213147249.83000001</v>
      </c>
      <c r="G202" s="63">
        <f t="shared" si="27"/>
        <v>-0.700697444493253</v>
      </c>
      <c r="H202" s="63">
        <f t="shared" si="57"/>
        <v>0.55592180685327119</v>
      </c>
      <c r="I202" s="69">
        <f t="shared" si="55"/>
        <v>121466077.45000002</v>
      </c>
      <c r="J202" s="63">
        <v>0.15</v>
      </c>
      <c r="K202" s="69">
        <f t="shared" si="24"/>
        <v>103246165.83250001</v>
      </c>
    </row>
    <row r="203" spans="1:11" s="71" customFormat="1" x14ac:dyDescent="0.25">
      <c r="A203" s="72">
        <v>43831</v>
      </c>
      <c r="B203" s="91">
        <f>营业收入分析!J12</f>
        <v>0</v>
      </c>
      <c r="C203" s="74">
        <f t="shared" ref="C203:C227" si="58">(B203-B202)/B202</f>
        <v>-1</v>
      </c>
      <c r="D203" s="91">
        <f>营业成本分析!J12</f>
        <v>0</v>
      </c>
      <c r="E203" s="74">
        <f t="shared" si="26"/>
        <v>-1</v>
      </c>
      <c r="F203" s="92">
        <f t="shared" si="56"/>
        <v>0</v>
      </c>
      <c r="G203" s="93">
        <f t="shared" si="27"/>
        <v>-1</v>
      </c>
      <c r="H203" s="93" t="e">
        <f t="shared" si="57"/>
        <v>#DIV/0!</v>
      </c>
      <c r="I203" s="92">
        <f t="shared" si="55"/>
        <v>0</v>
      </c>
      <c r="J203" s="93">
        <v>0.15</v>
      </c>
      <c r="K203" s="92">
        <f t="shared" si="24"/>
        <v>0</v>
      </c>
    </row>
    <row r="204" spans="1:11" x14ac:dyDescent="0.25">
      <c r="A204" s="85">
        <f>A14+1</f>
        <v>2021</v>
      </c>
      <c r="B204" s="67">
        <f>0</f>
        <v>0</v>
      </c>
      <c r="C204" s="66" t="e">
        <f t="shared" si="58"/>
        <v>#DIV/0!</v>
      </c>
      <c r="D204" s="67">
        <f>0</f>
        <v>0</v>
      </c>
      <c r="E204" s="66" t="e">
        <f t="shared" si="26"/>
        <v>#DIV/0!</v>
      </c>
      <c r="F204" s="69">
        <f t="shared" si="56"/>
        <v>0</v>
      </c>
      <c r="G204" s="63" t="e">
        <f t="shared" si="27"/>
        <v>#DIV/0!</v>
      </c>
      <c r="H204" s="63" t="e">
        <f t="shared" si="57"/>
        <v>#DIV/0!</v>
      </c>
      <c r="I204" s="69">
        <f t="shared" si="55"/>
        <v>0</v>
      </c>
      <c r="J204" s="63">
        <v>0.15</v>
      </c>
      <c r="K204" s="69">
        <f t="shared" si="24"/>
        <v>0</v>
      </c>
    </row>
    <row r="205" spans="1:11" x14ac:dyDescent="0.25">
      <c r="A205" s="85">
        <f>A204+1</f>
        <v>2022</v>
      </c>
      <c r="B205" s="67">
        <f>0</f>
        <v>0</v>
      </c>
      <c r="C205" s="66" t="e">
        <f t="shared" si="58"/>
        <v>#DIV/0!</v>
      </c>
      <c r="D205" s="67">
        <f>0</f>
        <v>0</v>
      </c>
      <c r="E205" s="66" t="e">
        <f t="shared" si="26"/>
        <v>#DIV/0!</v>
      </c>
      <c r="F205" s="69">
        <f t="shared" si="56"/>
        <v>0</v>
      </c>
      <c r="G205" s="63" t="e">
        <f t="shared" si="27"/>
        <v>#DIV/0!</v>
      </c>
      <c r="H205" s="63" t="e">
        <f t="shared" si="57"/>
        <v>#DIV/0!</v>
      </c>
      <c r="I205" s="69">
        <f t="shared" si="55"/>
        <v>0</v>
      </c>
      <c r="J205" s="63">
        <v>0.15</v>
      </c>
      <c r="K205" s="69">
        <f t="shared" si="24"/>
        <v>0</v>
      </c>
    </row>
    <row r="206" spans="1:11" x14ac:dyDescent="0.25">
      <c r="A206" s="85">
        <f>A205+1</f>
        <v>2023</v>
      </c>
      <c r="B206" s="67">
        <f>0</f>
        <v>0</v>
      </c>
      <c r="C206" s="66" t="e">
        <f t="shared" si="58"/>
        <v>#DIV/0!</v>
      </c>
      <c r="D206" s="67">
        <f>0</f>
        <v>0</v>
      </c>
      <c r="E206" s="66" t="e">
        <f t="shared" si="26"/>
        <v>#DIV/0!</v>
      </c>
      <c r="F206" s="69">
        <f t="shared" si="56"/>
        <v>0</v>
      </c>
      <c r="G206" s="63" t="e">
        <f t="shared" si="27"/>
        <v>#DIV/0!</v>
      </c>
      <c r="H206" s="63" t="e">
        <f t="shared" si="57"/>
        <v>#DIV/0!</v>
      </c>
      <c r="I206" s="69">
        <f t="shared" si="55"/>
        <v>0</v>
      </c>
      <c r="J206" s="63">
        <v>0.15</v>
      </c>
      <c r="K206" s="69">
        <f t="shared" si="24"/>
        <v>0</v>
      </c>
    </row>
    <row r="207" spans="1:11" x14ac:dyDescent="0.25">
      <c r="A207" s="85">
        <f>A206+1</f>
        <v>2024</v>
      </c>
      <c r="B207" s="67">
        <f>0</f>
        <v>0</v>
      </c>
      <c r="C207" s="66" t="e">
        <f t="shared" si="58"/>
        <v>#DIV/0!</v>
      </c>
      <c r="D207" s="67">
        <f>0</f>
        <v>0</v>
      </c>
      <c r="E207" s="66" t="e">
        <f t="shared" si="26"/>
        <v>#DIV/0!</v>
      </c>
      <c r="F207" s="69">
        <f t="shared" si="56"/>
        <v>0</v>
      </c>
      <c r="G207" s="63" t="e">
        <f t="shared" si="27"/>
        <v>#DIV/0!</v>
      </c>
      <c r="H207" s="63" t="e">
        <f t="shared" si="57"/>
        <v>#DIV/0!</v>
      </c>
      <c r="I207" s="69">
        <f t="shared" si="55"/>
        <v>0</v>
      </c>
      <c r="J207" s="63">
        <v>0.15</v>
      </c>
      <c r="K207" s="69">
        <f t="shared" si="24"/>
        <v>0</v>
      </c>
    </row>
    <row r="208" spans="1:11" x14ac:dyDescent="0.25">
      <c r="A208" s="85">
        <f>A207+1</f>
        <v>2025</v>
      </c>
      <c r="B208" s="67">
        <f>0</f>
        <v>0</v>
      </c>
      <c r="C208" s="66" t="e">
        <f t="shared" si="58"/>
        <v>#DIV/0!</v>
      </c>
      <c r="D208" s="67">
        <f>0</f>
        <v>0</v>
      </c>
      <c r="E208" s="66" t="e">
        <f t="shared" si="26"/>
        <v>#DIV/0!</v>
      </c>
      <c r="F208" s="69">
        <f t="shared" si="56"/>
        <v>0</v>
      </c>
      <c r="G208" s="63" t="e">
        <f t="shared" si="27"/>
        <v>#DIV/0!</v>
      </c>
      <c r="H208" s="63" t="e">
        <f t="shared" si="57"/>
        <v>#DIV/0!</v>
      </c>
      <c r="I208" s="69">
        <f t="shared" si="55"/>
        <v>0</v>
      </c>
      <c r="J208" s="63">
        <v>0.15</v>
      </c>
      <c r="K208" s="69">
        <f t="shared" si="24"/>
        <v>0</v>
      </c>
    </row>
    <row r="209" spans="1:11" x14ac:dyDescent="0.25">
      <c r="C209" s="66" t="e">
        <f>(B209-B203)/B203</f>
        <v>#DIV/0!</v>
      </c>
      <c r="E209" s="66" t="e">
        <f>(D209-D203)/D203</f>
        <v>#DIV/0!</v>
      </c>
      <c r="G209" s="63" t="e">
        <f>(F209-F203)/F203</f>
        <v>#DIV/0!</v>
      </c>
      <c r="I209" s="69">
        <f t="shared" si="55"/>
        <v>0</v>
      </c>
      <c r="J209" s="63">
        <v>0.25</v>
      </c>
      <c r="K209" s="69">
        <f t="shared" si="24"/>
        <v>0</v>
      </c>
    </row>
    <row r="210" spans="1:11" x14ac:dyDescent="0.25">
      <c r="A210" s="67" t="str">
        <f>营业收入分析!K1</f>
        <v>电子商务手续费</v>
      </c>
      <c r="C210" s="66" t="e">
        <f t="shared" si="58"/>
        <v>#DIV/0!</v>
      </c>
      <c r="E210" s="66" t="e">
        <f t="shared" si="26"/>
        <v>#DIV/0!</v>
      </c>
      <c r="G210" s="63" t="e">
        <f t="shared" si="27"/>
        <v>#DIV/0!</v>
      </c>
      <c r="I210" s="69">
        <f t="shared" si="55"/>
        <v>0</v>
      </c>
      <c r="J210" s="63">
        <v>0.25</v>
      </c>
      <c r="K210" s="69">
        <f t="shared" si="24"/>
        <v>0</v>
      </c>
    </row>
    <row r="211" spans="1:11" ht="31.5" x14ac:dyDescent="0.25">
      <c r="A211" s="64" t="s">
        <v>72</v>
      </c>
      <c r="B211" s="60" t="s">
        <v>82</v>
      </c>
      <c r="C211" s="60" t="s">
        <v>87</v>
      </c>
      <c r="D211" t="s">
        <v>83</v>
      </c>
      <c r="E211" t="s">
        <v>88</v>
      </c>
      <c r="F211" t="s">
        <v>84</v>
      </c>
      <c r="G211" t="s">
        <v>89</v>
      </c>
      <c r="H211" t="s">
        <v>85</v>
      </c>
      <c r="I211" s="107" t="s">
        <v>245</v>
      </c>
      <c r="J211" s="107" t="s">
        <v>246</v>
      </c>
      <c r="K211" t="s">
        <v>49</v>
      </c>
    </row>
    <row r="212" spans="1:11" x14ac:dyDescent="0.25">
      <c r="A212" s="65">
        <v>40543</v>
      </c>
      <c r="B212" s="67">
        <f>营业收入分析!K2</f>
        <v>0</v>
      </c>
      <c r="C212" s="66" t="e">
        <f t="shared" si="58"/>
        <v>#VALUE!</v>
      </c>
      <c r="D212" s="67">
        <f>营业成本分析!K2</f>
        <v>0</v>
      </c>
      <c r="E212" s="66" t="e">
        <f t="shared" si="26"/>
        <v>#VALUE!</v>
      </c>
      <c r="F212" s="69">
        <f t="shared" ref="F212:F219" si="59">B212-D212</f>
        <v>0</v>
      </c>
      <c r="G212" s="63" t="e">
        <f t="shared" si="27"/>
        <v>#VALUE!</v>
      </c>
      <c r="H212" s="63" t="e">
        <f t="shared" ref="H212:H219" si="60">F212/B212</f>
        <v>#DIV/0!</v>
      </c>
      <c r="I212" s="69">
        <f t="shared" si="55"/>
        <v>0</v>
      </c>
      <c r="J212" s="63">
        <v>0.25</v>
      </c>
      <c r="K212" s="69">
        <f t="shared" si="24"/>
        <v>0</v>
      </c>
    </row>
    <row r="213" spans="1:11" x14ac:dyDescent="0.25">
      <c r="A213" s="65">
        <v>40908</v>
      </c>
      <c r="B213" s="67">
        <f>营业收入分析!K3</f>
        <v>0</v>
      </c>
      <c r="C213" s="66" t="e">
        <f t="shared" si="58"/>
        <v>#DIV/0!</v>
      </c>
      <c r="D213" s="67">
        <f>营业成本分析!K3</f>
        <v>0</v>
      </c>
      <c r="E213" s="66" t="e">
        <f t="shared" si="26"/>
        <v>#DIV/0!</v>
      </c>
      <c r="F213" s="69">
        <f t="shared" si="59"/>
        <v>0</v>
      </c>
      <c r="G213" s="63" t="e">
        <f t="shared" si="27"/>
        <v>#DIV/0!</v>
      </c>
      <c r="H213" s="63" t="e">
        <f t="shared" si="60"/>
        <v>#DIV/0!</v>
      </c>
      <c r="I213" s="69">
        <f t="shared" si="55"/>
        <v>0</v>
      </c>
      <c r="J213" s="63">
        <v>0.25</v>
      </c>
      <c r="K213" s="69">
        <f t="shared" si="24"/>
        <v>0</v>
      </c>
    </row>
    <row r="214" spans="1:11" x14ac:dyDescent="0.25">
      <c r="A214" s="65">
        <v>41274</v>
      </c>
      <c r="B214" s="67">
        <f>营业收入分析!K4</f>
        <v>0</v>
      </c>
      <c r="C214" s="66" t="e">
        <f t="shared" si="58"/>
        <v>#DIV/0!</v>
      </c>
      <c r="D214" s="67">
        <f>营业成本分析!K4</f>
        <v>0</v>
      </c>
      <c r="E214" s="66" t="e">
        <f t="shared" si="26"/>
        <v>#DIV/0!</v>
      </c>
      <c r="F214" s="69">
        <f t="shared" si="59"/>
        <v>0</v>
      </c>
      <c r="G214" s="63" t="e">
        <f t="shared" si="27"/>
        <v>#DIV/0!</v>
      </c>
      <c r="H214" s="63" t="e">
        <f t="shared" si="60"/>
        <v>#DIV/0!</v>
      </c>
      <c r="I214" s="69">
        <f t="shared" si="55"/>
        <v>0</v>
      </c>
      <c r="J214" s="63">
        <v>0.25</v>
      </c>
      <c r="K214" s="69">
        <f t="shared" si="24"/>
        <v>0</v>
      </c>
    </row>
    <row r="215" spans="1:11" x14ac:dyDescent="0.25">
      <c r="A215" s="65">
        <v>41639</v>
      </c>
      <c r="B215" s="67">
        <f>营业收入分析!K5</f>
        <v>3818769.58</v>
      </c>
      <c r="C215" s="66" t="e">
        <f t="shared" si="58"/>
        <v>#DIV/0!</v>
      </c>
      <c r="D215" s="67">
        <f>营业成本分析!K5</f>
        <v>0</v>
      </c>
      <c r="E215" s="66" t="e">
        <f t="shared" si="26"/>
        <v>#DIV/0!</v>
      </c>
      <c r="F215" s="69">
        <f t="shared" si="59"/>
        <v>3818769.58</v>
      </c>
      <c r="G215" s="63" t="e">
        <f t="shared" si="27"/>
        <v>#DIV/0!</v>
      </c>
      <c r="H215" s="63">
        <f t="shared" si="60"/>
        <v>1</v>
      </c>
      <c r="I215" s="69">
        <f t="shared" si="55"/>
        <v>3818769.58</v>
      </c>
      <c r="J215" s="63">
        <v>0.25</v>
      </c>
      <c r="K215" s="69">
        <f t="shared" si="24"/>
        <v>2864077.1850000001</v>
      </c>
    </row>
    <row r="216" spans="1:11" x14ac:dyDescent="0.25">
      <c r="A216" s="65">
        <v>42004</v>
      </c>
      <c r="B216" s="67">
        <f>营业收入分析!K6</f>
        <v>17516318.469999999</v>
      </c>
      <c r="C216" s="66">
        <f t="shared" si="58"/>
        <v>3.5869011216958522</v>
      </c>
      <c r="D216" s="67">
        <f>营业成本分析!K6</f>
        <v>17516318.469999999</v>
      </c>
      <c r="E216" s="66" t="e">
        <f t="shared" si="26"/>
        <v>#DIV/0!</v>
      </c>
      <c r="F216" s="69">
        <f t="shared" si="59"/>
        <v>0</v>
      </c>
      <c r="G216" s="63">
        <f t="shared" si="27"/>
        <v>-1</v>
      </c>
      <c r="H216" s="63">
        <f t="shared" si="60"/>
        <v>0</v>
      </c>
      <c r="I216" s="69">
        <f t="shared" si="55"/>
        <v>-9431863.7915384583</v>
      </c>
      <c r="J216" s="63">
        <v>0.25</v>
      </c>
      <c r="K216" s="69">
        <f t="shared" si="24"/>
        <v>-7073897.8436538437</v>
      </c>
    </row>
    <row r="217" spans="1:11" x14ac:dyDescent="0.25">
      <c r="A217" s="65">
        <v>42369</v>
      </c>
      <c r="B217" s="67">
        <f>营业收入分析!K7</f>
        <v>43827382.159999996</v>
      </c>
      <c r="C217" s="66">
        <f t="shared" si="58"/>
        <v>1.5020886800535547</v>
      </c>
      <c r="D217" s="67">
        <f>营业成本分析!K7</f>
        <v>43827382.159999996</v>
      </c>
      <c r="E217" s="66">
        <f t="shared" si="26"/>
        <v>1.5020886800535547</v>
      </c>
      <c r="F217" s="69">
        <f t="shared" si="59"/>
        <v>0</v>
      </c>
      <c r="G217" s="63" t="e">
        <f t="shared" si="27"/>
        <v>#DIV/0!</v>
      </c>
      <c r="H217" s="63">
        <f t="shared" si="60"/>
        <v>0</v>
      </c>
      <c r="I217" s="69">
        <f t="shared" si="55"/>
        <v>-23599359.624615386</v>
      </c>
      <c r="J217" s="63">
        <v>0.25</v>
      </c>
      <c r="K217" s="69">
        <f t="shared" si="24"/>
        <v>-17699519.71846154</v>
      </c>
    </row>
    <row r="218" spans="1:11" x14ac:dyDescent="0.25">
      <c r="A218" s="65">
        <v>42735</v>
      </c>
      <c r="B218" s="67">
        <f>营业收入分析!K8</f>
        <v>60018274.359999999</v>
      </c>
      <c r="C218" s="66">
        <f t="shared" si="58"/>
        <v>0.36942412259286089</v>
      </c>
      <c r="D218" s="67">
        <f>营业成本分析!K8</f>
        <v>16081067.25</v>
      </c>
      <c r="E218" s="66">
        <f t="shared" si="26"/>
        <v>-0.63308172978953936</v>
      </c>
      <c r="F218" s="69">
        <f t="shared" si="59"/>
        <v>43937207.109999999</v>
      </c>
      <c r="G218" s="63" t="e">
        <f t="shared" si="27"/>
        <v>#DIV/0!</v>
      </c>
      <c r="H218" s="63">
        <f t="shared" si="60"/>
        <v>0.73206381853728453</v>
      </c>
      <c r="I218" s="69">
        <f t="shared" si="55"/>
        <v>35278170.898461536</v>
      </c>
      <c r="J218" s="63">
        <v>0.25</v>
      </c>
      <c r="K218" s="69">
        <f t="shared" si="24"/>
        <v>26458628.173846152</v>
      </c>
    </row>
    <row r="219" spans="1:11" x14ac:dyDescent="0.25">
      <c r="A219" s="65">
        <v>43100</v>
      </c>
      <c r="B219" s="67">
        <f>营业收入分析!K9</f>
        <v>120577904.09999999</v>
      </c>
      <c r="C219" s="66">
        <f t="shared" si="58"/>
        <v>1.0090198424691927</v>
      </c>
      <c r="D219" s="67">
        <f>营业成本分析!K9</f>
        <v>42274369.789999999</v>
      </c>
      <c r="E219" s="66">
        <f t="shared" si="26"/>
        <v>1.6288286177025968</v>
      </c>
      <c r="F219" s="69">
        <f t="shared" si="59"/>
        <v>78303534.310000002</v>
      </c>
      <c r="G219" s="63">
        <f t="shared" si="27"/>
        <v>0.7821691331895857</v>
      </c>
      <c r="H219" s="63">
        <f t="shared" si="60"/>
        <v>0.64940201850796642</v>
      </c>
      <c r="I219" s="69">
        <f t="shared" si="55"/>
        <v>55540412.115384616</v>
      </c>
      <c r="J219" s="63">
        <v>0.25</v>
      </c>
      <c r="K219" s="69">
        <f t="shared" si="24"/>
        <v>41655309.086538464</v>
      </c>
    </row>
    <row r="220" spans="1:11" x14ac:dyDescent="0.25">
      <c r="A220" s="65">
        <v>43465</v>
      </c>
      <c r="B220" s="67">
        <f>营业收入分析!K10</f>
        <v>173487760.90000001</v>
      </c>
      <c r="C220" s="66">
        <f t="shared" si="58"/>
        <v>0.43880225979147713</v>
      </c>
      <c r="D220" s="67">
        <f>营业成本分析!K10</f>
        <v>76622522.400000006</v>
      </c>
      <c r="E220" s="66">
        <f t="shared" si="26"/>
        <v>0.8125053733651415</v>
      </c>
      <c r="F220" s="69">
        <f t="shared" ref="F220:F227" si="61">B220-D220</f>
        <v>96865238.5</v>
      </c>
      <c r="G220" s="63">
        <f t="shared" si="27"/>
        <v>0.2370481020245534</v>
      </c>
      <c r="H220" s="63">
        <f t="shared" ref="H220:H227" si="62">F220/B220</f>
        <v>0.55834047311172597</v>
      </c>
      <c r="I220" s="69">
        <f>B220-D220/0.65</f>
        <v>55606957.20769231</v>
      </c>
      <c r="J220" s="63">
        <v>0.25</v>
      </c>
      <c r="K220" s="69">
        <f t="shared" si="24"/>
        <v>41705217.905769229</v>
      </c>
    </row>
    <row r="221" spans="1:11" x14ac:dyDescent="0.25">
      <c r="A221" s="65">
        <v>43830</v>
      </c>
      <c r="B221" s="67">
        <f>营业收入分析!K11</f>
        <v>180426687.71000001</v>
      </c>
      <c r="C221" s="66">
        <f t="shared" si="58"/>
        <v>3.9996635924073431E-2</v>
      </c>
      <c r="D221" s="67">
        <f>营业成本分析!K11</f>
        <v>83721855.219999999</v>
      </c>
      <c r="E221" s="66">
        <f t="shared" si="26"/>
        <v>9.2653342615617057E-2</v>
      </c>
      <c r="F221" s="69">
        <f t="shared" si="61"/>
        <v>96704832.49000001</v>
      </c>
      <c r="G221" s="63">
        <f t="shared" si="27"/>
        <v>-1.6559708362251177E-3</v>
      </c>
      <c r="H221" s="63">
        <f t="shared" si="62"/>
        <v>0.53597853908083593</v>
      </c>
      <c r="I221" s="69">
        <f t="shared" ref="I221:I239" si="63">B221-D221/0.65</f>
        <v>51623833.525384635</v>
      </c>
      <c r="J221" s="63">
        <v>0.25</v>
      </c>
      <c r="K221" s="69">
        <f t="shared" si="24"/>
        <v>38717875.144038476</v>
      </c>
    </row>
    <row r="222" spans="1:11" s="71" customFormat="1" x14ac:dyDescent="0.25">
      <c r="A222" s="72">
        <v>43831</v>
      </c>
      <c r="B222" s="91">
        <f>营业收入分析!K12</f>
        <v>43316562.229999997</v>
      </c>
      <c r="C222" s="74">
        <f t="shared" si="58"/>
        <v>-0.75992153500250059</v>
      </c>
      <c r="D222" s="91">
        <f>营业成本分析!K12</f>
        <v>0</v>
      </c>
      <c r="E222" s="74">
        <f t="shared" si="26"/>
        <v>-1</v>
      </c>
      <c r="F222" s="92">
        <f t="shared" si="61"/>
        <v>43316562.229999997</v>
      </c>
      <c r="G222" s="93">
        <f t="shared" si="27"/>
        <v>-0.55207448154693561</v>
      </c>
      <c r="H222" s="93">
        <f t="shared" si="62"/>
        <v>1</v>
      </c>
      <c r="I222" s="92">
        <f t="shared" si="63"/>
        <v>43316562.229999997</v>
      </c>
      <c r="J222" s="93">
        <v>0.25</v>
      </c>
      <c r="K222" s="92">
        <f t="shared" si="24"/>
        <v>32487421.672499999</v>
      </c>
    </row>
    <row r="223" spans="1:11" x14ac:dyDescent="0.25">
      <c r="A223" s="85">
        <f>A14+1</f>
        <v>2021</v>
      </c>
      <c r="B223" s="67">
        <f>B221*0.5</f>
        <v>90213343.855000004</v>
      </c>
      <c r="C223" s="66">
        <f t="shared" si="58"/>
        <v>1.0826524361741809</v>
      </c>
      <c r="D223" s="67">
        <f>B223*0.45</f>
        <v>40596004.734750003</v>
      </c>
      <c r="E223" s="66" t="e">
        <f t="shared" si="26"/>
        <v>#DIV/0!</v>
      </c>
      <c r="F223" s="69">
        <f t="shared" si="61"/>
        <v>49617339.120250002</v>
      </c>
      <c r="G223" s="63">
        <f t="shared" si="27"/>
        <v>0.1454588398957995</v>
      </c>
      <c r="H223" s="63">
        <f t="shared" si="62"/>
        <v>0.55000000000000004</v>
      </c>
      <c r="I223" s="69">
        <f t="shared" si="63"/>
        <v>27757951.95538462</v>
      </c>
      <c r="J223" s="63">
        <v>0.25</v>
      </c>
      <c r="K223" s="69">
        <f t="shared" si="24"/>
        <v>20818463.966538467</v>
      </c>
    </row>
    <row r="224" spans="1:11" x14ac:dyDescent="0.25">
      <c r="A224" s="85">
        <f>A223+1</f>
        <v>2022</v>
      </c>
      <c r="B224" s="67">
        <f>B221*0.8</f>
        <v>144341350.16800001</v>
      </c>
      <c r="C224" s="66">
        <f t="shared" si="58"/>
        <v>0.60000000000000009</v>
      </c>
      <c r="D224" s="67">
        <f>B224*0.45</f>
        <v>64953607.575600006</v>
      </c>
      <c r="E224" s="66">
        <f>(D224-D223)/D223</f>
        <v>0.60000000000000009</v>
      </c>
      <c r="F224" s="69">
        <f t="shared" si="61"/>
        <v>79387742.592400014</v>
      </c>
      <c r="G224" s="63">
        <f>(F224-F223)/F223</f>
        <v>0.6000000000000002</v>
      </c>
      <c r="H224" s="63">
        <f t="shared" si="62"/>
        <v>0.55000000000000004</v>
      </c>
      <c r="I224" s="69">
        <f t="shared" si="63"/>
        <v>44412723.128615394</v>
      </c>
      <c r="J224" s="63">
        <v>0.25</v>
      </c>
      <c r="K224" s="69">
        <f>I224*(1-J224)</f>
        <v>33309542.346461546</v>
      </c>
    </row>
    <row r="225" spans="1:11" x14ac:dyDescent="0.25">
      <c r="A225" s="85">
        <f>A224+1</f>
        <v>2023</v>
      </c>
      <c r="B225" s="67">
        <f>B224*1.2</f>
        <v>173209620.20160002</v>
      </c>
      <c r="C225" s="66">
        <f t="shared" si="58"/>
        <v>0.2</v>
      </c>
      <c r="D225" s="67">
        <f>B225*0.45</f>
        <v>77944329.090720013</v>
      </c>
      <c r="E225" s="66">
        <f>(D225-D224)/D224</f>
        <v>0.20000000000000009</v>
      </c>
      <c r="F225" s="69">
        <f t="shared" si="61"/>
        <v>95265291.110880002</v>
      </c>
      <c r="G225" s="63">
        <f>(F225-F224)/F224</f>
        <v>0.19999999999999982</v>
      </c>
      <c r="H225" s="63">
        <f t="shared" si="62"/>
        <v>0.54999999999999993</v>
      </c>
      <c r="I225" s="69">
        <f t="shared" si="63"/>
        <v>53295267.754338458</v>
      </c>
      <c r="J225" s="63">
        <v>0.25</v>
      </c>
      <c r="K225" s="69">
        <f>I225*(1-J225)</f>
        <v>39971450.815753847</v>
      </c>
    </row>
    <row r="226" spans="1:11" x14ac:dyDescent="0.25">
      <c r="A226" s="85">
        <f>A225+1</f>
        <v>2024</v>
      </c>
      <c r="B226" s="67">
        <f>B225*1.2</f>
        <v>207851544.24192002</v>
      </c>
      <c r="C226" s="66">
        <f t="shared" si="58"/>
        <v>0.20000000000000004</v>
      </c>
      <c r="D226" s="67">
        <f>B226*0.45</f>
        <v>93533194.908864006</v>
      </c>
      <c r="E226" s="66">
        <f>(D226-D225)/D225</f>
        <v>0.19999999999999987</v>
      </c>
      <c r="F226" s="69">
        <f t="shared" si="61"/>
        <v>114318349.33305602</v>
      </c>
      <c r="G226" s="63">
        <f>(F226-F225)/F225</f>
        <v>0.20000000000000015</v>
      </c>
      <c r="H226" s="63">
        <f t="shared" si="62"/>
        <v>0.55000000000000004</v>
      </c>
      <c r="I226" s="69">
        <f t="shared" si="63"/>
        <v>63954321.30520618</v>
      </c>
      <c r="J226" s="63">
        <v>0.25</v>
      </c>
      <c r="K226" s="69">
        <f>I226*(1-J226)</f>
        <v>47965740.978904635</v>
      </c>
    </row>
    <row r="227" spans="1:11" x14ac:dyDescent="0.25">
      <c r="A227" s="85">
        <f>A226+1</f>
        <v>2025</v>
      </c>
      <c r="B227" s="67">
        <f>B226*1.2</f>
        <v>249421853.09030402</v>
      </c>
      <c r="C227" s="66">
        <f t="shared" si="58"/>
        <v>0.19999999999999996</v>
      </c>
      <c r="D227" s="67">
        <f>B227*0.45</f>
        <v>112239833.89063682</v>
      </c>
      <c r="E227" s="66">
        <f>(D227-D226)/D226</f>
        <v>0.20000000000000009</v>
      </c>
      <c r="F227" s="69">
        <f t="shared" si="61"/>
        <v>137182019.19966722</v>
      </c>
      <c r="G227" s="63">
        <f>(F227-F226)/F226</f>
        <v>0.19999999999999996</v>
      </c>
      <c r="H227" s="63">
        <f t="shared" si="62"/>
        <v>0.55000000000000004</v>
      </c>
      <c r="I227" s="69">
        <f t="shared" si="63"/>
        <v>76745185.566247374</v>
      </c>
      <c r="J227" s="63">
        <v>0.25</v>
      </c>
      <c r="K227" s="69">
        <f>I227*(1-J227)</f>
        <v>57558889.17468553</v>
      </c>
    </row>
    <row r="228" spans="1:11" x14ac:dyDescent="0.25">
      <c r="C228" s="66">
        <f>(B228-B222)/B222</f>
        <v>-1</v>
      </c>
      <c r="E228" s="66" t="e">
        <f>(D228-D222)/D222</f>
        <v>#DIV/0!</v>
      </c>
      <c r="G228" s="63">
        <f>(F228-F222)/F222</f>
        <v>-1</v>
      </c>
      <c r="I228" s="69">
        <f t="shared" si="63"/>
        <v>0</v>
      </c>
      <c r="J228" s="63">
        <v>0.25</v>
      </c>
      <c r="K228" s="69">
        <f t="shared" ref="K228:K270" si="64">I228*(1-J228)</f>
        <v>0</v>
      </c>
    </row>
    <row r="229" spans="1:11" x14ac:dyDescent="0.25">
      <c r="A229" s="67" t="str">
        <f>营业收入分析!L1</f>
        <v>设计策划费</v>
      </c>
      <c r="C229" s="66" t="e">
        <f>(B229-B228)/B228</f>
        <v>#DIV/0!</v>
      </c>
      <c r="E229" s="66" t="e">
        <f t="shared" ref="E229:E290" si="65">(D229-D228)/D228</f>
        <v>#DIV/0!</v>
      </c>
      <c r="G229" s="63" t="e">
        <f t="shared" ref="G229:G290" si="66">(F229-F228)/F228</f>
        <v>#DIV/0!</v>
      </c>
      <c r="I229" s="69">
        <f t="shared" si="63"/>
        <v>0</v>
      </c>
      <c r="J229" s="63">
        <v>0.25</v>
      </c>
      <c r="K229" s="69">
        <f t="shared" si="64"/>
        <v>0</v>
      </c>
    </row>
    <row r="230" spans="1:11" ht="31.5" x14ac:dyDescent="0.25">
      <c r="A230" s="64" t="s">
        <v>72</v>
      </c>
      <c r="B230" s="60" t="s">
        <v>82</v>
      </c>
      <c r="C230" s="60" t="s">
        <v>87</v>
      </c>
      <c r="D230" t="s">
        <v>83</v>
      </c>
      <c r="E230" t="s">
        <v>88</v>
      </c>
      <c r="F230" t="s">
        <v>84</v>
      </c>
      <c r="G230" t="s">
        <v>89</v>
      </c>
      <c r="H230" t="s">
        <v>85</v>
      </c>
      <c r="I230" s="107" t="s">
        <v>245</v>
      </c>
      <c r="J230" s="107" t="s">
        <v>246</v>
      </c>
      <c r="K230" t="s">
        <v>49</v>
      </c>
    </row>
    <row r="231" spans="1:11" x14ac:dyDescent="0.25">
      <c r="A231" s="65">
        <v>40543</v>
      </c>
      <c r="B231" s="67">
        <f>营业收入分析!L2</f>
        <v>0</v>
      </c>
      <c r="C231" s="66" t="e">
        <f t="shared" ref="C231:C255" si="67">(B231-B230)/B230</f>
        <v>#VALUE!</v>
      </c>
      <c r="D231" s="67">
        <f>营业成本分析!L2</f>
        <v>0</v>
      </c>
      <c r="E231" s="66" t="e">
        <f t="shared" si="65"/>
        <v>#VALUE!</v>
      </c>
      <c r="F231" s="69">
        <f t="shared" ref="F231:F238" si="68">B231-D231</f>
        <v>0</v>
      </c>
      <c r="G231" s="63" t="e">
        <f t="shared" si="66"/>
        <v>#VALUE!</v>
      </c>
      <c r="H231" s="63" t="e">
        <f t="shared" ref="H231:H238" si="69">F231/B231</f>
        <v>#DIV/0!</v>
      </c>
      <c r="I231" s="69">
        <f t="shared" si="63"/>
        <v>0</v>
      </c>
      <c r="J231" s="63">
        <v>0.25</v>
      </c>
      <c r="K231" s="69">
        <f t="shared" si="64"/>
        <v>0</v>
      </c>
    </row>
    <row r="232" spans="1:11" x14ac:dyDescent="0.25">
      <c r="A232" s="65">
        <v>40908</v>
      </c>
      <c r="B232" s="67">
        <f>营业收入分析!L3</f>
        <v>0</v>
      </c>
      <c r="C232" s="66" t="e">
        <f t="shared" si="67"/>
        <v>#DIV/0!</v>
      </c>
      <c r="D232" s="67">
        <f>营业成本分析!L3</f>
        <v>0</v>
      </c>
      <c r="E232" s="66" t="e">
        <f t="shared" si="65"/>
        <v>#DIV/0!</v>
      </c>
      <c r="F232" s="69">
        <f t="shared" si="68"/>
        <v>0</v>
      </c>
      <c r="G232" s="63" t="e">
        <f t="shared" si="66"/>
        <v>#DIV/0!</v>
      </c>
      <c r="H232" s="63" t="e">
        <f t="shared" si="69"/>
        <v>#DIV/0!</v>
      </c>
      <c r="I232" s="69">
        <f t="shared" si="63"/>
        <v>0</v>
      </c>
      <c r="J232" s="63">
        <v>0.25</v>
      </c>
      <c r="K232" s="69">
        <f t="shared" si="64"/>
        <v>0</v>
      </c>
    </row>
    <row r="233" spans="1:11" x14ac:dyDescent="0.25">
      <c r="A233" s="65">
        <v>41274</v>
      </c>
      <c r="B233" s="67">
        <f>营业收入分析!L4</f>
        <v>0</v>
      </c>
      <c r="C233" s="66" t="e">
        <f t="shared" si="67"/>
        <v>#DIV/0!</v>
      </c>
      <c r="D233" s="67">
        <f>营业成本分析!L4</f>
        <v>0</v>
      </c>
      <c r="E233" s="66" t="e">
        <f t="shared" si="65"/>
        <v>#DIV/0!</v>
      </c>
      <c r="F233" s="69">
        <f t="shared" si="68"/>
        <v>0</v>
      </c>
      <c r="G233" s="63" t="e">
        <f t="shared" si="66"/>
        <v>#DIV/0!</v>
      </c>
      <c r="H233" s="63" t="e">
        <f t="shared" si="69"/>
        <v>#DIV/0!</v>
      </c>
      <c r="I233" s="69">
        <f t="shared" si="63"/>
        <v>0</v>
      </c>
      <c r="J233" s="63">
        <v>0.25</v>
      </c>
      <c r="K233" s="69">
        <f t="shared" si="64"/>
        <v>0</v>
      </c>
    </row>
    <row r="234" spans="1:11" x14ac:dyDescent="0.25">
      <c r="A234" s="65">
        <v>41639</v>
      </c>
      <c r="B234" s="67">
        <f>营业收入分析!L5</f>
        <v>12264150.6</v>
      </c>
      <c r="C234" s="66" t="e">
        <f t="shared" si="67"/>
        <v>#DIV/0!</v>
      </c>
      <c r="D234" s="67">
        <f>营业成本分析!L5</f>
        <v>0</v>
      </c>
      <c r="E234" s="66" t="e">
        <f t="shared" si="65"/>
        <v>#DIV/0!</v>
      </c>
      <c r="F234" s="69">
        <f t="shared" si="68"/>
        <v>12264150.6</v>
      </c>
      <c r="G234" s="63" t="e">
        <f t="shared" si="66"/>
        <v>#DIV/0!</v>
      </c>
      <c r="H234" s="63">
        <f t="shared" si="69"/>
        <v>1</v>
      </c>
      <c r="I234" s="69">
        <f t="shared" si="63"/>
        <v>12264150.6</v>
      </c>
      <c r="J234" s="63">
        <v>0.25</v>
      </c>
      <c r="K234" s="69">
        <f t="shared" si="64"/>
        <v>9198112.9499999993</v>
      </c>
    </row>
    <row r="235" spans="1:11" x14ac:dyDescent="0.25">
      <c r="A235" s="65">
        <v>42004</v>
      </c>
      <c r="B235" s="67">
        <f>营业收入分析!L6</f>
        <v>10808503.359999999</v>
      </c>
      <c r="C235" s="66">
        <f t="shared" si="67"/>
        <v>-0.11869123981566243</v>
      </c>
      <c r="D235" s="67">
        <f>营业成本分析!L6</f>
        <v>10808503.359999999</v>
      </c>
      <c r="E235" s="66" t="e">
        <f t="shared" si="65"/>
        <v>#DIV/0!</v>
      </c>
      <c r="F235" s="69">
        <f t="shared" si="68"/>
        <v>0</v>
      </c>
      <c r="G235" s="63">
        <f t="shared" si="66"/>
        <v>-1</v>
      </c>
      <c r="H235" s="63">
        <f t="shared" si="69"/>
        <v>0</v>
      </c>
      <c r="I235" s="69">
        <f t="shared" si="63"/>
        <v>-5819963.3476923071</v>
      </c>
      <c r="J235" s="63">
        <v>0.25</v>
      </c>
      <c r="K235" s="69">
        <f t="shared" si="64"/>
        <v>-4364972.5107692303</v>
      </c>
    </row>
    <row r="236" spans="1:11" x14ac:dyDescent="0.25">
      <c r="A236" s="65">
        <v>42369</v>
      </c>
      <c r="B236" s="67">
        <f>营业收入分析!L7</f>
        <v>17063305.18</v>
      </c>
      <c r="C236" s="66">
        <f t="shared" si="67"/>
        <v>0.57869268405353025</v>
      </c>
      <c r="D236" s="67">
        <f>营业成本分析!L7</f>
        <v>17063305.18</v>
      </c>
      <c r="E236" s="66">
        <f t="shared" si="65"/>
        <v>0.57869268405353025</v>
      </c>
      <c r="F236" s="69">
        <f t="shared" si="68"/>
        <v>0</v>
      </c>
      <c r="G236" s="63" t="e">
        <f t="shared" si="66"/>
        <v>#DIV/0!</v>
      </c>
      <c r="H236" s="63">
        <f t="shared" si="69"/>
        <v>0</v>
      </c>
      <c r="I236" s="69">
        <f t="shared" si="63"/>
        <v>-9187933.5584615357</v>
      </c>
      <c r="J236" s="63">
        <v>0.25</v>
      </c>
      <c r="K236" s="69">
        <f t="shared" si="64"/>
        <v>-6890950.1688461518</v>
      </c>
    </row>
    <row r="237" spans="1:11" x14ac:dyDescent="0.25">
      <c r="A237" s="65">
        <v>42735</v>
      </c>
      <c r="B237" s="67">
        <f>营业收入分析!L8</f>
        <v>123204706.73999999</v>
      </c>
      <c r="C237" s="66">
        <f t="shared" si="67"/>
        <v>6.22044794020381</v>
      </c>
      <c r="D237" s="67">
        <f>营业成本分析!L8</f>
        <v>60553179.460000001</v>
      </c>
      <c r="E237" s="66">
        <f t="shared" si="65"/>
        <v>2.548736825675177</v>
      </c>
      <c r="F237" s="69">
        <f t="shared" si="68"/>
        <v>62651527.279999994</v>
      </c>
      <c r="G237" s="63" t="e">
        <f t="shared" si="66"/>
        <v>#DIV/0!</v>
      </c>
      <c r="H237" s="63">
        <f t="shared" si="69"/>
        <v>0.50851569666258023</v>
      </c>
      <c r="I237" s="69">
        <f t="shared" si="63"/>
        <v>30045969.109230772</v>
      </c>
      <c r="J237" s="63">
        <v>0.25</v>
      </c>
      <c r="K237" s="69">
        <f t="shared" si="64"/>
        <v>22534476.831923079</v>
      </c>
    </row>
    <row r="238" spans="1:11" x14ac:dyDescent="0.25">
      <c r="A238" s="65">
        <v>43100</v>
      </c>
      <c r="B238" s="67">
        <f>营业收入分析!L9</f>
        <v>163152259.15000001</v>
      </c>
      <c r="C238" s="66">
        <f t="shared" si="67"/>
        <v>0.32423722653958092</v>
      </c>
      <c r="D238" s="67">
        <f>营业成本分析!L9</f>
        <v>71633764.200000003</v>
      </c>
      <c r="E238" s="66">
        <f t="shared" si="65"/>
        <v>0.18298931350614833</v>
      </c>
      <c r="F238" s="69">
        <f t="shared" si="68"/>
        <v>91518494.950000003</v>
      </c>
      <c r="G238" s="63">
        <f t="shared" si="66"/>
        <v>0.46075441291301289</v>
      </c>
      <c r="H238" s="63">
        <f t="shared" si="69"/>
        <v>0.56093918298648338</v>
      </c>
      <c r="I238" s="69">
        <f t="shared" si="63"/>
        <v>52946468.073076934</v>
      </c>
      <c r="J238" s="63">
        <v>0.25</v>
      </c>
      <c r="K238" s="69">
        <f t="shared" si="64"/>
        <v>39709851.0548077</v>
      </c>
    </row>
    <row r="239" spans="1:11" x14ac:dyDescent="0.25">
      <c r="A239" s="65">
        <v>43465</v>
      </c>
      <c r="B239" s="67">
        <f>营业收入分析!L10</f>
        <v>126677207.77</v>
      </c>
      <c r="C239" s="66">
        <f t="shared" si="67"/>
        <v>-0.22356448859506955</v>
      </c>
      <c r="D239" s="67">
        <f>营业成本分析!L10</f>
        <v>3971181.71</v>
      </c>
      <c r="E239" s="66">
        <f t="shared" si="65"/>
        <v>-0.9445627106944634</v>
      </c>
      <c r="F239" s="69">
        <f t="shared" ref="F239:F246" si="70">B239-D239</f>
        <v>122706026.06</v>
      </c>
      <c r="G239" s="63">
        <f t="shared" si="66"/>
        <v>0.34077845278201879</v>
      </c>
      <c r="H239" s="63">
        <f t="shared" ref="H239:H246" si="71">F239/B239</f>
        <v>0.9686511742727214</v>
      </c>
      <c r="I239" s="69">
        <f t="shared" si="63"/>
        <v>120567697.44692308</v>
      </c>
      <c r="J239" s="63">
        <v>0.25</v>
      </c>
      <c r="K239" s="69">
        <f t="shared" si="64"/>
        <v>90425773.085192308</v>
      </c>
    </row>
    <row r="240" spans="1:11" x14ac:dyDescent="0.25">
      <c r="A240" s="65">
        <v>43830</v>
      </c>
      <c r="B240" s="67">
        <f>营业收入分析!L11</f>
        <v>173281416.46000001</v>
      </c>
      <c r="C240" s="66">
        <f t="shared" si="67"/>
        <v>0.36789734720563466</v>
      </c>
      <c r="D240" s="67">
        <f>营业成本分析!L11</f>
        <v>2204769.83</v>
      </c>
      <c r="E240" s="66">
        <f t="shared" si="65"/>
        <v>-0.44480761873774843</v>
      </c>
      <c r="F240" s="69">
        <f t="shared" si="70"/>
        <v>171076646.63</v>
      </c>
      <c r="G240" s="63">
        <f t="shared" si="66"/>
        <v>0.39419922658360756</v>
      </c>
      <c r="H240" s="63">
        <f t="shared" si="71"/>
        <v>0.98727636306857547</v>
      </c>
      <c r="I240" s="69">
        <f>B240-D240/0.65</f>
        <v>169889462.87538463</v>
      </c>
      <c r="J240" s="63">
        <v>0.25</v>
      </c>
      <c r="K240" s="69">
        <f t="shared" si="64"/>
        <v>127417097.15653847</v>
      </c>
    </row>
    <row r="241" spans="1:11" s="71" customFormat="1" x14ac:dyDescent="0.25">
      <c r="A241" s="72">
        <v>43831</v>
      </c>
      <c r="B241" s="91">
        <f>营业收入分析!L12</f>
        <v>183396698.05000001</v>
      </c>
      <c r="C241" s="74">
        <f t="shared" si="67"/>
        <v>5.8374878256694067E-2</v>
      </c>
      <c r="D241" s="91">
        <f>营业成本分析!L12</f>
        <v>8113082.5499999998</v>
      </c>
      <c r="E241" s="74">
        <f t="shared" si="65"/>
        <v>2.679786633328523</v>
      </c>
      <c r="F241" s="92">
        <f t="shared" si="70"/>
        <v>175283615.5</v>
      </c>
      <c r="G241" s="93">
        <f t="shared" si="66"/>
        <v>2.4591134750839048E-2</v>
      </c>
      <c r="H241" s="93">
        <f t="shared" si="71"/>
        <v>0.95576211220668694</v>
      </c>
      <c r="I241" s="92">
        <f t="shared" ref="I241:I259" si="72">B241-D241/0.65</f>
        <v>170915032.58846155</v>
      </c>
      <c r="J241" s="93">
        <v>0.25</v>
      </c>
      <c r="K241" s="92">
        <f t="shared" si="64"/>
        <v>128186274.44134617</v>
      </c>
    </row>
    <row r="242" spans="1:11" x14ac:dyDescent="0.25">
      <c r="A242" s="85">
        <f>A14+1</f>
        <v>2021</v>
      </c>
      <c r="B242" s="67">
        <f>B241</f>
        <v>183396698.05000001</v>
      </c>
      <c r="C242" s="66">
        <f t="shared" si="67"/>
        <v>0</v>
      </c>
      <c r="D242" s="67">
        <f>B242*0.1</f>
        <v>18339669.805000003</v>
      </c>
      <c r="E242" s="66">
        <f t="shared" si="65"/>
        <v>1.2605057562245565</v>
      </c>
      <c r="F242" s="69">
        <f t="shared" si="70"/>
        <v>165057028.245</v>
      </c>
      <c r="G242" s="63">
        <f t="shared" si="66"/>
        <v>-5.8343087149523083E-2</v>
      </c>
      <c r="H242" s="63">
        <f t="shared" si="71"/>
        <v>0.9</v>
      </c>
      <c r="I242" s="69">
        <f t="shared" si="72"/>
        <v>155181821.4269231</v>
      </c>
      <c r="J242" s="63">
        <v>0.25</v>
      </c>
      <c r="K242" s="69">
        <f t="shared" si="64"/>
        <v>116386366.07019232</v>
      </c>
    </row>
    <row r="243" spans="1:11" x14ac:dyDescent="0.25">
      <c r="A243" s="85">
        <f>A242+1</f>
        <v>2022</v>
      </c>
      <c r="B243" s="67">
        <f>B242*1.1</f>
        <v>201736367.85500002</v>
      </c>
      <c r="C243" s="66">
        <f t="shared" si="67"/>
        <v>0.10000000000000003</v>
      </c>
      <c r="D243" s="67">
        <f>B243*0.1</f>
        <v>20173636.785500005</v>
      </c>
      <c r="E243" s="66">
        <f t="shared" si="65"/>
        <v>0.10000000000000006</v>
      </c>
      <c r="F243" s="69">
        <f t="shared" si="70"/>
        <v>181562731.06950003</v>
      </c>
      <c r="G243" s="63">
        <f t="shared" si="66"/>
        <v>0.10000000000000014</v>
      </c>
      <c r="H243" s="63">
        <f t="shared" si="71"/>
        <v>0.9</v>
      </c>
      <c r="I243" s="69">
        <f t="shared" si="72"/>
        <v>170700003.56961539</v>
      </c>
      <c r="J243" s="63">
        <v>0.25</v>
      </c>
      <c r="K243" s="69">
        <f t="shared" si="64"/>
        <v>128025002.67721155</v>
      </c>
    </row>
    <row r="244" spans="1:11" x14ac:dyDescent="0.25">
      <c r="A244" s="85">
        <f>A243+1</f>
        <v>2023</v>
      </c>
      <c r="B244" s="67">
        <f>B243*1.1</f>
        <v>221910004.64050004</v>
      </c>
      <c r="C244" s="66">
        <f t="shared" si="67"/>
        <v>0.10000000000000009</v>
      </c>
      <c r="D244" s="67">
        <f>B244*0.1</f>
        <v>22191000.464050006</v>
      </c>
      <c r="E244" s="66">
        <f t="shared" si="65"/>
        <v>0.10000000000000003</v>
      </c>
      <c r="F244" s="69">
        <f t="shared" si="70"/>
        <v>199719004.17645004</v>
      </c>
      <c r="G244" s="63">
        <f t="shared" si="66"/>
        <v>0.10000000000000006</v>
      </c>
      <c r="H244" s="63">
        <f t="shared" si="71"/>
        <v>0.9</v>
      </c>
      <c r="I244" s="69">
        <f t="shared" si="72"/>
        <v>187770003.92657697</v>
      </c>
      <c r="J244" s="63">
        <v>0.25</v>
      </c>
      <c r="K244" s="69">
        <f t="shared" si="64"/>
        <v>140827502.94493273</v>
      </c>
    </row>
    <row r="245" spans="1:11" x14ac:dyDescent="0.25">
      <c r="A245" s="85">
        <f>A244+1</f>
        <v>2024</v>
      </c>
      <c r="B245" s="67">
        <f>B244*1.1</f>
        <v>244101005.10455006</v>
      </c>
      <c r="C245" s="66">
        <f t="shared" si="67"/>
        <v>0.10000000000000009</v>
      </c>
      <c r="D245" s="67">
        <f>B245*0.1</f>
        <v>24410100.510455009</v>
      </c>
      <c r="E245" s="66">
        <f t="shared" si="65"/>
        <v>0.10000000000000009</v>
      </c>
      <c r="F245" s="69">
        <f t="shared" si="70"/>
        <v>219690904.59409505</v>
      </c>
      <c r="G245" s="63">
        <f t="shared" si="66"/>
        <v>0.10000000000000002</v>
      </c>
      <c r="H245" s="63">
        <f t="shared" si="71"/>
        <v>0.9</v>
      </c>
      <c r="I245" s="69">
        <f t="shared" si="72"/>
        <v>206547004.31923467</v>
      </c>
      <c r="J245" s="63">
        <v>0.25</v>
      </c>
      <c r="K245" s="69">
        <f t="shared" si="64"/>
        <v>154910253.23942602</v>
      </c>
    </row>
    <row r="246" spans="1:11" x14ac:dyDescent="0.25">
      <c r="A246" s="85">
        <f>A245+1</f>
        <v>2025</v>
      </c>
      <c r="B246" s="67">
        <f>B245*1.1</f>
        <v>268511105.61500508</v>
      </c>
      <c r="C246" s="66">
        <f t="shared" si="67"/>
        <v>0.10000000000000002</v>
      </c>
      <c r="D246" s="67">
        <f>B246*0.1</f>
        <v>26851110.561500508</v>
      </c>
      <c r="E246" s="66">
        <f t="shared" si="65"/>
        <v>9.999999999999995E-2</v>
      </c>
      <c r="F246" s="69">
        <f t="shared" si="70"/>
        <v>241659995.05350456</v>
      </c>
      <c r="G246" s="63">
        <f t="shared" si="66"/>
        <v>0.1</v>
      </c>
      <c r="H246" s="63">
        <f t="shared" si="71"/>
        <v>0.89999999999999991</v>
      </c>
      <c r="I246" s="69">
        <f t="shared" si="72"/>
        <v>227201704.75115815</v>
      </c>
      <c r="J246" s="63">
        <v>0.25</v>
      </c>
      <c r="K246" s="69">
        <f t="shared" si="64"/>
        <v>170401278.56336862</v>
      </c>
    </row>
    <row r="247" spans="1:11" x14ac:dyDescent="0.25">
      <c r="C247" s="66">
        <f>(B247-B241)/B241</f>
        <v>-1</v>
      </c>
      <c r="E247" s="66">
        <f>(D247-D241)/D241</f>
        <v>-1</v>
      </c>
      <c r="G247" s="63">
        <f>(F247-F241)/F241</f>
        <v>-1</v>
      </c>
      <c r="I247" s="69">
        <f t="shared" si="72"/>
        <v>0</v>
      </c>
      <c r="J247" s="63">
        <v>0.25</v>
      </c>
      <c r="K247" s="69">
        <f t="shared" si="64"/>
        <v>0</v>
      </c>
    </row>
    <row r="248" spans="1:11" x14ac:dyDescent="0.25">
      <c r="C248" s="66" t="e">
        <f t="shared" si="67"/>
        <v>#DIV/0!</v>
      </c>
      <c r="E248" s="66" t="e">
        <f t="shared" si="65"/>
        <v>#DIV/0!</v>
      </c>
      <c r="G248" s="63" t="e">
        <f t="shared" si="66"/>
        <v>#DIV/0!</v>
      </c>
      <c r="I248" s="69">
        <f t="shared" si="72"/>
        <v>0</v>
      </c>
      <c r="J248" s="63">
        <v>0.25</v>
      </c>
      <c r="K248" s="69">
        <f t="shared" si="64"/>
        <v>0</v>
      </c>
    </row>
    <row r="249" spans="1:11" x14ac:dyDescent="0.25">
      <c r="C249" s="66" t="e">
        <f t="shared" si="67"/>
        <v>#DIV/0!</v>
      </c>
      <c r="E249" s="66" t="e">
        <f t="shared" si="65"/>
        <v>#DIV/0!</v>
      </c>
      <c r="G249" s="63" t="e">
        <f t="shared" si="66"/>
        <v>#DIV/0!</v>
      </c>
      <c r="I249" s="69">
        <f t="shared" si="72"/>
        <v>0</v>
      </c>
      <c r="J249" s="63">
        <v>0.25</v>
      </c>
      <c r="K249" s="69">
        <f t="shared" si="64"/>
        <v>0</v>
      </c>
    </row>
    <row r="250" spans="1:11" x14ac:dyDescent="0.25">
      <c r="C250" s="66" t="e">
        <f t="shared" si="67"/>
        <v>#DIV/0!</v>
      </c>
      <c r="E250" s="66" t="e">
        <f t="shared" si="65"/>
        <v>#DIV/0!</v>
      </c>
      <c r="G250" s="63" t="e">
        <f t="shared" si="66"/>
        <v>#DIV/0!</v>
      </c>
      <c r="I250" s="69">
        <f t="shared" si="72"/>
        <v>0</v>
      </c>
      <c r="J250" s="63">
        <v>0.25</v>
      </c>
      <c r="K250" s="69">
        <f t="shared" si="64"/>
        <v>0</v>
      </c>
    </row>
    <row r="251" spans="1:11" x14ac:dyDescent="0.25">
      <c r="C251" s="66" t="e">
        <f t="shared" si="67"/>
        <v>#DIV/0!</v>
      </c>
      <c r="E251" s="66" t="e">
        <f t="shared" si="65"/>
        <v>#DIV/0!</v>
      </c>
      <c r="G251" s="63" t="e">
        <f t="shared" si="66"/>
        <v>#DIV/0!</v>
      </c>
      <c r="I251" s="69">
        <f t="shared" si="72"/>
        <v>0</v>
      </c>
      <c r="J251" s="63">
        <v>0.25</v>
      </c>
      <c r="K251" s="69">
        <f t="shared" si="64"/>
        <v>0</v>
      </c>
    </row>
    <row r="252" spans="1:11" x14ac:dyDescent="0.25">
      <c r="C252" s="66" t="e">
        <f t="shared" si="67"/>
        <v>#DIV/0!</v>
      </c>
      <c r="E252" s="66" t="e">
        <f t="shared" si="65"/>
        <v>#DIV/0!</v>
      </c>
      <c r="G252" s="63" t="e">
        <f t="shared" si="66"/>
        <v>#DIV/0!</v>
      </c>
      <c r="I252" s="69">
        <f t="shared" si="72"/>
        <v>0</v>
      </c>
      <c r="J252" s="63">
        <v>0.25</v>
      </c>
      <c r="K252" s="69">
        <f t="shared" si="64"/>
        <v>0</v>
      </c>
    </row>
    <row r="253" spans="1:11" x14ac:dyDescent="0.25">
      <c r="A253" s="67" t="str">
        <f>营业收入分析!M1</f>
        <v>其他</v>
      </c>
      <c r="C253" s="66" t="e">
        <f t="shared" si="67"/>
        <v>#DIV/0!</v>
      </c>
      <c r="E253" s="66" t="e">
        <f t="shared" si="65"/>
        <v>#DIV/0!</v>
      </c>
      <c r="G253" s="63" t="e">
        <f t="shared" si="66"/>
        <v>#DIV/0!</v>
      </c>
      <c r="I253" s="69">
        <f t="shared" si="72"/>
        <v>0</v>
      </c>
      <c r="J253" s="63">
        <v>0.25</v>
      </c>
      <c r="K253" s="69">
        <f t="shared" si="64"/>
        <v>0</v>
      </c>
    </row>
    <row r="254" spans="1:11" ht="31.5" x14ac:dyDescent="0.25">
      <c r="A254" s="64" t="s">
        <v>72</v>
      </c>
      <c r="B254" s="60" t="s">
        <v>82</v>
      </c>
      <c r="C254" s="60" t="s">
        <v>87</v>
      </c>
      <c r="D254" t="s">
        <v>83</v>
      </c>
      <c r="E254" t="s">
        <v>88</v>
      </c>
      <c r="F254" t="s">
        <v>84</v>
      </c>
      <c r="G254" t="s">
        <v>89</v>
      </c>
      <c r="H254" t="s">
        <v>85</v>
      </c>
      <c r="I254" s="107" t="s">
        <v>245</v>
      </c>
      <c r="J254" s="107" t="s">
        <v>246</v>
      </c>
      <c r="K254" t="s">
        <v>49</v>
      </c>
    </row>
    <row r="255" spans="1:11" x14ac:dyDescent="0.25">
      <c r="A255" s="65">
        <v>40543</v>
      </c>
      <c r="B255" s="67">
        <f>营业收入分析!M2</f>
        <v>27318676.609999999</v>
      </c>
      <c r="C255" s="66" t="e">
        <f t="shared" si="67"/>
        <v>#VALUE!</v>
      </c>
      <c r="D255">
        <f>营业成本分析!M2</f>
        <v>9411629.5800000001</v>
      </c>
      <c r="E255" s="66" t="e">
        <f t="shared" si="65"/>
        <v>#VALUE!</v>
      </c>
      <c r="F255" s="69">
        <f t="shared" ref="F255:F262" si="73">B255-D255</f>
        <v>17907047.030000001</v>
      </c>
      <c r="G255" s="63" t="e">
        <f t="shared" si="66"/>
        <v>#VALUE!</v>
      </c>
      <c r="H255" s="63">
        <f t="shared" ref="H255:H262" si="74">F255/B255</f>
        <v>0.65548735341905717</v>
      </c>
      <c r="I255" s="69">
        <f t="shared" si="72"/>
        <v>12839246.486923076</v>
      </c>
      <c r="J255" s="63">
        <v>0.25</v>
      </c>
      <c r="K255" s="69">
        <f t="shared" si="64"/>
        <v>9629434.8651923072</v>
      </c>
    </row>
    <row r="256" spans="1:11" x14ac:dyDescent="0.25">
      <c r="A256" s="65">
        <v>40908</v>
      </c>
      <c r="B256" s="67">
        <f>营业收入分析!M3</f>
        <v>36850714.939999998</v>
      </c>
      <c r="C256" s="66">
        <f>(B256-B255)/B255</f>
        <v>0.34892020818134345</v>
      </c>
      <c r="D256">
        <f>营业成本分析!M3</f>
        <v>6340001.4900000002</v>
      </c>
      <c r="E256" s="66">
        <f t="shared" si="65"/>
        <v>-0.32636517022804457</v>
      </c>
      <c r="F256" s="69">
        <f t="shared" si="73"/>
        <v>30510713.449999996</v>
      </c>
      <c r="G256" s="63">
        <f t="shared" si="66"/>
        <v>0.70383834916414989</v>
      </c>
      <c r="H256" s="63">
        <f t="shared" si="74"/>
        <v>0.82795445080718966</v>
      </c>
      <c r="I256" s="69">
        <f t="shared" si="72"/>
        <v>27096866.493846152</v>
      </c>
      <c r="J256" s="63">
        <v>0.25</v>
      </c>
      <c r="K256" s="69">
        <f t="shared" si="64"/>
        <v>20322649.870384615</v>
      </c>
    </row>
    <row r="257" spans="1:11" x14ac:dyDescent="0.25">
      <c r="A257" s="65">
        <v>41274</v>
      </c>
      <c r="B257" s="67">
        <f>营业收入分析!M4</f>
        <v>27623703.75</v>
      </c>
      <c r="C257" s="66">
        <f t="shared" ref="C257:C270" si="75">(B257-B256)/B256</f>
        <v>-0.25038893288836689</v>
      </c>
      <c r="D257">
        <f>营业成本分析!M4</f>
        <v>3999108.72</v>
      </c>
      <c r="E257" s="66">
        <f t="shared" si="65"/>
        <v>-0.36922590218507978</v>
      </c>
      <c r="F257" s="69">
        <f t="shared" si="73"/>
        <v>23624595.030000001</v>
      </c>
      <c r="G257" s="63">
        <f t="shared" si="66"/>
        <v>-0.22569509661859433</v>
      </c>
      <c r="H257" s="63">
        <f t="shared" si="74"/>
        <v>0.85522909034238404</v>
      </c>
      <c r="I257" s="69">
        <f t="shared" si="72"/>
        <v>21471228.796153847</v>
      </c>
      <c r="J257" s="63">
        <v>0.25</v>
      </c>
      <c r="K257" s="69">
        <f t="shared" si="64"/>
        <v>16103421.597115386</v>
      </c>
    </row>
    <row r="258" spans="1:11" x14ac:dyDescent="0.25">
      <c r="A258" s="65">
        <v>41639</v>
      </c>
      <c r="B258" s="67">
        <f>营业收入分析!M5</f>
        <v>43477134</v>
      </c>
      <c r="C258" s="66">
        <f t="shared" si="75"/>
        <v>0.57390675752522868</v>
      </c>
      <c r="D258">
        <f>营业成本分析!M5</f>
        <v>0</v>
      </c>
      <c r="E258" s="66">
        <f t="shared" si="65"/>
        <v>-1</v>
      </c>
      <c r="F258" s="69">
        <f t="shared" si="73"/>
        <v>43477134</v>
      </c>
      <c r="G258" s="63">
        <f t="shared" si="66"/>
        <v>0.8403335144915709</v>
      </c>
      <c r="H258" s="63">
        <f t="shared" si="74"/>
        <v>1</v>
      </c>
      <c r="I258" s="69">
        <f t="shared" si="72"/>
        <v>43477134</v>
      </c>
      <c r="J258" s="63">
        <v>0.25</v>
      </c>
      <c r="K258" s="69">
        <f t="shared" si="64"/>
        <v>32607850.5</v>
      </c>
    </row>
    <row r="259" spans="1:11" x14ac:dyDescent="0.25">
      <c r="A259" s="65">
        <v>42004</v>
      </c>
      <c r="B259" s="67">
        <f>营业收入分析!M6</f>
        <v>0</v>
      </c>
      <c r="C259" s="66">
        <f t="shared" si="75"/>
        <v>-1</v>
      </c>
      <c r="D259">
        <f>营业成本分析!M6</f>
        <v>0</v>
      </c>
      <c r="E259" s="66" t="e">
        <f t="shared" si="65"/>
        <v>#DIV/0!</v>
      </c>
      <c r="F259" s="69">
        <f t="shared" si="73"/>
        <v>0</v>
      </c>
      <c r="G259" s="63">
        <f t="shared" si="66"/>
        <v>-1</v>
      </c>
      <c r="H259" s="63" t="e">
        <f t="shared" si="74"/>
        <v>#DIV/0!</v>
      </c>
      <c r="I259" s="69">
        <f t="shared" si="72"/>
        <v>0</v>
      </c>
      <c r="J259" s="63">
        <v>0.25</v>
      </c>
      <c r="K259" s="69">
        <f t="shared" si="64"/>
        <v>0</v>
      </c>
    </row>
    <row r="260" spans="1:11" x14ac:dyDescent="0.25">
      <c r="A260" s="65">
        <v>42369</v>
      </c>
      <c r="B260" s="67">
        <f>营业收入分析!M7</f>
        <v>0</v>
      </c>
      <c r="C260" s="66" t="e">
        <f t="shared" si="75"/>
        <v>#DIV/0!</v>
      </c>
      <c r="D260">
        <f>营业成本分析!M7</f>
        <v>122526.35</v>
      </c>
      <c r="E260" s="66" t="e">
        <f t="shared" si="65"/>
        <v>#DIV/0!</v>
      </c>
      <c r="F260" s="69">
        <f t="shared" si="73"/>
        <v>-122526.35</v>
      </c>
      <c r="G260" s="63" t="e">
        <f t="shared" si="66"/>
        <v>#DIV/0!</v>
      </c>
      <c r="H260" s="63" t="e">
        <f t="shared" si="74"/>
        <v>#DIV/0!</v>
      </c>
      <c r="I260" s="69">
        <f>B260-D260/0.65</f>
        <v>-188502.07692307694</v>
      </c>
      <c r="J260" s="63">
        <v>0.25</v>
      </c>
      <c r="K260" s="69">
        <f t="shared" si="64"/>
        <v>-141376.55769230769</v>
      </c>
    </row>
    <row r="261" spans="1:11" x14ac:dyDescent="0.25">
      <c r="A261" s="65">
        <v>42735</v>
      </c>
      <c r="B261" s="67">
        <f>营业收入分析!M8</f>
        <v>3611972.78</v>
      </c>
      <c r="C261" s="66" t="e">
        <f t="shared" si="75"/>
        <v>#DIV/0!</v>
      </c>
      <c r="D261">
        <f>营业成本分析!M8</f>
        <v>6737145.7599999998</v>
      </c>
      <c r="E261" s="66">
        <f t="shared" si="65"/>
        <v>53.985280798783279</v>
      </c>
      <c r="F261" s="69">
        <f t="shared" si="73"/>
        <v>-3125172.98</v>
      </c>
      <c r="G261" s="63">
        <f t="shared" si="66"/>
        <v>24.506129742704321</v>
      </c>
      <c r="H261" s="63">
        <f t="shared" si="74"/>
        <v>-0.86522606075674802</v>
      </c>
      <c r="I261" s="69">
        <f t="shared" ref="I261:I277" si="76">B261-D261/0.65</f>
        <v>-6752866.8507692311</v>
      </c>
      <c r="J261" s="63">
        <v>0.25</v>
      </c>
      <c r="K261" s="69">
        <f t="shared" si="64"/>
        <v>-5064650.1380769238</v>
      </c>
    </row>
    <row r="262" spans="1:11" x14ac:dyDescent="0.25">
      <c r="A262" s="65">
        <v>43100</v>
      </c>
      <c r="B262" s="67">
        <f>营业收入分析!M9</f>
        <v>0</v>
      </c>
      <c r="C262" s="66">
        <f t="shared" si="75"/>
        <v>-1</v>
      </c>
      <c r="D262">
        <f>营业成本分析!M9</f>
        <v>563292.52</v>
      </c>
      <c r="E262" s="66">
        <f t="shared" si="65"/>
        <v>-0.91639003517715201</v>
      </c>
      <c r="F262" s="69">
        <f t="shared" si="73"/>
        <v>-563292.52</v>
      </c>
      <c r="G262" s="63">
        <f t="shared" si="66"/>
        <v>-0.81975637073375696</v>
      </c>
      <c r="H262" s="63" t="e">
        <f t="shared" si="74"/>
        <v>#DIV/0!</v>
      </c>
      <c r="I262" s="69">
        <f t="shared" si="76"/>
        <v>-866603.87692307692</v>
      </c>
      <c r="J262" s="63">
        <v>0.25</v>
      </c>
      <c r="K262" s="69">
        <f t="shared" si="64"/>
        <v>-649952.90769230772</v>
      </c>
    </row>
    <row r="263" spans="1:11" x14ac:dyDescent="0.25">
      <c r="A263" s="65">
        <v>43465</v>
      </c>
      <c r="B263" s="67">
        <f>营业收入分析!M10</f>
        <v>3434208.29</v>
      </c>
      <c r="C263" s="66" t="e">
        <f t="shared" si="75"/>
        <v>#DIV/0!</v>
      </c>
      <c r="D263">
        <f>营业成本分析!M10</f>
        <v>9940988.6799999997</v>
      </c>
      <c r="E263" s="66">
        <f t="shared" si="65"/>
        <v>16.648004060128475</v>
      </c>
      <c r="F263" s="69">
        <f t="shared" ref="F263:F270" si="77">B263-D263</f>
        <v>-6506780.3899999997</v>
      </c>
      <c r="G263" s="63">
        <f t="shared" si="66"/>
        <v>10.551334624503799</v>
      </c>
      <c r="H263" s="63">
        <f t="shared" ref="H263:H270" si="78">F263/B263</f>
        <v>-1.8946959067529359</v>
      </c>
      <c r="I263" s="69">
        <f t="shared" si="76"/>
        <v>-11859620.448461536</v>
      </c>
      <c r="J263" s="63">
        <v>0.25</v>
      </c>
      <c r="K263" s="69">
        <f t="shared" si="64"/>
        <v>-8894715.3363461532</v>
      </c>
    </row>
    <row r="264" spans="1:11" x14ac:dyDescent="0.25">
      <c r="A264" s="65">
        <v>43830</v>
      </c>
      <c r="B264" s="67">
        <f>营业收入分析!M11</f>
        <v>3464886.35</v>
      </c>
      <c r="C264" s="66">
        <f t="shared" si="75"/>
        <v>8.9330807596414187E-3</v>
      </c>
      <c r="D264">
        <f>营业成本分析!M11</f>
        <v>16022222.050000001</v>
      </c>
      <c r="E264" s="66">
        <f t="shared" si="65"/>
        <v>0.6117332556906202</v>
      </c>
      <c r="F264" s="69">
        <f t="shared" si="77"/>
        <v>-12557335.700000001</v>
      </c>
      <c r="G264" s="63">
        <f t="shared" si="66"/>
        <v>0.92988466604756603</v>
      </c>
      <c r="H264" s="63">
        <f t="shared" si="78"/>
        <v>-3.6241695777409846</v>
      </c>
      <c r="I264" s="69">
        <f t="shared" si="76"/>
        <v>-21184686.034615383</v>
      </c>
      <c r="J264" s="63">
        <v>0.25</v>
      </c>
      <c r="K264" s="69">
        <f t="shared" si="64"/>
        <v>-15888514.525961537</v>
      </c>
    </row>
    <row r="265" spans="1:11" s="71" customFormat="1" x14ac:dyDescent="0.25">
      <c r="A265" s="72">
        <v>43831</v>
      </c>
      <c r="B265" s="91">
        <f>营业收入分析!M12</f>
        <v>0</v>
      </c>
      <c r="C265" s="74">
        <f t="shared" si="75"/>
        <v>-1</v>
      </c>
      <c r="D265" s="71">
        <f>营业成本分析!M12</f>
        <v>2609078.88</v>
      </c>
      <c r="E265" s="74">
        <f t="shared" si="65"/>
        <v>-0.83715873666848861</v>
      </c>
      <c r="F265" s="92">
        <f t="shared" si="77"/>
        <v>-2609078.88</v>
      </c>
      <c r="G265" s="93">
        <f t="shared" si="66"/>
        <v>-0.79222671573556802</v>
      </c>
      <c r="H265" s="93" t="e">
        <f t="shared" si="78"/>
        <v>#DIV/0!</v>
      </c>
      <c r="I265" s="92">
        <f t="shared" si="76"/>
        <v>-4013967.5076923072</v>
      </c>
      <c r="J265" s="93">
        <v>0.25</v>
      </c>
      <c r="K265" s="92">
        <f t="shared" si="64"/>
        <v>-3010475.6307692304</v>
      </c>
    </row>
    <row r="266" spans="1:11" x14ac:dyDescent="0.25">
      <c r="A266" s="85">
        <f>A14+1</f>
        <v>2021</v>
      </c>
      <c r="B266" s="67">
        <f>0</f>
        <v>0</v>
      </c>
      <c r="C266" s="66" t="e">
        <f t="shared" si="75"/>
        <v>#DIV/0!</v>
      </c>
      <c r="D266">
        <f>0</f>
        <v>0</v>
      </c>
      <c r="E266" s="66">
        <f t="shared" si="65"/>
        <v>-1</v>
      </c>
      <c r="F266" s="69">
        <f t="shared" si="77"/>
        <v>0</v>
      </c>
      <c r="G266" s="63">
        <f t="shared" si="66"/>
        <v>-1</v>
      </c>
      <c r="H266" s="63" t="e">
        <f t="shared" si="78"/>
        <v>#DIV/0!</v>
      </c>
      <c r="I266" s="69">
        <f t="shared" si="76"/>
        <v>0</v>
      </c>
      <c r="J266" s="63">
        <v>0.25</v>
      </c>
      <c r="K266" s="69">
        <f t="shared" si="64"/>
        <v>0</v>
      </c>
    </row>
    <row r="267" spans="1:11" x14ac:dyDescent="0.25">
      <c r="A267" s="85">
        <f>A266+1</f>
        <v>2022</v>
      </c>
      <c r="B267" s="67">
        <f>0</f>
        <v>0</v>
      </c>
      <c r="C267" s="66" t="e">
        <f t="shared" si="75"/>
        <v>#DIV/0!</v>
      </c>
      <c r="D267">
        <f>0</f>
        <v>0</v>
      </c>
      <c r="E267" s="66" t="e">
        <f t="shared" si="65"/>
        <v>#DIV/0!</v>
      </c>
      <c r="F267" s="69">
        <f t="shared" si="77"/>
        <v>0</v>
      </c>
      <c r="G267" s="63" t="e">
        <f t="shared" si="66"/>
        <v>#DIV/0!</v>
      </c>
      <c r="H267" s="63" t="e">
        <f t="shared" si="78"/>
        <v>#DIV/0!</v>
      </c>
      <c r="I267" s="69">
        <f t="shared" si="76"/>
        <v>0</v>
      </c>
      <c r="J267" s="63">
        <v>0.25</v>
      </c>
      <c r="K267" s="69">
        <f t="shared" si="64"/>
        <v>0</v>
      </c>
    </row>
    <row r="268" spans="1:11" x14ac:dyDescent="0.25">
      <c r="A268" s="85">
        <f>A267+1</f>
        <v>2023</v>
      </c>
      <c r="B268" s="67">
        <f>0</f>
        <v>0</v>
      </c>
      <c r="C268" s="66" t="e">
        <f t="shared" si="75"/>
        <v>#DIV/0!</v>
      </c>
      <c r="D268">
        <f>0</f>
        <v>0</v>
      </c>
      <c r="E268" s="66" t="e">
        <f t="shared" si="65"/>
        <v>#DIV/0!</v>
      </c>
      <c r="F268" s="69">
        <f t="shared" si="77"/>
        <v>0</v>
      </c>
      <c r="G268" s="63" t="e">
        <f t="shared" si="66"/>
        <v>#DIV/0!</v>
      </c>
      <c r="H268" s="63" t="e">
        <f t="shared" si="78"/>
        <v>#DIV/0!</v>
      </c>
      <c r="I268" s="69">
        <f t="shared" si="76"/>
        <v>0</v>
      </c>
      <c r="J268" s="63">
        <v>0.25</v>
      </c>
      <c r="K268" s="69">
        <f t="shared" si="64"/>
        <v>0</v>
      </c>
    </row>
    <row r="269" spans="1:11" x14ac:dyDescent="0.25">
      <c r="A269" s="85">
        <f>A268+1</f>
        <v>2024</v>
      </c>
      <c r="B269" s="67">
        <f>0</f>
        <v>0</v>
      </c>
      <c r="C269" s="66" t="e">
        <f t="shared" si="75"/>
        <v>#DIV/0!</v>
      </c>
      <c r="D269">
        <f>0</f>
        <v>0</v>
      </c>
      <c r="E269" s="66" t="e">
        <f t="shared" si="65"/>
        <v>#DIV/0!</v>
      </c>
      <c r="F269" s="69">
        <f t="shared" si="77"/>
        <v>0</v>
      </c>
      <c r="G269" s="63" t="e">
        <f t="shared" si="66"/>
        <v>#DIV/0!</v>
      </c>
      <c r="H269" s="63" t="e">
        <f t="shared" si="78"/>
        <v>#DIV/0!</v>
      </c>
      <c r="I269" s="69">
        <f t="shared" si="76"/>
        <v>0</v>
      </c>
      <c r="J269" s="63">
        <v>0.25</v>
      </c>
      <c r="K269" s="69">
        <f t="shared" si="64"/>
        <v>0</v>
      </c>
    </row>
    <row r="270" spans="1:11" x14ac:dyDescent="0.25">
      <c r="A270" s="85">
        <f>A269+1</f>
        <v>2025</v>
      </c>
      <c r="B270" s="67">
        <f>0</f>
        <v>0</v>
      </c>
      <c r="C270" s="66" t="e">
        <f t="shared" si="75"/>
        <v>#DIV/0!</v>
      </c>
      <c r="D270">
        <f>0</f>
        <v>0</v>
      </c>
      <c r="E270" s="66" t="e">
        <f t="shared" si="65"/>
        <v>#DIV/0!</v>
      </c>
      <c r="F270" s="69">
        <f t="shared" si="77"/>
        <v>0</v>
      </c>
      <c r="G270" s="63" t="e">
        <f t="shared" si="66"/>
        <v>#DIV/0!</v>
      </c>
      <c r="H270" s="63" t="e">
        <f t="shared" si="78"/>
        <v>#DIV/0!</v>
      </c>
      <c r="I270" s="69">
        <f t="shared" si="76"/>
        <v>0</v>
      </c>
      <c r="J270" s="63">
        <v>0.25</v>
      </c>
      <c r="K270" s="69">
        <f t="shared" si="64"/>
        <v>0</v>
      </c>
    </row>
    <row r="271" spans="1:11" s="88" customFormat="1" x14ac:dyDescent="0.25">
      <c r="E271" s="89">
        <f>(D271-D265)/D265</f>
        <v>-1</v>
      </c>
      <c r="G271" s="88">
        <f>(F271-F265)/F265</f>
        <v>-1</v>
      </c>
      <c r="I271" s="88">
        <f t="shared" si="76"/>
        <v>0</v>
      </c>
      <c r="K271" s="88">
        <f>F271*0.75</f>
        <v>0</v>
      </c>
    </row>
    <row r="272" spans="1:11" x14ac:dyDescent="0.25">
      <c r="E272" s="66" t="e">
        <f t="shared" si="65"/>
        <v>#DIV/0!</v>
      </c>
      <c r="G272" s="63" t="e">
        <f t="shared" si="66"/>
        <v>#DIV/0!</v>
      </c>
      <c r="I272" s="69">
        <f t="shared" si="76"/>
        <v>0</v>
      </c>
      <c r="J272" s="69"/>
      <c r="K272" s="69">
        <f>F272*0.75</f>
        <v>0</v>
      </c>
    </row>
    <row r="273" spans="1:11" x14ac:dyDescent="0.25">
      <c r="A273" s="67" t="s">
        <v>90</v>
      </c>
      <c r="C273" s="66" t="e">
        <f>(B273-B272)/B272</f>
        <v>#DIV/0!</v>
      </c>
      <c r="E273" s="66" t="e">
        <f t="shared" si="65"/>
        <v>#DIV/0!</v>
      </c>
      <c r="G273" s="63" t="e">
        <f t="shared" si="66"/>
        <v>#DIV/0!</v>
      </c>
      <c r="I273" s="69">
        <f t="shared" si="76"/>
        <v>0</v>
      </c>
      <c r="J273" s="69"/>
      <c r="K273" s="69">
        <f>F273*0.75</f>
        <v>0</v>
      </c>
    </row>
    <row r="274" spans="1:11" ht="31.5" x14ac:dyDescent="0.25">
      <c r="A274" s="64" t="s">
        <v>72</v>
      </c>
      <c r="B274" s="60" t="s">
        <v>82</v>
      </c>
      <c r="C274" s="60" t="s">
        <v>87</v>
      </c>
      <c r="D274" t="s">
        <v>83</v>
      </c>
      <c r="E274" t="s">
        <v>88</v>
      </c>
      <c r="F274" t="s">
        <v>84</v>
      </c>
      <c r="G274" t="s">
        <v>89</v>
      </c>
      <c r="H274" t="s">
        <v>85</v>
      </c>
      <c r="I274" s="107" t="s">
        <v>245</v>
      </c>
      <c r="J274" s="107" t="s">
        <v>246</v>
      </c>
      <c r="K274" t="s">
        <v>49</v>
      </c>
    </row>
    <row r="275" spans="1:11" x14ac:dyDescent="0.25">
      <c r="A275" s="65">
        <v>40543</v>
      </c>
      <c r="B275" s="67">
        <f>营业收入分析!O2</f>
        <v>444756700</v>
      </c>
      <c r="C275" s="66" t="e">
        <f>(B275-B274)/B274</f>
        <v>#VALUE!</v>
      </c>
      <c r="D275" s="69">
        <f>营业成本分析!O2</f>
        <v>105488846.31999999</v>
      </c>
      <c r="E275" s="66" t="e">
        <f t="shared" si="65"/>
        <v>#VALUE!</v>
      </c>
      <c r="F275" s="69">
        <f>B275-D275</f>
        <v>339267853.68000001</v>
      </c>
      <c r="G275" s="63" t="e">
        <f t="shared" si="66"/>
        <v>#VALUE!</v>
      </c>
      <c r="H275" s="63">
        <f t="shared" ref="H275:H282" si="79">F275/B275</f>
        <v>0.76281673481253909</v>
      </c>
      <c r="I275" s="69">
        <f t="shared" si="76"/>
        <v>282466167.20000005</v>
      </c>
      <c r="J275" s="69">
        <f>I275*0.75</f>
        <v>211849625.40000004</v>
      </c>
      <c r="K275" s="69">
        <f t="shared" ref="K275:K290" si="80">K4+K28+K50+K71+K96+K121+K147+K193+K212+K231+K255</f>
        <v>211849596.86249995</v>
      </c>
    </row>
    <row r="276" spans="1:11" x14ac:dyDescent="0.25">
      <c r="A276" s="65">
        <v>40908</v>
      </c>
      <c r="B276" s="67">
        <f>营业收入分析!O3</f>
        <v>504532200</v>
      </c>
      <c r="C276" s="66">
        <f>(B276-B275)/B275</f>
        <v>0.13440044860482148</v>
      </c>
      <c r="D276" s="69">
        <f>营业成本分析!O3</f>
        <v>125278040.84</v>
      </c>
      <c r="E276" s="66">
        <f t="shared" si="65"/>
        <v>0.18759513645612891</v>
      </c>
      <c r="F276" s="69">
        <f t="shared" ref="F276:F290" si="81">B276-D276</f>
        <v>379254159.15999997</v>
      </c>
      <c r="G276" s="63">
        <f t="shared" si="66"/>
        <v>0.11786057843757677</v>
      </c>
      <c r="H276" s="63">
        <f t="shared" si="79"/>
        <v>0.75169465726865392</v>
      </c>
      <c r="I276" s="69">
        <f t="shared" si="76"/>
        <v>311796752.55384612</v>
      </c>
      <c r="J276" s="69">
        <f t="shared" ref="J276:J281" si="82">I276*0.75</f>
        <v>233847564.41538459</v>
      </c>
      <c r="K276" s="69">
        <f t="shared" si="80"/>
        <v>233847545.77038464</v>
      </c>
    </row>
    <row r="277" spans="1:11" x14ac:dyDescent="0.25">
      <c r="A277" s="65">
        <v>41274</v>
      </c>
      <c r="B277" s="67">
        <f>营业收入分析!O4</f>
        <v>586157100</v>
      </c>
      <c r="C277" s="66">
        <f t="shared" ref="C277:C290" si="83">(B277-B276)/B276</f>
        <v>0.16178333117291621</v>
      </c>
      <c r="D277" s="69">
        <f>营业成本分析!O4</f>
        <v>177879156.28</v>
      </c>
      <c r="E277" s="66">
        <f t="shared" si="65"/>
        <v>0.41987498437319909</v>
      </c>
      <c r="F277" s="69">
        <f t="shared" si="81"/>
        <v>408277943.72000003</v>
      </c>
      <c r="G277" s="63">
        <f t="shared" si="66"/>
        <v>7.6528586065566367E-2</v>
      </c>
      <c r="H277" s="63">
        <f t="shared" si="79"/>
        <v>0.69653330774292421</v>
      </c>
      <c r="I277" s="69">
        <f t="shared" si="76"/>
        <v>312496859.56923079</v>
      </c>
      <c r="J277" s="69">
        <f t="shared" si="82"/>
        <v>234372644.6769231</v>
      </c>
      <c r="K277" s="69">
        <f t="shared" si="80"/>
        <v>234372616.77692303</v>
      </c>
    </row>
    <row r="278" spans="1:11" x14ac:dyDescent="0.25">
      <c r="A278" s="65">
        <v>41639</v>
      </c>
      <c r="B278" s="67">
        <f>营业收入分析!O5</f>
        <v>678715900</v>
      </c>
      <c r="C278" s="66">
        <f t="shared" si="83"/>
        <v>0.15790783733575861</v>
      </c>
      <c r="D278" s="69">
        <f>营业成本分析!O5</f>
        <v>198128917.91</v>
      </c>
      <c r="E278" s="66">
        <f t="shared" si="65"/>
        <v>0.1138399914497278</v>
      </c>
      <c r="F278" s="69">
        <f t="shared" si="81"/>
        <v>480586982.09000003</v>
      </c>
      <c r="G278" s="63">
        <f t="shared" si="66"/>
        <v>0.17710738354161515</v>
      </c>
      <c r="H278" s="63">
        <f t="shared" si="79"/>
        <v>0.70808269275848712</v>
      </c>
      <c r="I278" s="69">
        <f>B278-D278/0.65</f>
        <v>373902180.13846153</v>
      </c>
      <c r="J278" s="69">
        <f t="shared" si="82"/>
        <v>280426635.10384613</v>
      </c>
      <c r="K278" s="69">
        <f t="shared" si="80"/>
        <v>286259752.43076926</v>
      </c>
    </row>
    <row r="279" spans="1:11" x14ac:dyDescent="0.25">
      <c r="A279" s="65">
        <v>42004</v>
      </c>
      <c r="B279" s="67">
        <f>营业收入分析!O6</f>
        <v>935119100</v>
      </c>
      <c r="C279" s="66">
        <f t="shared" si="83"/>
        <v>0.37777691667456148</v>
      </c>
      <c r="D279" s="69">
        <f>营业成本分析!O6</f>
        <v>306886789.69</v>
      </c>
      <c r="E279" s="66">
        <f t="shared" si="65"/>
        <v>0.54892477548079699</v>
      </c>
      <c r="F279" s="69">
        <f t="shared" si="81"/>
        <v>628232310.30999994</v>
      </c>
      <c r="G279" s="63">
        <f t="shared" si="66"/>
        <v>0.30721874233445262</v>
      </c>
      <c r="H279" s="63">
        <f t="shared" si="79"/>
        <v>0.67182063793799096</v>
      </c>
      <c r="I279" s="69">
        <f t="shared" ref="I279:I291" si="84">B279-D279/0.65</f>
        <v>462985577.40000004</v>
      </c>
      <c r="J279" s="69">
        <f t="shared" si="82"/>
        <v>347239183.05000001</v>
      </c>
      <c r="K279" s="69">
        <f t="shared" si="80"/>
        <v>437609068.15792304</v>
      </c>
    </row>
    <row r="280" spans="1:11" x14ac:dyDescent="0.25">
      <c r="A280" s="65">
        <v>42369</v>
      </c>
      <c r="B280" s="67">
        <f>营业收入分析!O7</f>
        <v>1694514000</v>
      </c>
      <c r="C280" s="66">
        <f t="shared" si="83"/>
        <v>0.81208361587310107</v>
      </c>
      <c r="D280" s="69">
        <f>营业成本分析!O7</f>
        <v>582067363.26999998</v>
      </c>
      <c r="E280" s="66">
        <f t="shared" si="65"/>
        <v>0.89668432407263976</v>
      </c>
      <c r="F280" s="69">
        <f t="shared" si="81"/>
        <v>1112446636.73</v>
      </c>
      <c r="G280" s="63">
        <f t="shared" si="66"/>
        <v>0.77075680201972663</v>
      </c>
      <c r="H280" s="63">
        <f t="shared" si="79"/>
        <v>0.65649893522862601</v>
      </c>
      <c r="I280" s="69">
        <f t="shared" si="84"/>
        <v>799025748.81538463</v>
      </c>
      <c r="J280" s="69">
        <f t="shared" si="82"/>
        <v>599269311.61153841</v>
      </c>
      <c r="K280" s="69">
        <f t="shared" si="80"/>
        <v>574585114.78600013</v>
      </c>
    </row>
    <row r="281" spans="1:11" x14ac:dyDescent="0.25">
      <c r="A281" s="65">
        <v>42735</v>
      </c>
      <c r="B281" s="67">
        <f>营业收入分析!O8</f>
        <v>2644229000</v>
      </c>
      <c r="C281" s="66">
        <f t="shared" si="83"/>
        <v>0.56046453437386767</v>
      </c>
      <c r="D281" s="69">
        <f>营业成本分析!O8</f>
        <v>1014187220.09</v>
      </c>
      <c r="E281" s="66">
        <f t="shared" si="65"/>
        <v>0.74238805349331238</v>
      </c>
      <c r="F281" s="69">
        <f t="shared" si="81"/>
        <v>1630041779.9099998</v>
      </c>
      <c r="G281" s="63">
        <f t="shared" si="66"/>
        <v>0.46527637919015474</v>
      </c>
      <c r="H281" s="63">
        <f t="shared" si="79"/>
        <v>0.61645257650150564</v>
      </c>
      <c r="I281" s="69">
        <f t="shared" si="84"/>
        <v>1083940969.0923078</v>
      </c>
      <c r="J281" s="69">
        <f t="shared" si="82"/>
        <v>812955726.81923079</v>
      </c>
      <c r="K281" s="69">
        <f t="shared" si="80"/>
        <v>846011117.23534632</v>
      </c>
    </row>
    <row r="282" spans="1:11" x14ac:dyDescent="0.25">
      <c r="A282" s="65">
        <v>43100</v>
      </c>
      <c r="B282" s="67">
        <f>营业收入分析!O9</f>
        <v>3023831000</v>
      </c>
      <c r="C282" s="66">
        <f t="shared" si="83"/>
        <v>0.14355867059925598</v>
      </c>
      <c r="D282" s="69">
        <f>营业成本分析!O9</f>
        <v>1113022779.3699999</v>
      </c>
      <c r="E282" s="66">
        <f t="shared" si="65"/>
        <v>9.7452972510567712E-2</v>
      </c>
      <c r="F282" s="69">
        <f t="shared" si="81"/>
        <v>1910808220.6300001</v>
      </c>
      <c r="G282" s="63">
        <f t="shared" si="66"/>
        <v>0.17224493517920891</v>
      </c>
      <c r="H282" s="63">
        <f t="shared" si="79"/>
        <v>0.63191634077102854</v>
      </c>
      <c r="I282" s="69">
        <f t="shared" si="84"/>
        <v>1311488262.5076926</v>
      </c>
      <c r="J282" s="69">
        <f>I282*0.84</f>
        <v>1101650140.5064616</v>
      </c>
      <c r="K282" s="69">
        <f t="shared" si="80"/>
        <v>1069941327.4277691</v>
      </c>
    </row>
    <row r="283" spans="1:11" x14ac:dyDescent="0.25">
      <c r="A283" s="65">
        <v>43465</v>
      </c>
      <c r="B283" s="67">
        <f>营业收入分析!O10</f>
        <v>3211193000</v>
      </c>
      <c r="C283" s="66">
        <f t="shared" si="83"/>
        <v>6.1961796145353361E-2</v>
      </c>
      <c r="D283" s="69">
        <f>营业成本分析!O10</f>
        <v>1078093212.26</v>
      </c>
      <c r="E283" s="66">
        <f t="shared" si="65"/>
        <v>-3.1382616562233297E-2</v>
      </c>
      <c r="F283" s="69">
        <f t="shared" si="81"/>
        <v>2133099787.74</v>
      </c>
      <c r="G283" s="63">
        <f t="shared" si="66"/>
        <v>0.1163337925334598</v>
      </c>
      <c r="H283" s="63">
        <f t="shared" ref="H283:H290" si="85">F283/B283</f>
        <v>0.66427019109097463</v>
      </c>
      <c r="I283" s="69">
        <f t="shared" si="84"/>
        <v>1552588058.0615385</v>
      </c>
      <c r="J283" s="69">
        <f t="shared" ref="J283:J290" si="86">I283*0.84</f>
        <v>1304173968.7716923</v>
      </c>
      <c r="K283" s="69">
        <f t="shared" si="80"/>
        <v>1257694218.2976151</v>
      </c>
    </row>
    <row r="284" spans="1:11" x14ac:dyDescent="0.25">
      <c r="A284" s="65">
        <v>43830</v>
      </c>
      <c r="B284" s="67">
        <f>营业收入分析!O11</f>
        <v>2611753000</v>
      </c>
      <c r="C284" s="66">
        <f t="shared" si="83"/>
        <v>-0.18667205614860272</v>
      </c>
      <c r="D284" s="69">
        <f>营业成本分析!O11</f>
        <v>747189301.24000001</v>
      </c>
      <c r="E284" s="66">
        <f t="shared" si="65"/>
        <v>-0.30693441648364356</v>
      </c>
      <c r="F284" s="69">
        <f t="shared" si="81"/>
        <v>1864563698.76</v>
      </c>
      <c r="G284" s="63">
        <f t="shared" si="66"/>
        <v>-0.12589007346182879</v>
      </c>
      <c r="H284" s="63">
        <f t="shared" si="85"/>
        <v>0.71391272404396589</v>
      </c>
      <c r="I284" s="69">
        <f t="shared" si="84"/>
        <v>1462230998.0923078</v>
      </c>
      <c r="J284" s="69">
        <f t="shared" si="86"/>
        <v>1228274038.3975384</v>
      </c>
      <c r="K284" s="69">
        <f t="shared" si="80"/>
        <v>1156305042.6713076</v>
      </c>
    </row>
    <row r="285" spans="1:11" x14ac:dyDescent="0.25">
      <c r="A285" s="65">
        <v>43831</v>
      </c>
      <c r="B285" s="67">
        <f>营业收入分析!O12</f>
        <v>902586125.63</v>
      </c>
      <c r="C285" s="66">
        <f t="shared" si="83"/>
        <v>-0.65441367325700395</v>
      </c>
      <c r="D285" s="69">
        <f>营业成本分析!O12</f>
        <v>352670473.42000002</v>
      </c>
      <c r="E285" s="66">
        <f t="shared" si="65"/>
        <v>-0.52800385011572737</v>
      </c>
      <c r="F285" s="69">
        <f t="shared" si="81"/>
        <v>549915652.21000004</v>
      </c>
      <c r="G285" s="63">
        <f t="shared" si="66"/>
        <v>-0.70507006407144301</v>
      </c>
      <c r="H285" s="63">
        <f t="shared" si="85"/>
        <v>0.60926668003694606</v>
      </c>
      <c r="I285" s="69">
        <f t="shared" si="84"/>
        <v>360016166.52230763</v>
      </c>
      <c r="J285" s="69">
        <f t="shared" si="86"/>
        <v>302413579.8787384</v>
      </c>
      <c r="K285" s="69">
        <f t="shared" si="80"/>
        <v>378182051.92634612</v>
      </c>
    </row>
    <row r="286" spans="1:11" x14ac:dyDescent="0.25">
      <c r="A286" s="85">
        <f>A14+1</f>
        <v>2021</v>
      </c>
      <c r="B286" s="67">
        <f>B266+B242+B223+B204+B158+B132+B107+B82+B61+B39+B15+B185</f>
        <v>1563665483.41538</v>
      </c>
      <c r="C286" s="66">
        <f t="shared" si="83"/>
        <v>0.73242800771389027</v>
      </c>
      <c r="D286" s="69">
        <f>D266+D242+D223+D204+D158+D132+D107+D82+D61+D39+D15+D185</f>
        <v>579382276.51542997</v>
      </c>
      <c r="E286" s="66">
        <f t="shared" si="65"/>
        <v>0.64284316431967303</v>
      </c>
      <c r="F286" s="69">
        <f t="shared" si="81"/>
        <v>984283206.89995003</v>
      </c>
      <c r="G286" s="63">
        <f t="shared" si="66"/>
        <v>0.78988032609058212</v>
      </c>
      <c r="H286" s="63">
        <f t="shared" si="85"/>
        <v>0.62947172354924974</v>
      </c>
      <c r="I286" s="69">
        <f t="shared" si="84"/>
        <v>672308134.93010318</v>
      </c>
      <c r="J286" s="69">
        <f t="shared" si="86"/>
        <v>564738833.34128666</v>
      </c>
      <c r="K286" s="69">
        <f t="shared" si="80"/>
        <v>491354576.26540506</v>
      </c>
    </row>
    <row r="287" spans="1:11" x14ac:dyDescent="0.25">
      <c r="A287" s="85">
        <f>A286+1</f>
        <v>2022</v>
      </c>
      <c r="B287" s="67">
        <f>B267+B243+B224+B205+B159+B133+B108+B83+B62+B40+B16+B186</f>
        <v>2636596657.1929998</v>
      </c>
      <c r="C287" s="66">
        <f t="shared" si="83"/>
        <v>0.68616413494918915</v>
      </c>
      <c r="D287" s="69">
        <f>D267+D243+D224+D205+D159+D133+D108+D83+D62+D40+D16</f>
        <v>623995524.38010001</v>
      </c>
      <c r="E287" s="66">
        <f t="shared" si="65"/>
        <v>7.7001402481599576E-2</v>
      </c>
      <c r="F287" s="69">
        <f t="shared" si="81"/>
        <v>2012601132.8128998</v>
      </c>
      <c r="G287" s="63">
        <f t="shared" si="66"/>
        <v>1.0447378546177672</v>
      </c>
      <c r="H287" s="63">
        <f t="shared" si="85"/>
        <v>0.76333296081607549</v>
      </c>
      <c r="I287" s="69">
        <f t="shared" si="84"/>
        <v>1676603542.7620769</v>
      </c>
      <c r="J287" s="69">
        <f t="shared" si="86"/>
        <v>1408346975.9201446</v>
      </c>
      <c r="K287" s="69">
        <f t="shared" si="80"/>
        <v>1008926593.9668347</v>
      </c>
    </row>
    <row r="288" spans="1:11" x14ac:dyDescent="0.25">
      <c r="A288" s="85">
        <f>A287+1</f>
        <v>2023</v>
      </c>
      <c r="B288" s="67">
        <f>B268+B244+B225+B206+B160+B134+B109+B84+B63+B41+B17+B187</f>
        <v>3468522366.2897</v>
      </c>
      <c r="C288" s="66">
        <f t="shared" si="83"/>
        <v>0.31553013875940861</v>
      </c>
      <c r="D288" s="69">
        <f>D268+D244+D225+D206+D160+D134+D109+D84+D63+D41+D17</f>
        <v>751169260.96328998</v>
      </c>
      <c r="E288" s="66">
        <f t="shared" si="65"/>
        <v>0.20380552682573966</v>
      </c>
      <c r="F288" s="69">
        <f t="shared" si="81"/>
        <v>2717353105.3264103</v>
      </c>
      <c r="G288" s="63">
        <f t="shared" si="66"/>
        <v>0.35016971869061714</v>
      </c>
      <c r="H288" s="63">
        <f t="shared" si="85"/>
        <v>0.78343248748693517</v>
      </c>
      <c r="I288" s="69">
        <f t="shared" si="84"/>
        <v>2312877349.4231</v>
      </c>
      <c r="J288" s="69">
        <f t="shared" si="86"/>
        <v>1942816973.515404</v>
      </c>
      <c r="K288" s="69">
        <f t="shared" si="80"/>
        <v>1251679750.1223228</v>
      </c>
    </row>
    <row r="289" spans="1:11" x14ac:dyDescent="0.25">
      <c r="A289" s="85">
        <f>A288+1</f>
        <v>2024</v>
      </c>
      <c r="B289" s="67">
        <f>B269+B245+B226+B207+B161+B135+B110+B85+B64+B42+B18+B188</f>
        <v>4197344422.9168453</v>
      </c>
      <c r="C289" s="66">
        <f t="shared" si="83"/>
        <v>0.21012465241986339</v>
      </c>
      <c r="D289" s="69">
        <f>D269+D245+D226+D207+D161+D135+D110+D85+D64+D42+D18</f>
        <v>879674094.29239106</v>
      </c>
      <c r="E289" s="66">
        <f t="shared" si="65"/>
        <v>0.17107307235164032</v>
      </c>
      <c r="F289" s="69">
        <f t="shared" si="81"/>
        <v>3317670328.6244545</v>
      </c>
      <c r="G289" s="63">
        <f t="shared" si="66"/>
        <v>0.22091984369691758</v>
      </c>
      <c r="H289" s="63">
        <f t="shared" si="85"/>
        <v>0.7904212745826843</v>
      </c>
      <c r="I289" s="69">
        <f t="shared" si="84"/>
        <v>2843999662.4670129</v>
      </c>
      <c r="J289" s="69">
        <f t="shared" si="86"/>
        <v>2388959716.4722905</v>
      </c>
      <c r="K289" s="69">
        <f t="shared" si="80"/>
        <v>1440489725.7045765</v>
      </c>
    </row>
    <row r="290" spans="1:11" x14ac:dyDescent="0.25">
      <c r="A290" s="85">
        <f>A289+1</f>
        <v>2025</v>
      </c>
      <c r="B290" s="67">
        <f>B270+B246+B227+B208+B162+B136+B111+B86+B65+B43+B19+B189</f>
        <v>4916686659.1020937</v>
      </c>
      <c r="C290" s="66">
        <f t="shared" si="83"/>
        <v>0.17138032139029433</v>
      </c>
      <c r="D290" s="69">
        <f>D270+D246+D227+D208+D162+D136+D111+D86+D65+D43+D19</f>
        <v>1000825256.7535203</v>
      </c>
      <c r="E290" s="66">
        <f t="shared" si="65"/>
        <v>0.1377227807971122</v>
      </c>
      <c r="F290" s="69">
        <f t="shared" si="81"/>
        <v>3915861402.3485737</v>
      </c>
      <c r="G290" s="63">
        <f t="shared" si="66"/>
        <v>0.18030455544753787</v>
      </c>
      <c r="H290" s="63">
        <f t="shared" si="85"/>
        <v>0.7964431483749882</v>
      </c>
      <c r="I290" s="69">
        <f t="shared" si="84"/>
        <v>3376955494.8659086</v>
      </c>
      <c r="J290" s="69">
        <f t="shared" si="86"/>
        <v>2836642615.6873631</v>
      </c>
      <c r="K290" s="69">
        <f t="shared" si="80"/>
        <v>1619595393.8602722</v>
      </c>
    </row>
    <row r="291" spans="1:11" x14ac:dyDescent="0.25">
      <c r="I291" s="69">
        <f t="shared" si="84"/>
        <v>0</v>
      </c>
      <c r="J291" s="69"/>
      <c r="K291" s="69">
        <f>F291*0.75</f>
        <v>0</v>
      </c>
    </row>
    <row r="293" spans="1:1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</sheetData>
  <mergeCells count="3">
    <mergeCell ref="B116:H116"/>
    <mergeCell ref="B141:H141"/>
    <mergeCell ref="B168:H16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1"/>
  <sheetViews>
    <sheetView zoomScaleNormal="100" workbookViewId="0">
      <pane ySplit="1" topLeftCell="A71" activePane="bottomLeft" state="frozen"/>
      <selection pane="bottomLeft" activeCell="F96" sqref="F96"/>
    </sheetView>
  </sheetViews>
  <sheetFormatPr defaultRowHeight="15.75" x14ac:dyDescent="0.25"/>
  <cols>
    <col min="1" max="1" width="21.375" customWidth="1"/>
    <col min="2" max="2" width="24.25" style="75" customWidth="1"/>
    <col min="3" max="3" width="11.125" style="98" customWidth="1"/>
    <col min="4" max="5" width="11.125" hidden="1" customWidth="1"/>
    <col min="6" max="6" width="16.125" bestFit="1" customWidth="1"/>
    <col min="7" max="7" width="13.625" style="100" customWidth="1"/>
    <col min="8" max="10" width="14.375" bestFit="1" customWidth="1"/>
    <col min="11" max="11" width="13.375" style="100" customWidth="1"/>
    <col min="12" max="12" width="13.375" customWidth="1"/>
    <col min="13" max="13" width="16.75" customWidth="1"/>
    <col min="14" max="14" width="10" bestFit="1" customWidth="1"/>
    <col min="16" max="16" width="11.625" bestFit="1" customWidth="1"/>
  </cols>
  <sheetData>
    <row r="1" spans="1:16" ht="47.25" x14ac:dyDescent="0.25">
      <c r="A1" t="s">
        <v>264</v>
      </c>
      <c r="B1" s="75" t="s">
        <v>267</v>
      </c>
      <c r="C1" s="98" t="s">
        <v>274</v>
      </c>
      <c r="D1" t="s">
        <v>265</v>
      </c>
      <c r="E1" t="s">
        <v>266</v>
      </c>
      <c r="F1" t="s">
        <v>272</v>
      </c>
      <c r="G1" s="100" t="s">
        <v>281</v>
      </c>
      <c r="H1" t="s">
        <v>273</v>
      </c>
      <c r="I1" t="s">
        <v>275</v>
      </c>
      <c r="J1" t="s">
        <v>276</v>
      </c>
      <c r="K1" s="100" t="s">
        <v>282</v>
      </c>
      <c r="L1" t="s">
        <v>280</v>
      </c>
      <c r="M1" t="s">
        <v>296</v>
      </c>
      <c r="N1" s="75" t="s">
        <v>277</v>
      </c>
      <c r="O1" s="75" t="s">
        <v>278</v>
      </c>
      <c r="P1" t="s">
        <v>279</v>
      </c>
    </row>
    <row r="2" spans="1:16" x14ac:dyDescent="0.25">
      <c r="A2" s="109" t="s">
        <v>268</v>
      </c>
      <c r="B2" s="75" t="s">
        <v>269</v>
      </c>
      <c r="C2" s="98">
        <v>2010</v>
      </c>
      <c r="D2">
        <v>2010</v>
      </c>
      <c r="E2" s="97">
        <v>40543</v>
      </c>
      <c r="F2" s="104">
        <v>40644136.289999999</v>
      </c>
      <c r="G2" s="101">
        <v>4423240</v>
      </c>
      <c r="H2" s="70">
        <v>42852422.789999999</v>
      </c>
      <c r="I2" s="70">
        <v>39792835.520000003</v>
      </c>
      <c r="J2" s="70">
        <v>7482827.2699999996</v>
      </c>
      <c r="K2" s="101"/>
      <c r="L2" s="70">
        <f>H2+G2</f>
        <v>47275662.789999999</v>
      </c>
      <c r="M2" s="70"/>
      <c r="N2" s="63">
        <f t="shared" ref="N2:N32" si="0">L2/F2</f>
        <v>1.1631607189948237</v>
      </c>
      <c r="O2" s="102">
        <v>1</v>
      </c>
      <c r="P2" s="63">
        <f>I2/L2</f>
        <v>0.84171925197032238</v>
      </c>
    </row>
    <row r="3" spans="1:16" x14ac:dyDescent="0.25">
      <c r="B3" s="75" t="s">
        <v>294</v>
      </c>
      <c r="C3" s="98">
        <v>2011</v>
      </c>
      <c r="D3">
        <v>2011</v>
      </c>
      <c r="E3" s="97"/>
      <c r="F3" s="104">
        <v>152700000</v>
      </c>
      <c r="G3" s="101"/>
      <c r="H3" s="70">
        <v>63599945.149999999</v>
      </c>
      <c r="I3" s="70">
        <v>2341645</v>
      </c>
      <c r="J3" s="70">
        <v>587090</v>
      </c>
      <c r="K3" s="101">
        <v>60671210.149999999</v>
      </c>
      <c r="L3" s="70">
        <f>H3+G3</f>
        <v>63599945.149999999</v>
      </c>
      <c r="M3" s="70"/>
      <c r="N3" s="63">
        <f t="shared" si="0"/>
        <v>0.41650258775376553</v>
      </c>
      <c r="O3" s="57">
        <v>0.6</v>
      </c>
      <c r="P3" s="63">
        <f>I3/L3</f>
        <v>3.6818349362994697E-2</v>
      </c>
    </row>
    <row r="4" spans="1:16" x14ac:dyDescent="0.25">
      <c r="C4" s="98">
        <v>2012</v>
      </c>
      <c r="E4" s="97"/>
      <c r="F4" s="104">
        <v>152700000</v>
      </c>
      <c r="G4" s="101">
        <v>60671210.149999999</v>
      </c>
      <c r="H4" s="70">
        <v>103082875</v>
      </c>
      <c r="I4" s="70">
        <v>130743924</v>
      </c>
      <c r="J4" s="70">
        <v>3254078.15</v>
      </c>
      <c r="K4" s="101">
        <v>29756083</v>
      </c>
      <c r="L4" s="70">
        <f>H3+H4</f>
        <v>166682820.15000001</v>
      </c>
      <c r="M4" s="70"/>
      <c r="N4" s="63">
        <f t="shared" si="0"/>
        <v>1.0915705314341848</v>
      </c>
      <c r="O4" s="57">
        <v>0.98</v>
      </c>
      <c r="P4" s="63">
        <f>I4/L4</f>
        <v>0.7843875204555687</v>
      </c>
    </row>
    <row r="5" spans="1:16" x14ac:dyDescent="0.25">
      <c r="B5" s="75" t="s">
        <v>293</v>
      </c>
      <c r="C5" s="98">
        <v>2013</v>
      </c>
      <c r="E5" s="97"/>
      <c r="F5" s="104">
        <v>302700000</v>
      </c>
      <c r="G5" s="101">
        <v>29756083</v>
      </c>
      <c r="H5" s="70">
        <v>108010985.70999999</v>
      </c>
      <c r="I5" s="70">
        <v>3990875</v>
      </c>
      <c r="J5" s="70">
        <v>2123415.2799999998</v>
      </c>
      <c r="K5" s="101">
        <v>131652778.43000001</v>
      </c>
      <c r="L5" s="70">
        <f>H5+L4</f>
        <v>274693805.86000001</v>
      </c>
      <c r="M5" s="70"/>
      <c r="N5" s="63">
        <f t="shared" si="0"/>
        <v>0.90747871113313516</v>
      </c>
      <c r="O5" s="57">
        <v>0.9</v>
      </c>
      <c r="P5" s="63">
        <f>(I4+I5)/L5</f>
        <v>0.49049085245361779</v>
      </c>
    </row>
    <row r="6" spans="1:16" x14ac:dyDescent="0.25">
      <c r="B6" s="75" t="s">
        <v>300</v>
      </c>
      <c r="C6" s="98">
        <v>2014</v>
      </c>
      <c r="E6" s="97"/>
      <c r="F6" s="104">
        <v>336900000</v>
      </c>
      <c r="G6" s="101">
        <v>131652778.43000001</v>
      </c>
      <c r="H6" s="70">
        <v>59641075.119999997</v>
      </c>
      <c r="I6" s="70">
        <v>136286857.68000001</v>
      </c>
      <c r="J6" s="70">
        <v>1599864</v>
      </c>
      <c r="K6" s="101">
        <v>53407131.869999997</v>
      </c>
      <c r="L6" s="70">
        <f>H6+L5</f>
        <v>334334880.98000002</v>
      </c>
      <c r="M6" s="70"/>
      <c r="N6" s="63">
        <f t="shared" si="0"/>
        <v>0.99238611154645306</v>
      </c>
      <c r="O6" s="57">
        <v>0.7</v>
      </c>
      <c r="P6" s="63">
        <f>(I5+I6)/L6</f>
        <v>0.41957253239272829</v>
      </c>
    </row>
    <row r="7" spans="1:16" x14ac:dyDescent="0.25">
      <c r="C7" s="98">
        <v>2015</v>
      </c>
      <c r="E7" s="97"/>
      <c r="F7" s="104">
        <v>336900000</v>
      </c>
      <c r="G7" s="101">
        <v>53407131.869999997</v>
      </c>
      <c r="H7" s="70">
        <v>40155676.710000001</v>
      </c>
      <c r="I7" s="70">
        <v>52468941.899999999</v>
      </c>
      <c r="J7" s="70">
        <v>15962675.380000001</v>
      </c>
      <c r="K7" s="101">
        <v>25131191.300000001</v>
      </c>
      <c r="L7" s="70">
        <f>H7+L6</f>
        <v>374490557.69</v>
      </c>
      <c r="M7" s="70"/>
      <c r="N7" s="63">
        <f t="shared" si="0"/>
        <v>1.1115777907094093</v>
      </c>
      <c r="O7" s="57">
        <v>0.9</v>
      </c>
      <c r="P7" s="63">
        <f>(I6+I7)/L7</f>
        <v>0.5040335349022349</v>
      </c>
    </row>
    <row r="8" spans="1:16" x14ac:dyDescent="0.25">
      <c r="B8" s="75" t="s">
        <v>299</v>
      </c>
      <c r="C8" s="98">
        <v>2016</v>
      </c>
      <c r="E8" s="97"/>
      <c r="F8" s="104">
        <v>80000000</v>
      </c>
      <c r="G8" s="101">
        <v>25131191.300000001</v>
      </c>
      <c r="H8" s="70">
        <v>31186532.399999999</v>
      </c>
      <c r="I8" s="70">
        <v>27026862.399999999</v>
      </c>
      <c r="J8" s="70">
        <v>1500000</v>
      </c>
      <c r="K8" s="101">
        <v>27790861.300000001</v>
      </c>
      <c r="L8" s="70">
        <f>G8+H8</f>
        <v>56317723.700000003</v>
      </c>
      <c r="M8" s="70">
        <f>I8</f>
        <v>27026862.399999999</v>
      </c>
      <c r="N8" s="63">
        <f t="shared" si="0"/>
        <v>0.70397154625000002</v>
      </c>
      <c r="O8" s="57">
        <v>0.85</v>
      </c>
      <c r="P8" s="63">
        <f>M8/L8</f>
        <v>0.47989976555107106</v>
      </c>
    </row>
    <row r="9" spans="1:16" x14ac:dyDescent="0.25">
      <c r="B9" s="75" t="s">
        <v>310</v>
      </c>
      <c r="C9" s="98">
        <v>2017</v>
      </c>
      <c r="E9" s="97"/>
      <c r="F9" s="104">
        <v>50000000</v>
      </c>
      <c r="G9" s="101">
        <v>27790861.300000001</v>
      </c>
      <c r="H9" s="70">
        <v>6889880.5999999996</v>
      </c>
      <c r="I9" s="70">
        <v>9658145.5999999996</v>
      </c>
      <c r="J9" s="70">
        <v>454005</v>
      </c>
      <c r="K9" s="101">
        <v>24568591.300000001</v>
      </c>
      <c r="L9" s="70">
        <f>G9+H9</f>
        <v>34680741.899999999</v>
      </c>
      <c r="M9" s="70">
        <f>I9</f>
        <v>9658145.5999999996</v>
      </c>
      <c r="N9" s="63">
        <f t="shared" si="0"/>
        <v>0.69361483800000001</v>
      </c>
      <c r="O9" s="57">
        <v>0.7</v>
      </c>
      <c r="P9" s="63">
        <f>M9/L9</f>
        <v>0.2784872834568744</v>
      </c>
    </row>
    <row r="10" spans="1:16" x14ac:dyDescent="0.25">
      <c r="C10" s="98">
        <v>2018</v>
      </c>
      <c r="E10" s="97"/>
      <c r="F10" s="104">
        <v>50000000</v>
      </c>
      <c r="G10" s="101">
        <v>24568591.300000001</v>
      </c>
      <c r="H10" s="70"/>
      <c r="I10" s="70">
        <v>24568591.300000001</v>
      </c>
      <c r="J10" s="70"/>
      <c r="K10" s="101"/>
      <c r="L10" s="70">
        <f>H10+L9</f>
        <v>34680741.899999999</v>
      </c>
      <c r="M10" s="70">
        <f>I10</f>
        <v>24568591.300000001</v>
      </c>
      <c r="N10" s="63">
        <f t="shared" si="0"/>
        <v>0.69361483800000001</v>
      </c>
      <c r="O10" s="57">
        <v>1</v>
      </c>
      <c r="P10" s="63">
        <f>M10/L10</f>
        <v>0.70842173361925687</v>
      </c>
    </row>
    <row r="11" spans="1:16" ht="31.5" x14ac:dyDescent="0.25">
      <c r="B11" s="75" t="s">
        <v>283</v>
      </c>
      <c r="C11" s="98">
        <v>2011</v>
      </c>
      <c r="D11">
        <v>2011</v>
      </c>
      <c r="E11" s="97"/>
      <c r="F11" s="104">
        <v>70000000</v>
      </c>
      <c r="G11" s="101"/>
      <c r="H11" s="70">
        <v>22085315.850000001</v>
      </c>
      <c r="I11" s="70"/>
      <c r="J11" s="70"/>
      <c r="K11" s="101">
        <v>22085315.850000001</v>
      </c>
      <c r="L11" s="70">
        <f>H11+G11</f>
        <v>22085315.850000001</v>
      </c>
      <c r="M11" s="70"/>
      <c r="N11" s="63">
        <f t="shared" si="0"/>
        <v>0.31550451214285719</v>
      </c>
      <c r="O11" s="57">
        <v>0.6</v>
      </c>
      <c r="P11" s="63">
        <f>I11/L11</f>
        <v>0</v>
      </c>
    </row>
    <row r="12" spans="1:16" x14ac:dyDescent="0.25">
      <c r="C12" s="98">
        <v>2012</v>
      </c>
      <c r="E12" s="97"/>
      <c r="F12" s="104">
        <v>70000000</v>
      </c>
      <c r="G12" s="101">
        <v>22085315.850000001</v>
      </c>
      <c r="H12" s="70">
        <v>31551314.25</v>
      </c>
      <c r="I12" s="70">
        <v>24637405.5</v>
      </c>
      <c r="J12" s="70">
        <v>2038000</v>
      </c>
      <c r="K12" s="101">
        <v>26961224.600000001</v>
      </c>
      <c r="L12" s="70">
        <f>H11+H12</f>
        <v>53636630.100000001</v>
      </c>
      <c r="M12" s="70"/>
      <c r="N12" s="63">
        <f t="shared" si="0"/>
        <v>0.76623757285714289</v>
      </c>
      <c r="O12" s="57">
        <v>0.85</v>
      </c>
      <c r="P12" s="63">
        <f t="shared" ref="P12:P84" si="1">I12/L12</f>
        <v>0.45933917649311828</v>
      </c>
    </row>
    <row r="13" spans="1:16" x14ac:dyDescent="0.25">
      <c r="C13" s="98">
        <v>2013</v>
      </c>
      <c r="E13" s="97"/>
      <c r="F13" s="104">
        <v>70000000</v>
      </c>
      <c r="G13" s="101">
        <v>26961224.600000001</v>
      </c>
      <c r="H13" s="70">
        <v>12293380.51</v>
      </c>
      <c r="I13" s="70">
        <v>38487626.600000001</v>
      </c>
      <c r="J13" s="70">
        <v>466978.51</v>
      </c>
      <c r="K13" s="101"/>
      <c r="L13" s="70">
        <f>L12+H13</f>
        <v>65930010.609999999</v>
      </c>
      <c r="M13" s="70"/>
      <c r="N13" s="63">
        <f t="shared" si="0"/>
        <v>0.94185729442857147</v>
      </c>
      <c r="O13" s="57">
        <v>0.95</v>
      </c>
      <c r="P13" s="63">
        <f t="shared" si="1"/>
        <v>0.58376490833087102</v>
      </c>
    </row>
    <row r="14" spans="1:16" x14ac:dyDescent="0.25">
      <c r="C14" s="98">
        <v>2014</v>
      </c>
      <c r="E14" s="97"/>
      <c r="F14" s="104">
        <v>70000000</v>
      </c>
      <c r="G14" s="101">
        <v>300000</v>
      </c>
      <c r="H14" s="70">
        <v>2884055.49</v>
      </c>
      <c r="I14" s="70">
        <v>3184055.49</v>
      </c>
      <c r="L14" s="70">
        <f>L13+H14</f>
        <v>68814066.099999994</v>
      </c>
      <c r="M14" s="70"/>
      <c r="N14" s="63">
        <f t="shared" si="0"/>
        <v>0.98305808714285703</v>
      </c>
      <c r="O14" s="57">
        <v>0.96</v>
      </c>
      <c r="P14" s="63">
        <f t="shared" si="1"/>
        <v>4.6270416361866469E-2</v>
      </c>
    </row>
    <row r="15" spans="1:16" x14ac:dyDescent="0.25">
      <c r="C15" s="98">
        <v>2015</v>
      </c>
      <c r="E15" s="97"/>
      <c r="F15" s="104">
        <v>70000000</v>
      </c>
      <c r="G15" s="101"/>
      <c r="H15" s="70">
        <v>-2958311</v>
      </c>
      <c r="I15" s="70">
        <v>-2958311</v>
      </c>
      <c r="L15" s="70">
        <f>L14+H15</f>
        <v>65855755.099999994</v>
      </c>
      <c r="M15" s="70"/>
      <c r="N15" s="63">
        <f t="shared" si="0"/>
        <v>0.9407965014285713</v>
      </c>
      <c r="O15" s="57">
        <v>0.96</v>
      </c>
      <c r="P15" s="63">
        <f t="shared" si="1"/>
        <v>-4.4921070231567356E-2</v>
      </c>
    </row>
    <row r="16" spans="1:16" x14ac:dyDescent="0.25">
      <c r="B16" s="99" t="s">
        <v>343</v>
      </c>
      <c r="C16" s="98">
        <v>2020</v>
      </c>
      <c r="E16" s="97"/>
      <c r="F16" s="104">
        <v>188344300</v>
      </c>
      <c r="G16" s="101"/>
      <c r="H16" s="103">
        <v>125023727.11</v>
      </c>
      <c r="I16" s="70">
        <v>60896475.200000003</v>
      </c>
      <c r="J16" s="70">
        <v>32672076.609999999</v>
      </c>
      <c r="K16" s="101">
        <v>31455175.300000001</v>
      </c>
      <c r="L16" s="70">
        <f>H16</f>
        <v>125023727.11</v>
      </c>
      <c r="M16" s="70">
        <f>I16</f>
        <v>60896475.200000003</v>
      </c>
      <c r="N16" s="63">
        <f>L16/F16</f>
        <v>0.66380414544002664</v>
      </c>
      <c r="O16" s="57">
        <v>0.8</v>
      </c>
      <c r="P16" s="63">
        <f>M16/L16</f>
        <v>0.48707934571828332</v>
      </c>
    </row>
    <row r="17" spans="1:16" ht="31.5" x14ac:dyDescent="0.25">
      <c r="B17" s="75" t="s">
        <v>311</v>
      </c>
      <c r="C17" s="98">
        <v>2017</v>
      </c>
      <c r="E17" s="97"/>
      <c r="F17" s="104">
        <v>13766600</v>
      </c>
      <c r="G17" s="101"/>
      <c r="H17" s="70">
        <v>6632053</v>
      </c>
      <c r="I17" s="70"/>
      <c r="K17" s="101">
        <v>6632053</v>
      </c>
      <c r="L17" s="70">
        <f>H17</f>
        <v>6632053</v>
      </c>
      <c r="M17" s="70"/>
      <c r="N17" s="63">
        <f t="shared" si="0"/>
        <v>0.481749524210771</v>
      </c>
      <c r="O17" s="57">
        <v>0.4</v>
      </c>
      <c r="P17" s="63">
        <f t="shared" si="1"/>
        <v>0</v>
      </c>
    </row>
    <row r="18" spans="1:16" x14ac:dyDescent="0.25">
      <c r="C18" s="98">
        <v>2018</v>
      </c>
      <c r="E18" s="97"/>
      <c r="F18" s="104">
        <v>35000000</v>
      </c>
      <c r="G18" s="101">
        <v>6632053</v>
      </c>
      <c r="H18" s="70">
        <v>25365145.100000001</v>
      </c>
      <c r="I18" s="70">
        <v>31747198.100000001</v>
      </c>
      <c r="J18" s="70">
        <v>250000</v>
      </c>
      <c r="K18" s="101"/>
      <c r="L18" s="70">
        <f>H18+K17</f>
        <v>31997198.100000001</v>
      </c>
      <c r="M18" s="70"/>
      <c r="N18" s="63">
        <f t="shared" si="0"/>
        <v>0.91420566000000003</v>
      </c>
      <c r="O18" s="57">
        <v>1</v>
      </c>
      <c r="P18" s="63">
        <f>I18/L18</f>
        <v>0.99218681588248192</v>
      </c>
    </row>
    <row r="19" spans="1:16" ht="47.25" x14ac:dyDescent="0.25">
      <c r="B19" s="75" t="s">
        <v>316</v>
      </c>
      <c r="C19" s="98">
        <v>2018</v>
      </c>
      <c r="E19" s="97"/>
      <c r="F19" s="104">
        <v>75000000</v>
      </c>
      <c r="G19" s="101"/>
      <c r="H19" s="70">
        <v>72663604.590000004</v>
      </c>
      <c r="I19" s="70">
        <v>47438897.390000001</v>
      </c>
      <c r="J19" s="70">
        <v>22099707.199999999</v>
      </c>
      <c r="K19" s="101">
        <v>3125000</v>
      </c>
      <c r="L19" s="70">
        <f>H19+K18</f>
        <v>72663604.590000004</v>
      </c>
      <c r="M19" s="70">
        <f>I19</f>
        <v>47438897.390000001</v>
      </c>
      <c r="N19" s="63">
        <f t="shared" si="0"/>
        <v>0.9688480612</v>
      </c>
      <c r="O19" s="57">
        <v>0.95</v>
      </c>
      <c r="P19" s="63">
        <f>I19/L19</f>
        <v>0.65285637366424509</v>
      </c>
    </row>
    <row r="20" spans="1:16" x14ac:dyDescent="0.25">
      <c r="C20" s="98">
        <v>2019</v>
      </c>
      <c r="E20" s="97"/>
      <c r="F20" s="104">
        <v>75000000</v>
      </c>
      <c r="G20" s="101">
        <v>3125000</v>
      </c>
      <c r="H20" s="70">
        <v>6995274.4400000004</v>
      </c>
      <c r="I20" s="70">
        <v>4398004.4400000004</v>
      </c>
      <c r="J20" s="70">
        <v>5722270</v>
      </c>
      <c r="K20" s="101"/>
      <c r="L20" s="70">
        <f>H20+L19</f>
        <v>79658879.030000001</v>
      </c>
      <c r="M20" s="70">
        <f>I20+M19</f>
        <v>51836901.829999998</v>
      </c>
      <c r="N20" s="63">
        <f t="shared" si="0"/>
        <v>1.0621183870666666</v>
      </c>
      <c r="O20" s="102">
        <v>1</v>
      </c>
      <c r="P20" s="63">
        <f>M20/L20</f>
        <v>0.65073601915083334</v>
      </c>
    </row>
    <row r="21" spans="1:16" ht="31.5" x14ac:dyDescent="0.25">
      <c r="B21" s="75" t="s">
        <v>324</v>
      </c>
      <c r="C21" s="98">
        <v>2019</v>
      </c>
      <c r="E21" s="97"/>
      <c r="F21" s="104">
        <v>159840000</v>
      </c>
      <c r="G21" s="101"/>
      <c r="H21" s="70">
        <v>58199776.600000001</v>
      </c>
      <c r="I21" s="70"/>
      <c r="J21" s="70">
        <v>58199776.600000001</v>
      </c>
      <c r="K21" s="101"/>
      <c r="L21" s="70">
        <f>H21</f>
        <v>58199776.600000001</v>
      </c>
      <c r="M21" s="70">
        <f>I21</f>
        <v>0</v>
      </c>
      <c r="N21" s="63">
        <f t="shared" si="0"/>
        <v>0.36411271646646648</v>
      </c>
      <c r="O21" s="57">
        <v>0.5</v>
      </c>
      <c r="P21" s="63">
        <f>M21/L21</f>
        <v>0</v>
      </c>
    </row>
    <row r="22" spans="1:16" x14ac:dyDescent="0.25">
      <c r="B22" s="99"/>
      <c r="C22" s="98">
        <v>2020</v>
      </c>
      <c r="E22" s="97"/>
      <c r="F22" s="104">
        <v>160790000</v>
      </c>
      <c r="G22" s="101">
        <v>58199776.600000001</v>
      </c>
      <c r="H22" s="70">
        <v>112842927.40000001</v>
      </c>
      <c r="I22" s="70">
        <v>170294743</v>
      </c>
      <c r="J22" s="70">
        <v>747961</v>
      </c>
      <c r="K22" s="101"/>
      <c r="L22" s="70">
        <f>H22+L21</f>
        <v>171042704</v>
      </c>
      <c r="M22" s="70">
        <f>I22</f>
        <v>170294743</v>
      </c>
      <c r="N22" s="63">
        <f t="shared" si="0"/>
        <v>1.0637645624727905</v>
      </c>
      <c r="O22" s="102">
        <v>1</v>
      </c>
      <c r="P22" s="63">
        <f>M22/L22</f>
        <v>0.99562705112519734</v>
      </c>
    </row>
    <row r="23" spans="1:16" ht="31.5" x14ac:dyDescent="0.25">
      <c r="B23" s="75" t="s">
        <v>323</v>
      </c>
      <c r="C23" s="98">
        <v>2019</v>
      </c>
      <c r="E23" s="97"/>
      <c r="F23" s="104">
        <v>58821929.100000001</v>
      </c>
      <c r="G23" s="101"/>
      <c r="H23" s="70">
        <v>55495841.659999996</v>
      </c>
      <c r="I23" s="70">
        <v>27413276.710000001</v>
      </c>
      <c r="J23" s="70">
        <v>28082564.949999999</v>
      </c>
      <c r="K23" s="101"/>
      <c r="L23" s="70">
        <f>H23</f>
        <v>55495841.659999996</v>
      </c>
      <c r="M23" s="70">
        <f>I23</f>
        <v>27413276.710000001</v>
      </c>
      <c r="N23" s="63">
        <f t="shared" si="0"/>
        <v>0.94345497519563659</v>
      </c>
      <c r="O23" s="102">
        <v>1</v>
      </c>
      <c r="P23" s="63">
        <f>M23/L23</f>
        <v>0.49396992441253124</v>
      </c>
    </row>
    <row r="25" spans="1:16" ht="31.5" x14ac:dyDescent="0.25">
      <c r="A25" s="109" t="s">
        <v>271</v>
      </c>
      <c r="B25" s="75" t="s">
        <v>270</v>
      </c>
      <c r="C25" s="98">
        <v>2010</v>
      </c>
      <c r="D25" s="97">
        <v>40179</v>
      </c>
      <c r="F25" s="104">
        <v>313000000</v>
      </c>
      <c r="G25" s="101">
        <v>6632053</v>
      </c>
      <c r="H25" s="70">
        <v>5411520</v>
      </c>
      <c r="I25" s="70">
        <v>1239953</v>
      </c>
      <c r="K25" s="101">
        <v>4171567</v>
      </c>
      <c r="L25" s="70">
        <f>H25+G25</f>
        <v>12043573</v>
      </c>
      <c r="M25" s="70" t="s">
        <v>322</v>
      </c>
      <c r="N25" s="63">
        <f t="shared" si="0"/>
        <v>3.8477869009584664E-2</v>
      </c>
      <c r="O25" s="57">
        <v>0.1</v>
      </c>
      <c r="P25" s="63">
        <f t="shared" si="1"/>
        <v>0.10295557638916623</v>
      </c>
    </row>
    <row r="26" spans="1:16" x14ac:dyDescent="0.25">
      <c r="C26" s="98">
        <v>2011</v>
      </c>
      <c r="D26" s="97"/>
      <c r="F26" s="104">
        <v>313000000</v>
      </c>
      <c r="G26" s="101">
        <v>2411520</v>
      </c>
      <c r="H26" s="70">
        <v>259521089.56</v>
      </c>
      <c r="I26" s="70">
        <v>213194378.75999999</v>
      </c>
      <c r="J26" s="70">
        <v>8622850.8000000007</v>
      </c>
      <c r="K26" s="101">
        <v>40115380</v>
      </c>
      <c r="L26" s="70">
        <f>H26+G26</f>
        <v>261932609.56</v>
      </c>
      <c r="M26" s="70"/>
      <c r="N26" s="63">
        <f t="shared" si="0"/>
        <v>0.83684539795527157</v>
      </c>
      <c r="O26" s="57">
        <v>0.84</v>
      </c>
      <c r="P26" s="63">
        <f t="shared" si="1"/>
        <v>0.81392835782504691</v>
      </c>
    </row>
    <row r="27" spans="1:16" x14ac:dyDescent="0.25">
      <c r="C27" s="98">
        <v>2012</v>
      </c>
      <c r="D27" s="97"/>
      <c r="F27" s="104">
        <v>313000000</v>
      </c>
      <c r="G27" s="101">
        <v>40115380</v>
      </c>
      <c r="H27" s="70">
        <v>27016538.43</v>
      </c>
      <c r="I27" s="70">
        <v>65679303.43</v>
      </c>
      <c r="J27" s="70">
        <v>1452615</v>
      </c>
      <c r="K27" s="101"/>
      <c r="L27" s="70">
        <f>L26+H27</f>
        <v>288949147.99000001</v>
      </c>
      <c r="M27" s="70"/>
      <c r="N27" s="63">
        <f t="shared" si="0"/>
        <v>0.92316021722044728</v>
      </c>
      <c r="O27" s="57">
        <v>0.94</v>
      </c>
      <c r="P27" s="63">
        <f t="shared" si="1"/>
        <v>0.22730402178681294</v>
      </c>
    </row>
    <row r="28" spans="1:16" ht="31.5" x14ac:dyDescent="0.25">
      <c r="B28" s="75" t="s">
        <v>285</v>
      </c>
      <c r="C28" s="98">
        <v>2011</v>
      </c>
      <c r="D28">
        <v>2011</v>
      </c>
      <c r="F28" s="104">
        <v>4000000</v>
      </c>
      <c r="G28" s="101">
        <v>1760047</v>
      </c>
      <c r="H28" s="70"/>
      <c r="I28" s="70"/>
      <c r="J28" s="70">
        <v>672470</v>
      </c>
      <c r="K28" s="101">
        <v>1087577</v>
      </c>
      <c r="L28" s="70">
        <f t="shared" ref="L28:L36" si="2">H28+G28</f>
        <v>1760047</v>
      </c>
      <c r="M28" s="70"/>
      <c r="N28" s="63">
        <f t="shared" si="0"/>
        <v>0.44001174999999998</v>
      </c>
      <c r="O28" s="57">
        <v>0.5</v>
      </c>
      <c r="P28" s="63">
        <f t="shared" si="1"/>
        <v>0</v>
      </c>
    </row>
    <row r="29" spans="1:16" x14ac:dyDescent="0.25">
      <c r="C29" s="98">
        <v>2012</v>
      </c>
      <c r="F29" s="104">
        <v>7500000</v>
      </c>
      <c r="G29" s="101">
        <v>1087577</v>
      </c>
      <c r="H29" s="70">
        <v>6171263.4199999999</v>
      </c>
      <c r="I29" s="70">
        <v>6304020.4199999999</v>
      </c>
      <c r="J29" s="70">
        <v>954820</v>
      </c>
      <c r="K29" s="101"/>
      <c r="L29" s="70">
        <f t="shared" si="2"/>
        <v>7258840.4199999999</v>
      </c>
      <c r="M29" s="70"/>
      <c r="N29" s="63">
        <f t="shared" si="0"/>
        <v>0.96784538933333331</v>
      </c>
      <c r="O29" s="102">
        <v>1</v>
      </c>
      <c r="P29" s="63">
        <f t="shared" si="1"/>
        <v>0.86846108403633981</v>
      </c>
    </row>
    <row r="30" spans="1:16" x14ac:dyDescent="0.25">
      <c r="B30" s="75" t="s">
        <v>295</v>
      </c>
      <c r="C30" s="98">
        <v>2014</v>
      </c>
      <c r="F30" s="104">
        <v>45000000</v>
      </c>
      <c r="G30" s="101"/>
      <c r="H30" s="70">
        <v>43164362.240000002</v>
      </c>
      <c r="I30" s="70">
        <v>41164362.240000002</v>
      </c>
      <c r="J30" s="70">
        <v>2000000</v>
      </c>
      <c r="K30" s="101"/>
      <c r="L30" s="70">
        <f t="shared" si="2"/>
        <v>43164362.240000002</v>
      </c>
      <c r="M30" s="70"/>
      <c r="N30" s="63">
        <f t="shared" si="0"/>
        <v>0.95920804977777785</v>
      </c>
      <c r="O30" s="102">
        <v>1</v>
      </c>
      <c r="P30" s="63">
        <f t="shared" si="1"/>
        <v>0.95366548012733943</v>
      </c>
    </row>
    <row r="31" spans="1:16" ht="31.5" x14ac:dyDescent="0.25">
      <c r="B31" s="75" t="s">
        <v>297</v>
      </c>
      <c r="C31" s="98">
        <v>2015</v>
      </c>
      <c r="F31" s="104">
        <v>68000000</v>
      </c>
      <c r="G31" s="101"/>
      <c r="H31" s="70">
        <v>4550475</v>
      </c>
      <c r="I31" s="70">
        <v>4550475</v>
      </c>
      <c r="J31" s="70"/>
      <c r="K31" s="101"/>
      <c r="L31" s="70">
        <f t="shared" si="2"/>
        <v>4550475</v>
      </c>
      <c r="M31" s="70"/>
      <c r="N31" s="63">
        <f t="shared" si="0"/>
        <v>6.6918749999999999E-2</v>
      </c>
      <c r="O31" s="106">
        <v>0.1</v>
      </c>
      <c r="P31" s="63">
        <f t="shared" si="1"/>
        <v>1</v>
      </c>
    </row>
    <row r="32" spans="1:16" x14ac:dyDescent="0.25">
      <c r="C32" s="98">
        <v>2016</v>
      </c>
      <c r="F32" s="104">
        <v>68000000</v>
      </c>
      <c r="G32" s="101"/>
      <c r="H32" s="70">
        <v>67792976.200000003</v>
      </c>
      <c r="I32" s="70">
        <v>47199023.200000003</v>
      </c>
      <c r="J32" s="70">
        <v>20593953</v>
      </c>
      <c r="K32" s="101"/>
      <c r="L32" s="70">
        <f t="shared" si="2"/>
        <v>67792976.200000003</v>
      </c>
      <c r="M32" s="70"/>
      <c r="N32" s="63">
        <f t="shared" si="0"/>
        <v>0.99695553235294121</v>
      </c>
      <c r="O32" s="102">
        <v>1</v>
      </c>
      <c r="P32" s="63">
        <f t="shared" si="1"/>
        <v>0.69622291047903573</v>
      </c>
    </row>
    <row r="33" spans="1:16" ht="31.5" x14ac:dyDescent="0.25">
      <c r="B33" s="75" t="s">
        <v>312</v>
      </c>
      <c r="C33" s="98">
        <v>2017</v>
      </c>
      <c r="F33" s="104"/>
      <c r="G33" s="101"/>
      <c r="H33" s="70">
        <v>22017556</v>
      </c>
      <c r="I33" s="70">
        <v>19001398</v>
      </c>
      <c r="J33" s="70">
        <v>3016158</v>
      </c>
      <c r="K33" s="101"/>
      <c r="L33" s="70">
        <f t="shared" si="2"/>
        <v>22017556</v>
      </c>
      <c r="M33" s="70"/>
      <c r="N33" s="63" t="e">
        <f>L33/F33</f>
        <v>#DIV/0!</v>
      </c>
      <c r="O33" s="102"/>
      <c r="P33" s="63">
        <f t="shared" si="1"/>
        <v>0.8630112261324554</v>
      </c>
    </row>
    <row r="34" spans="1:16" x14ac:dyDescent="0.25">
      <c r="B34" s="75" t="s">
        <v>317</v>
      </c>
      <c r="C34" s="98">
        <v>2018</v>
      </c>
      <c r="F34" s="104">
        <v>20000000</v>
      </c>
      <c r="G34" s="101"/>
      <c r="H34" s="70">
        <v>18929175.600000001</v>
      </c>
      <c r="I34" s="103">
        <v>3206358</v>
      </c>
      <c r="J34" s="70">
        <v>15022817.6</v>
      </c>
      <c r="K34" s="101">
        <v>700000</v>
      </c>
      <c r="L34" s="70">
        <f t="shared" si="2"/>
        <v>18929175.600000001</v>
      </c>
      <c r="M34" s="70"/>
      <c r="N34" s="63">
        <f>L34/F34</f>
        <v>0.94645878000000006</v>
      </c>
      <c r="O34" s="106">
        <v>0.9</v>
      </c>
      <c r="P34" s="63">
        <f t="shared" si="1"/>
        <v>0.16938709153292444</v>
      </c>
    </row>
    <row r="35" spans="1:16" x14ac:dyDescent="0.25">
      <c r="B35" s="75" t="s">
        <v>302</v>
      </c>
      <c r="C35" s="98">
        <v>2016</v>
      </c>
      <c r="F35" s="104">
        <v>85770000</v>
      </c>
      <c r="G35" s="101"/>
      <c r="H35" s="70">
        <v>13450000</v>
      </c>
      <c r="I35" s="70"/>
      <c r="J35" s="70"/>
      <c r="K35" s="101">
        <v>13450000</v>
      </c>
      <c r="L35" s="70">
        <f t="shared" si="2"/>
        <v>13450000</v>
      </c>
      <c r="M35" s="70"/>
      <c r="N35" s="63">
        <f t="shared" ref="N35:N46" si="3">L35/F35</f>
        <v>0.15681473708755975</v>
      </c>
      <c r="O35" s="106">
        <v>0.15</v>
      </c>
      <c r="P35" s="63">
        <f t="shared" si="1"/>
        <v>0</v>
      </c>
    </row>
    <row r="36" spans="1:16" x14ac:dyDescent="0.25">
      <c r="B36" s="75" t="s">
        <v>302</v>
      </c>
      <c r="C36" s="98">
        <v>2017</v>
      </c>
      <c r="F36" s="104">
        <v>22185540</v>
      </c>
      <c r="G36" s="101">
        <v>13450000</v>
      </c>
      <c r="H36" s="70">
        <v>1350000</v>
      </c>
      <c r="I36" s="70"/>
      <c r="J36" s="70"/>
      <c r="K36" s="101">
        <v>14800000</v>
      </c>
      <c r="L36" s="70">
        <f t="shared" si="2"/>
        <v>14800000</v>
      </c>
      <c r="M36" s="70"/>
      <c r="N36" s="63">
        <f t="shared" si="3"/>
        <v>0.66710118392430384</v>
      </c>
      <c r="O36" s="106">
        <v>0.7</v>
      </c>
      <c r="P36" s="63">
        <f t="shared" si="1"/>
        <v>0</v>
      </c>
    </row>
    <row r="37" spans="1:16" x14ac:dyDescent="0.25">
      <c r="C37" s="98">
        <v>2018</v>
      </c>
      <c r="F37" s="104">
        <v>22185540</v>
      </c>
      <c r="G37" s="101">
        <v>14800000</v>
      </c>
      <c r="H37" s="70">
        <v>2619000</v>
      </c>
      <c r="I37" s="70"/>
      <c r="J37" s="70"/>
      <c r="K37" s="101">
        <v>17419000</v>
      </c>
      <c r="L37" s="70">
        <f>H37+L36</f>
        <v>17419000</v>
      </c>
      <c r="M37" s="70"/>
      <c r="N37" s="63">
        <f t="shared" si="3"/>
        <v>0.78515104883631415</v>
      </c>
      <c r="O37" s="106">
        <v>0.7</v>
      </c>
      <c r="P37" s="63">
        <f t="shared" si="1"/>
        <v>0</v>
      </c>
    </row>
    <row r="38" spans="1:16" x14ac:dyDescent="0.25">
      <c r="C38" s="98">
        <v>2019</v>
      </c>
      <c r="F38" s="104">
        <v>22185540</v>
      </c>
      <c r="G38" s="101">
        <v>17419000</v>
      </c>
      <c r="H38" s="70">
        <v>3958209</v>
      </c>
      <c r="I38" s="70"/>
      <c r="J38" s="70"/>
      <c r="K38" s="101">
        <v>21377209</v>
      </c>
      <c r="L38" s="70">
        <f>H38+L37</f>
        <v>21377209</v>
      </c>
      <c r="M38" s="70"/>
      <c r="N38" s="63">
        <f t="shared" si="3"/>
        <v>0.96356496168224892</v>
      </c>
      <c r="O38" s="106">
        <v>0.8</v>
      </c>
      <c r="P38" s="63">
        <f t="shared" si="1"/>
        <v>0</v>
      </c>
    </row>
    <row r="39" spans="1:16" x14ac:dyDescent="0.25">
      <c r="B39" s="99"/>
      <c r="C39" s="98">
        <v>2020</v>
      </c>
      <c r="F39" s="104">
        <v>22185540</v>
      </c>
      <c r="G39" s="101">
        <v>21377209</v>
      </c>
      <c r="H39" s="70">
        <v>578660</v>
      </c>
      <c r="I39" s="70">
        <v>21955869</v>
      </c>
      <c r="J39" s="70"/>
      <c r="K39" s="101"/>
      <c r="L39" s="70">
        <f>H39+L38</f>
        <v>21955869</v>
      </c>
      <c r="M39" s="70"/>
      <c r="N39" s="63">
        <f t="shared" si="3"/>
        <v>0.98964771648560279</v>
      </c>
      <c r="O39" s="106">
        <v>1</v>
      </c>
      <c r="P39" s="63">
        <f t="shared" si="1"/>
        <v>1</v>
      </c>
    </row>
    <row r="40" spans="1:16" ht="31.5" x14ac:dyDescent="0.25">
      <c r="B40" s="75" t="s">
        <v>331</v>
      </c>
      <c r="C40" s="98">
        <v>2019</v>
      </c>
      <c r="F40" s="104">
        <v>38858885.299999997</v>
      </c>
      <c r="G40" s="101">
        <v>700000</v>
      </c>
      <c r="H40" s="70">
        <v>34855744.5</v>
      </c>
      <c r="I40" s="70">
        <v>29054143.300000001</v>
      </c>
      <c r="J40" s="70">
        <v>5162761.2</v>
      </c>
      <c r="K40" s="101">
        <v>1338840</v>
      </c>
      <c r="L40" s="70">
        <f>H40+G40</f>
        <v>35555744.5</v>
      </c>
      <c r="M40" s="70">
        <f>I40</f>
        <v>29054143.300000001</v>
      </c>
      <c r="N40" s="63">
        <f t="shared" si="3"/>
        <v>0.91499651175017116</v>
      </c>
      <c r="O40" s="106">
        <v>0.9</v>
      </c>
      <c r="P40" s="63">
        <f t="shared" si="1"/>
        <v>0.81714343796119926</v>
      </c>
    </row>
    <row r="41" spans="1:16" ht="31.5" x14ac:dyDescent="0.25">
      <c r="B41" s="99" t="s">
        <v>330</v>
      </c>
      <c r="C41" s="98">
        <v>2020</v>
      </c>
      <c r="F41" s="104">
        <v>28383000</v>
      </c>
      <c r="G41" s="101">
        <v>1338840</v>
      </c>
      <c r="H41" s="70">
        <v>18392930.050000001</v>
      </c>
      <c r="I41" s="70">
        <v>14372889.699999999</v>
      </c>
      <c r="J41" s="70">
        <v>5358880.3499999996</v>
      </c>
      <c r="K41" s="101"/>
      <c r="L41" s="70">
        <f>H41</f>
        <v>18392930.050000001</v>
      </c>
      <c r="M41" s="70">
        <f>I41+M40</f>
        <v>43427033</v>
      </c>
      <c r="N41" s="63">
        <f t="shared" si="3"/>
        <v>0.64802628510023608</v>
      </c>
      <c r="O41" s="106">
        <v>1</v>
      </c>
      <c r="P41" s="63">
        <f t="shared" si="1"/>
        <v>0.78143556578142903</v>
      </c>
    </row>
    <row r="42" spans="1:16" x14ac:dyDescent="0.25">
      <c r="A42" s="109" t="s">
        <v>290</v>
      </c>
      <c r="B42" s="75" t="s">
        <v>284</v>
      </c>
      <c r="C42" s="98">
        <v>2011</v>
      </c>
      <c r="D42">
        <v>2011</v>
      </c>
      <c r="F42" s="104">
        <v>217600000</v>
      </c>
      <c r="H42" s="70">
        <v>227988</v>
      </c>
      <c r="K42" s="101">
        <v>227988</v>
      </c>
      <c r="L42" s="70">
        <f>H42+G42</f>
        <v>227988</v>
      </c>
      <c r="M42" s="70"/>
      <c r="N42" s="63">
        <f t="shared" si="3"/>
        <v>1.0477389705882353E-3</v>
      </c>
      <c r="O42" s="57">
        <v>0.01</v>
      </c>
      <c r="P42" s="63">
        <f t="shared" si="1"/>
        <v>0</v>
      </c>
    </row>
    <row r="43" spans="1:16" x14ac:dyDescent="0.25">
      <c r="C43" s="98">
        <v>2012</v>
      </c>
      <c r="F43" s="104">
        <v>217600000</v>
      </c>
      <c r="G43" s="101">
        <v>227988</v>
      </c>
      <c r="H43" s="70">
        <v>142686470.75999999</v>
      </c>
      <c r="I43" s="70">
        <v>142914458.75999999</v>
      </c>
      <c r="K43" s="101"/>
      <c r="L43" s="70">
        <f>H43+G43</f>
        <v>142914458.75999999</v>
      </c>
      <c r="M43" s="70"/>
      <c r="N43" s="63">
        <f t="shared" si="3"/>
        <v>0.65677600533088232</v>
      </c>
      <c r="O43" s="57">
        <v>0.85</v>
      </c>
      <c r="P43" s="63">
        <f t="shared" si="1"/>
        <v>1</v>
      </c>
    </row>
    <row r="44" spans="1:16" x14ac:dyDescent="0.25">
      <c r="C44" s="98">
        <v>2013</v>
      </c>
      <c r="F44" s="104">
        <v>217600000</v>
      </c>
      <c r="G44" s="101"/>
      <c r="H44" s="70">
        <v>2735742</v>
      </c>
      <c r="I44" s="70">
        <v>2735742</v>
      </c>
      <c r="K44" s="101"/>
      <c r="L44" s="70">
        <f>H44+L43</f>
        <v>145650200.75999999</v>
      </c>
      <c r="M44" s="70"/>
      <c r="N44" s="63">
        <f t="shared" si="3"/>
        <v>0.66934834908088225</v>
      </c>
      <c r="O44" s="57">
        <v>0.95</v>
      </c>
      <c r="P44" s="63">
        <f>(I44+I43)/L44</f>
        <v>1</v>
      </c>
    </row>
    <row r="45" spans="1:16" x14ac:dyDescent="0.25">
      <c r="C45" s="98">
        <v>2014</v>
      </c>
      <c r="F45" s="104">
        <v>217600000</v>
      </c>
      <c r="G45" s="101"/>
      <c r="H45" s="70">
        <v>-2820026</v>
      </c>
      <c r="I45" s="70">
        <v>-2820026</v>
      </c>
      <c r="K45" s="101"/>
      <c r="L45" s="70">
        <f>H45+L44</f>
        <v>142830174.75999999</v>
      </c>
      <c r="M45" s="70"/>
      <c r="N45" s="63">
        <f t="shared" si="3"/>
        <v>0.65638867077205876</v>
      </c>
      <c r="O45" s="102">
        <v>1</v>
      </c>
      <c r="P45" s="63">
        <f>(I45+I44+I43)/L45</f>
        <v>1</v>
      </c>
    </row>
    <row r="46" spans="1:16" x14ac:dyDescent="0.25">
      <c r="C46" s="98">
        <v>2015</v>
      </c>
      <c r="F46" s="105">
        <v>217600000</v>
      </c>
      <c r="G46" s="101"/>
      <c r="H46" s="70">
        <v>-2279000</v>
      </c>
      <c r="I46" s="70">
        <v>-2279000</v>
      </c>
      <c r="K46" s="101"/>
      <c r="L46" s="70">
        <f>H46+L45</f>
        <v>140551174.75999999</v>
      </c>
      <c r="M46" s="70">
        <f>I43+I44+I45+I46</f>
        <v>140551174.75999999</v>
      </c>
      <c r="N46" s="63">
        <f t="shared" si="3"/>
        <v>0.64591532518382344</v>
      </c>
      <c r="O46" s="102">
        <v>1</v>
      </c>
      <c r="P46" s="63">
        <f t="shared" ref="P46:P51" si="4">M46/L46</f>
        <v>1</v>
      </c>
    </row>
    <row r="47" spans="1:16" ht="31.5" x14ac:dyDescent="0.25">
      <c r="B47" s="75" t="s">
        <v>301</v>
      </c>
      <c r="C47" s="98">
        <v>2016</v>
      </c>
      <c r="F47" s="105"/>
      <c r="G47" s="101"/>
      <c r="H47" s="70">
        <v>6286549</v>
      </c>
      <c r="I47" s="70">
        <v>5990612.3700000001</v>
      </c>
      <c r="J47" s="70">
        <v>295936.63</v>
      </c>
      <c r="K47" s="101"/>
      <c r="L47" s="70">
        <f>H47</f>
        <v>6286549</v>
      </c>
      <c r="M47" s="70">
        <f>I47</f>
        <v>5990612.3700000001</v>
      </c>
      <c r="N47" s="63" t="e">
        <f>L47/F47</f>
        <v>#DIV/0!</v>
      </c>
      <c r="O47" s="102"/>
      <c r="P47" s="63">
        <f t="shared" si="4"/>
        <v>0.95292542378974543</v>
      </c>
    </row>
    <row r="48" spans="1:16" x14ac:dyDescent="0.25">
      <c r="B48" s="75" t="s">
        <v>325</v>
      </c>
      <c r="C48" s="98">
        <v>2019</v>
      </c>
      <c r="F48" s="105">
        <v>3000000</v>
      </c>
      <c r="G48" s="101"/>
      <c r="H48" s="70">
        <v>1131346</v>
      </c>
      <c r="I48" s="70"/>
      <c r="J48" s="70"/>
      <c r="K48" s="101">
        <v>1131346</v>
      </c>
      <c r="L48" s="70">
        <f>H48</f>
        <v>1131346</v>
      </c>
      <c r="M48" s="70">
        <f>I48</f>
        <v>0</v>
      </c>
      <c r="N48" s="63">
        <f>L48/F48</f>
        <v>0.37711533333333336</v>
      </c>
      <c r="O48" s="106">
        <v>0.5</v>
      </c>
      <c r="P48" s="63">
        <f t="shared" si="4"/>
        <v>0</v>
      </c>
    </row>
    <row r="49" spans="1:16" x14ac:dyDescent="0.25">
      <c r="B49" s="99"/>
      <c r="C49" s="98">
        <v>2020</v>
      </c>
      <c r="F49" s="105">
        <v>3000000</v>
      </c>
      <c r="G49" s="101">
        <v>1131346</v>
      </c>
      <c r="H49" s="70">
        <v>1293492</v>
      </c>
      <c r="I49" s="70">
        <v>1947928</v>
      </c>
      <c r="J49" s="70">
        <v>476910</v>
      </c>
      <c r="K49" s="101"/>
      <c r="L49" s="70">
        <f>H49+L48</f>
        <v>2424838</v>
      </c>
      <c r="M49" s="70">
        <f>I49</f>
        <v>1947928</v>
      </c>
      <c r="N49" s="63">
        <f>L49/F49</f>
        <v>0.80827933333333335</v>
      </c>
      <c r="O49" s="106">
        <v>1</v>
      </c>
      <c r="P49" s="63">
        <f t="shared" si="4"/>
        <v>0.80332294363582224</v>
      </c>
    </row>
    <row r="50" spans="1:16" x14ac:dyDescent="0.25">
      <c r="A50" t="s">
        <v>303</v>
      </c>
      <c r="B50" s="75" t="s">
        <v>304</v>
      </c>
      <c r="C50" s="98">
        <v>2016</v>
      </c>
      <c r="F50" s="105">
        <v>4000000</v>
      </c>
      <c r="G50" s="101"/>
      <c r="H50" s="70">
        <v>1032414.89</v>
      </c>
      <c r="I50" s="70"/>
      <c r="J50" s="70"/>
      <c r="K50" s="101">
        <v>1032414.89</v>
      </c>
      <c r="L50" s="70">
        <f>H50+L47</f>
        <v>7318963.8899999997</v>
      </c>
      <c r="M50" s="70">
        <f>I50+M47</f>
        <v>5990612.3700000001</v>
      </c>
      <c r="N50" s="63">
        <f>L50/F50</f>
        <v>1.8297409725</v>
      </c>
      <c r="O50" s="102"/>
      <c r="P50" s="63">
        <f t="shared" si="4"/>
        <v>0.81850552346419625</v>
      </c>
    </row>
    <row r="51" spans="1:16" x14ac:dyDescent="0.25">
      <c r="F51" s="105">
        <v>4000000</v>
      </c>
      <c r="G51" s="101">
        <v>1032414.89</v>
      </c>
      <c r="H51" s="70">
        <v>100329.41</v>
      </c>
      <c r="I51" s="70">
        <v>1132744.3</v>
      </c>
      <c r="J51" s="70"/>
      <c r="K51" s="101"/>
      <c r="L51" s="70">
        <f>H51+L50</f>
        <v>7419293.2999999998</v>
      </c>
      <c r="M51" s="70"/>
      <c r="N51" s="63">
        <f>L51/F51</f>
        <v>1.8548233249999999</v>
      </c>
      <c r="O51" s="102">
        <v>1</v>
      </c>
      <c r="P51" s="63">
        <f t="shared" si="4"/>
        <v>0</v>
      </c>
    </row>
    <row r="52" spans="1:16" x14ac:dyDescent="0.25">
      <c r="A52" s="111" t="s">
        <v>288</v>
      </c>
      <c r="B52" s="75" t="s">
        <v>286</v>
      </c>
      <c r="C52" s="98">
        <v>2011</v>
      </c>
      <c r="D52">
        <v>2011</v>
      </c>
      <c r="F52" s="104">
        <v>233390000</v>
      </c>
      <c r="H52" s="70">
        <v>1989206</v>
      </c>
      <c r="L52" s="70">
        <f t="shared" ref="L52:L59" si="5">H52+G52</f>
        <v>1989206</v>
      </c>
      <c r="M52" s="70"/>
      <c r="N52" s="63">
        <f t="shared" ref="N52:N71" si="6">L52/F52</f>
        <v>8.5230986760358191E-3</v>
      </c>
      <c r="O52" s="57">
        <v>0.01</v>
      </c>
      <c r="P52" s="63">
        <f t="shared" si="1"/>
        <v>0</v>
      </c>
    </row>
    <row r="53" spans="1:16" x14ac:dyDescent="0.25">
      <c r="C53" s="98">
        <v>2012</v>
      </c>
      <c r="F53" s="104">
        <v>233390000</v>
      </c>
      <c r="G53" s="101">
        <v>1989206</v>
      </c>
      <c r="H53" s="70">
        <v>2148461.12</v>
      </c>
      <c r="K53" s="101">
        <v>4137667.12</v>
      </c>
      <c r="L53" s="70">
        <f t="shared" si="5"/>
        <v>4137667.12</v>
      </c>
      <c r="M53" s="70"/>
      <c r="N53" s="63">
        <f t="shared" si="6"/>
        <v>1.7728553579844895E-2</v>
      </c>
      <c r="O53" s="57">
        <v>0.05</v>
      </c>
      <c r="P53" s="63">
        <f t="shared" si="1"/>
        <v>0</v>
      </c>
    </row>
    <row r="54" spans="1:16" x14ac:dyDescent="0.25">
      <c r="C54" s="98">
        <v>2013</v>
      </c>
      <c r="F54" s="104">
        <v>233390000</v>
      </c>
      <c r="G54" s="101">
        <v>4137667.12</v>
      </c>
      <c r="H54" s="70">
        <v>5584001.8600000003</v>
      </c>
      <c r="K54" s="101">
        <v>9721668.9800000004</v>
      </c>
      <c r="L54" s="70">
        <f t="shared" si="5"/>
        <v>9721668.9800000004</v>
      </c>
      <c r="M54" s="70"/>
      <c r="N54" s="63">
        <f t="shared" si="6"/>
        <v>4.1654179613522434E-2</v>
      </c>
      <c r="O54" s="57">
        <v>0.05</v>
      </c>
      <c r="P54" s="63">
        <f t="shared" si="1"/>
        <v>0</v>
      </c>
    </row>
    <row r="55" spans="1:16" x14ac:dyDescent="0.25">
      <c r="C55" s="98">
        <v>2014</v>
      </c>
      <c r="F55" s="104">
        <v>233390000</v>
      </c>
      <c r="G55" s="101">
        <v>9721668.9800000004</v>
      </c>
      <c r="H55" s="70">
        <v>924708</v>
      </c>
      <c r="K55" s="101">
        <v>10646376.98</v>
      </c>
      <c r="L55" s="70">
        <f t="shared" si="5"/>
        <v>10646376.98</v>
      </c>
      <c r="M55" s="70"/>
      <c r="N55" s="63">
        <f t="shared" si="6"/>
        <v>4.5616251681734436E-2</v>
      </c>
      <c r="O55" s="57">
        <v>0.05</v>
      </c>
      <c r="P55" s="63">
        <f t="shared" si="1"/>
        <v>0</v>
      </c>
    </row>
    <row r="56" spans="1:16" x14ac:dyDescent="0.25">
      <c r="C56" s="98">
        <v>2015</v>
      </c>
      <c r="F56" s="104">
        <v>233390000</v>
      </c>
      <c r="G56" s="101">
        <v>10646376.98</v>
      </c>
      <c r="H56" s="70">
        <v>30000</v>
      </c>
      <c r="J56" s="70">
        <v>10676376.98</v>
      </c>
      <c r="K56" s="101"/>
      <c r="L56" s="70">
        <f t="shared" si="5"/>
        <v>10676376.98</v>
      </c>
      <c r="M56" s="70"/>
      <c r="N56" s="63">
        <f t="shared" si="6"/>
        <v>4.5744791893397321E-2</v>
      </c>
      <c r="O56" s="57">
        <v>0.05</v>
      </c>
      <c r="P56" s="63">
        <f t="shared" si="1"/>
        <v>0</v>
      </c>
    </row>
    <row r="57" spans="1:16" x14ac:dyDescent="0.25">
      <c r="A57" s="109" t="s">
        <v>289</v>
      </c>
      <c r="B57" s="75" t="s">
        <v>287</v>
      </c>
      <c r="C57" s="98">
        <v>2011</v>
      </c>
      <c r="D57">
        <v>2011</v>
      </c>
      <c r="F57" s="104">
        <v>335890000</v>
      </c>
      <c r="H57" s="70">
        <v>1242500</v>
      </c>
      <c r="L57" s="70">
        <f t="shared" si="5"/>
        <v>1242500</v>
      </c>
      <c r="M57" s="70"/>
      <c r="N57" s="63">
        <f t="shared" si="6"/>
        <v>3.6991276906129982E-3</v>
      </c>
      <c r="O57" s="57">
        <v>0.01</v>
      </c>
      <c r="P57" s="63">
        <f t="shared" si="1"/>
        <v>0</v>
      </c>
    </row>
    <row r="58" spans="1:16" x14ac:dyDescent="0.25">
      <c r="C58" s="98">
        <v>2012</v>
      </c>
      <c r="F58" s="104">
        <v>335890000</v>
      </c>
      <c r="G58" s="101">
        <v>1242500</v>
      </c>
      <c r="H58" s="70">
        <v>69025833.340000004</v>
      </c>
      <c r="K58" s="101">
        <v>70268333.340000004</v>
      </c>
      <c r="L58" s="70">
        <f t="shared" si="5"/>
        <v>70268333.340000004</v>
      </c>
      <c r="M58" s="70"/>
      <c r="N58" s="63">
        <f t="shared" si="6"/>
        <v>0.20920043270118194</v>
      </c>
      <c r="O58" s="57">
        <v>0.5</v>
      </c>
      <c r="P58" s="63">
        <f t="shared" si="1"/>
        <v>0</v>
      </c>
    </row>
    <row r="59" spans="1:16" x14ac:dyDescent="0.25">
      <c r="C59" s="98">
        <v>2013</v>
      </c>
      <c r="F59" s="104">
        <v>335890000</v>
      </c>
      <c r="G59" s="101">
        <v>70268333.340000004</v>
      </c>
      <c r="H59" s="70">
        <v>242945702.38999999</v>
      </c>
      <c r="I59" s="70">
        <v>243369150.00999999</v>
      </c>
      <c r="J59" s="70">
        <v>2266034.7200000002</v>
      </c>
      <c r="K59" s="101">
        <v>67578851</v>
      </c>
      <c r="L59" s="70">
        <f t="shared" si="5"/>
        <v>313214035.73000002</v>
      </c>
      <c r="M59" s="70"/>
      <c r="N59" s="63">
        <f t="shared" si="6"/>
        <v>0.93248990958349465</v>
      </c>
      <c r="O59" s="57">
        <v>0.95</v>
      </c>
      <c r="P59" s="63">
        <f t="shared" si="1"/>
        <v>0.7770058881390346</v>
      </c>
    </row>
    <row r="60" spans="1:16" x14ac:dyDescent="0.25">
      <c r="C60" s="98">
        <v>2014</v>
      </c>
      <c r="F60" s="104">
        <v>335890000</v>
      </c>
      <c r="G60" s="101">
        <v>67578851</v>
      </c>
      <c r="H60" s="70">
        <v>20646797.640000001</v>
      </c>
      <c r="I60" s="70">
        <v>25707111.140000001</v>
      </c>
      <c r="J60" s="70">
        <v>1000000</v>
      </c>
      <c r="K60" s="101">
        <v>61518537.5</v>
      </c>
      <c r="L60" s="70">
        <f>H60+H59+H58+H57</f>
        <v>333860833.37</v>
      </c>
      <c r="M60" s="70">
        <f>I60+I59</f>
        <v>269076261.14999998</v>
      </c>
      <c r="N60" s="63">
        <f t="shared" si="6"/>
        <v>0.99395883583911404</v>
      </c>
      <c r="O60" s="57">
        <v>0.95</v>
      </c>
      <c r="P60" s="63">
        <f t="shared" ref="P60:P66" si="7">M60/L60</f>
        <v>0.80595336216571778</v>
      </c>
    </row>
    <row r="61" spans="1:16" x14ac:dyDescent="0.25">
      <c r="B61" s="75" t="s">
        <v>332</v>
      </c>
      <c r="C61" s="98">
        <v>2015</v>
      </c>
      <c r="F61" s="104">
        <v>190000000</v>
      </c>
      <c r="G61" s="101">
        <v>61518537.5</v>
      </c>
      <c r="H61" s="70">
        <v>52105005.469999999</v>
      </c>
      <c r="I61" s="70">
        <v>28502939.170000002</v>
      </c>
      <c r="J61" s="70">
        <v>8604374</v>
      </c>
      <c r="K61" s="101">
        <v>76516229.799999997</v>
      </c>
      <c r="L61" s="70">
        <f>H61+G61</f>
        <v>113623542.97</v>
      </c>
      <c r="M61" s="70">
        <f>I61</f>
        <v>28502939.170000002</v>
      </c>
      <c r="N61" s="63">
        <f t="shared" si="6"/>
        <v>0.59801864721052633</v>
      </c>
      <c r="O61" s="57">
        <v>0.5</v>
      </c>
      <c r="P61" s="63">
        <f t="shared" si="7"/>
        <v>0.25085416653066017</v>
      </c>
    </row>
    <row r="62" spans="1:16" x14ac:dyDescent="0.25">
      <c r="C62" s="98">
        <v>2016</v>
      </c>
      <c r="F62" s="104">
        <v>190000000</v>
      </c>
      <c r="G62" s="101">
        <v>76516229.799999997</v>
      </c>
      <c r="H62" s="70">
        <v>75471969.760000005</v>
      </c>
      <c r="I62" s="70">
        <v>84078939.700000003</v>
      </c>
      <c r="J62" s="70">
        <v>13138372.359999999</v>
      </c>
      <c r="K62" s="101">
        <v>54770887.5</v>
      </c>
      <c r="L62" s="70">
        <f>H62+L61</f>
        <v>189095512.73000002</v>
      </c>
      <c r="M62" s="70">
        <f>M61+I62</f>
        <v>112581878.87</v>
      </c>
      <c r="N62" s="63">
        <f t="shared" si="6"/>
        <v>0.99523954068421061</v>
      </c>
      <c r="O62" s="57">
        <v>0.9</v>
      </c>
      <c r="P62" s="63">
        <f t="shared" si="7"/>
        <v>0.59537044134278327</v>
      </c>
    </row>
    <row r="63" spans="1:16" x14ac:dyDescent="0.25">
      <c r="C63" s="98">
        <v>2017</v>
      </c>
      <c r="F63" s="104">
        <v>190000000</v>
      </c>
      <c r="G63" s="101">
        <v>54770887.5</v>
      </c>
      <c r="H63" s="70">
        <v>12238873.050000001</v>
      </c>
      <c r="I63" s="70">
        <v>8135982.0499999998</v>
      </c>
      <c r="J63" s="70"/>
      <c r="K63" s="101">
        <v>58873778.5</v>
      </c>
      <c r="L63" s="70">
        <f>H63+L62</f>
        <v>201334385.78000003</v>
      </c>
      <c r="M63" s="70">
        <f>M62+I63</f>
        <v>120717860.92</v>
      </c>
      <c r="N63" s="63">
        <f t="shared" si="6"/>
        <v>1.0596546620000002</v>
      </c>
      <c r="O63" s="57">
        <v>0.95</v>
      </c>
      <c r="P63" s="63">
        <f t="shared" si="7"/>
        <v>0.59958889015565153</v>
      </c>
    </row>
    <row r="64" spans="1:16" x14ac:dyDescent="0.25">
      <c r="C64" s="98">
        <v>2018</v>
      </c>
      <c r="F64" s="104">
        <v>190000000</v>
      </c>
      <c r="G64" s="101">
        <v>58873778.5</v>
      </c>
      <c r="H64" s="70">
        <v>9942509.9700000007</v>
      </c>
      <c r="I64" s="70">
        <v>19620283.710000001</v>
      </c>
      <c r="J64" s="70">
        <v>1615556.76</v>
      </c>
      <c r="K64" s="101">
        <v>47580448</v>
      </c>
      <c r="L64" s="70">
        <f>H64+L63</f>
        <v>211276895.75000003</v>
      </c>
      <c r="M64" s="70">
        <f>M63+I64</f>
        <v>140338144.63</v>
      </c>
      <c r="N64" s="63">
        <f t="shared" si="6"/>
        <v>1.1119836618421055</v>
      </c>
      <c r="O64" s="57">
        <v>0.95</v>
      </c>
      <c r="P64" s="63">
        <f t="shared" si="7"/>
        <v>0.66423800923343501</v>
      </c>
    </row>
    <row r="65" spans="1:16" x14ac:dyDescent="0.25">
      <c r="C65" s="98">
        <v>2019</v>
      </c>
      <c r="F65" s="104">
        <v>190000000</v>
      </c>
      <c r="G65" s="101">
        <v>47580448</v>
      </c>
      <c r="H65" s="70">
        <v>59002023.670000002</v>
      </c>
      <c r="I65" s="70">
        <v>33594558.149999999</v>
      </c>
      <c r="J65" s="70">
        <v>4908365.55</v>
      </c>
      <c r="K65" s="101">
        <v>68079547.969999999</v>
      </c>
      <c r="L65" s="70">
        <f>H65+L64</f>
        <v>270278919.42000002</v>
      </c>
      <c r="M65" s="70">
        <f>M64+I65</f>
        <v>173932702.78</v>
      </c>
      <c r="N65" s="63">
        <f t="shared" si="6"/>
        <v>1.4225206285263159</v>
      </c>
      <c r="O65" s="57">
        <v>0.95</v>
      </c>
      <c r="P65" s="63">
        <f t="shared" si="7"/>
        <v>0.64353040611989876</v>
      </c>
    </row>
    <row r="66" spans="1:16" x14ac:dyDescent="0.25">
      <c r="B66" s="99" t="s">
        <v>333</v>
      </c>
      <c r="C66" s="98">
        <v>2020</v>
      </c>
      <c r="F66" s="104">
        <v>90000000</v>
      </c>
      <c r="G66" s="101">
        <v>68079547.969999999</v>
      </c>
      <c r="H66" s="70">
        <v>14174485.289999999</v>
      </c>
      <c r="I66" s="70">
        <v>12261137</v>
      </c>
      <c r="J66" s="70">
        <v>2193458</v>
      </c>
      <c r="K66" s="101">
        <v>67799438.260000005</v>
      </c>
      <c r="L66" s="70">
        <f>H66+G66</f>
        <v>82254033.25999999</v>
      </c>
      <c r="M66" s="70">
        <f>I66</f>
        <v>12261137</v>
      </c>
      <c r="N66" s="63">
        <f t="shared" si="6"/>
        <v>0.91393370288888875</v>
      </c>
      <c r="O66" s="57">
        <v>0.95</v>
      </c>
      <c r="P66" s="63">
        <f t="shared" si="7"/>
        <v>0.14906426486398902</v>
      </c>
    </row>
    <row r="67" spans="1:16" x14ac:dyDescent="0.25">
      <c r="A67" s="109" t="s">
        <v>291</v>
      </c>
      <c r="B67" s="75" t="s">
        <v>318</v>
      </c>
      <c r="C67" s="98">
        <v>2012</v>
      </c>
      <c r="F67" s="104">
        <v>227390000</v>
      </c>
      <c r="H67" s="70">
        <v>40833187.259999998</v>
      </c>
      <c r="K67" s="101">
        <v>40833187.259999998</v>
      </c>
      <c r="L67" s="70">
        <f>H67+G67</f>
        <v>40833187.259999998</v>
      </c>
      <c r="M67" s="70"/>
      <c r="N67" s="63">
        <f t="shared" si="6"/>
        <v>0.17957336408813052</v>
      </c>
      <c r="O67" s="57">
        <v>0.3</v>
      </c>
      <c r="P67" s="63">
        <f t="shared" si="1"/>
        <v>0</v>
      </c>
    </row>
    <row r="68" spans="1:16" x14ac:dyDescent="0.25">
      <c r="C68" s="98">
        <v>2013</v>
      </c>
      <c r="F68" s="104">
        <v>227390000</v>
      </c>
      <c r="G68" s="101">
        <v>40833187.259999998</v>
      </c>
      <c r="H68" s="70">
        <v>148339449.71000001</v>
      </c>
      <c r="I68" s="70">
        <v>13117574</v>
      </c>
      <c r="K68" s="101">
        <v>176055062.97</v>
      </c>
      <c r="L68" s="70">
        <f>H68+G68</f>
        <v>189172636.97</v>
      </c>
      <c r="M68" s="70"/>
      <c r="N68" s="63">
        <f t="shared" si="6"/>
        <v>0.83193032661946431</v>
      </c>
      <c r="O68" s="57">
        <v>0.85</v>
      </c>
      <c r="P68" s="63">
        <f t="shared" si="1"/>
        <v>6.9341815022012171E-2</v>
      </c>
    </row>
    <row r="69" spans="1:16" x14ac:dyDescent="0.25">
      <c r="C69" s="98">
        <v>2014</v>
      </c>
      <c r="F69" s="104">
        <v>480000000</v>
      </c>
      <c r="G69" s="101">
        <v>176055062.97</v>
      </c>
      <c r="H69" s="70">
        <v>266005068.93000001</v>
      </c>
      <c r="I69" s="70">
        <v>329336274.41000003</v>
      </c>
      <c r="J69" s="70">
        <v>34199284.869999997</v>
      </c>
      <c r="K69" s="101">
        <v>78524572.620000005</v>
      </c>
      <c r="L69" s="70">
        <f>H69+L68</f>
        <v>455177705.89999998</v>
      </c>
      <c r="M69" s="70"/>
      <c r="N69" s="63">
        <f t="shared" si="6"/>
        <v>0.94828688729166666</v>
      </c>
      <c r="O69" s="57">
        <v>0.95</v>
      </c>
      <c r="P69" s="63">
        <f t="shared" si="1"/>
        <v>0.72353340275930256</v>
      </c>
    </row>
    <row r="70" spans="1:16" x14ac:dyDescent="0.25">
      <c r="C70" s="98">
        <v>2015</v>
      </c>
      <c r="F70" s="104">
        <v>480000000</v>
      </c>
      <c r="G70" s="101">
        <v>78524572.620000005</v>
      </c>
      <c r="H70" s="70">
        <v>10115752.77</v>
      </c>
      <c r="I70" s="70">
        <v>70844583.670000002</v>
      </c>
      <c r="J70" s="70">
        <v>14466173.220000001</v>
      </c>
      <c r="K70" s="101">
        <v>3329568.5</v>
      </c>
      <c r="L70" s="70">
        <f>H70+L69</f>
        <v>465293458.66999996</v>
      </c>
      <c r="M70" s="70">
        <f>I70+I69+I68</f>
        <v>413298432.08000004</v>
      </c>
      <c r="N70" s="63">
        <f t="shared" si="6"/>
        <v>0.96936137222916663</v>
      </c>
      <c r="O70" s="57">
        <v>0.95</v>
      </c>
      <c r="P70" s="63">
        <f t="shared" ref="P70:P75" si="8">M70/L70</f>
        <v>0.88825326120289105</v>
      </c>
    </row>
    <row r="71" spans="1:16" x14ac:dyDescent="0.25">
      <c r="C71" s="98">
        <v>2016</v>
      </c>
      <c r="F71" s="104">
        <v>480000000</v>
      </c>
      <c r="G71" s="101">
        <v>3329568.5</v>
      </c>
      <c r="H71" s="70">
        <v>11163750.359999999</v>
      </c>
      <c r="I71" s="70">
        <v>12960468.859999999</v>
      </c>
      <c r="J71" s="70">
        <v>1532850</v>
      </c>
      <c r="K71" s="101"/>
      <c r="L71" s="70">
        <f>H71+L70</f>
        <v>476457209.02999997</v>
      </c>
      <c r="M71" s="70">
        <f>I71+I70+I69+I68</f>
        <v>426258900.94000006</v>
      </c>
      <c r="N71" s="63">
        <f t="shared" si="6"/>
        <v>0.99261918547916661</v>
      </c>
      <c r="O71" s="102">
        <v>1</v>
      </c>
      <c r="P71" s="63">
        <f t="shared" si="8"/>
        <v>0.89464256781380924</v>
      </c>
    </row>
    <row r="72" spans="1:16" x14ac:dyDescent="0.25">
      <c r="C72" s="98">
        <v>2017</v>
      </c>
      <c r="F72" s="104"/>
      <c r="G72" s="101"/>
      <c r="H72" s="70">
        <v>19065166.23</v>
      </c>
      <c r="I72" s="70">
        <v>11142654.23</v>
      </c>
      <c r="J72" s="70">
        <v>7922512</v>
      </c>
      <c r="K72" s="101"/>
      <c r="L72" s="70">
        <f t="shared" ref="L72:M74" si="9">H72</f>
        <v>19065166.23</v>
      </c>
      <c r="M72" s="70">
        <f t="shared" si="9"/>
        <v>11142654.23</v>
      </c>
      <c r="N72" s="63" t="e">
        <f t="shared" ref="N72:N82" si="10">L72/F72</f>
        <v>#DIV/0!</v>
      </c>
      <c r="O72" s="102"/>
      <c r="P72" s="63">
        <f t="shared" si="8"/>
        <v>0.5844509350496232</v>
      </c>
    </row>
    <row r="73" spans="1:16" x14ac:dyDescent="0.25">
      <c r="B73" s="75" t="s">
        <v>326</v>
      </c>
      <c r="C73" s="98">
        <v>2018</v>
      </c>
      <c r="F73" s="104">
        <v>73000000</v>
      </c>
      <c r="G73" s="101"/>
      <c r="H73" s="70">
        <v>60347313.369999997</v>
      </c>
      <c r="I73" s="70">
        <v>51552125.039999999</v>
      </c>
      <c r="J73" s="70">
        <v>8795188.3300000001</v>
      </c>
      <c r="K73" s="101"/>
      <c r="L73" s="70">
        <f t="shared" si="9"/>
        <v>60347313.369999997</v>
      </c>
      <c r="M73" s="70">
        <f t="shared" si="9"/>
        <v>51552125.039999999</v>
      </c>
      <c r="N73" s="63">
        <f t="shared" si="10"/>
        <v>0.82667552561643831</v>
      </c>
      <c r="O73" s="102">
        <v>1</v>
      </c>
      <c r="P73" s="63">
        <f t="shared" si="8"/>
        <v>0.85425716839993937</v>
      </c>
    </row>
    <row r="74" spans="1:16" x14ac:dyDescent="0.25">
      <c r="B74" s="99" t="s">
        <v>327</v>
      </c>
      <c r="C74" s="98">
        <v>2019</v>
      </c>
      <c r="F74" s="104">
        <v>8391000</v>
      </c>
      <c r="G74" s="101"/>
      <c r="H74" s="70">
        <v>6548798.6500000004</v>
      </c>
      <c r="I74" s="70">
        <v>3015172</v>
      </c>
      <c r="J74" s="70">
        <v>3449146.65</v>
      </c>
      <c r="K74" s="101">
        <v>84480</v>
      </c>
      <c r="L74" s="70">
        <f t="shared" si="9"/>
        <v>6548798.6500000004</v>
      </c>
      <c r="M74" s="70">
        <f t="shared" si="9"/>
        <v>3015172</v>
      </c>
      <c r="N74" s="63">
        <f t="shared" si="10"/>
        <v>0.78045508878560366</v>
      </c>
      <c r="O74" s="106">
        <v>0.8</v>
      </c>
      <c r="P74" s="63">
        <f t="shared" si="8"/>
        <v>0.4604160489802202</v>
      </c>
    </row>
    <row r="75" spans="1:16" x14ac:dyDescent="0.25">
      <c r="B75" s="99" t="s">
        <v>334</v>
      </c>
      <c r="C75" s="98">
        <v>2020</v>
      </c>
      <c r="F75" s="104">
        <v>12226191.93</v>
      </c>
      <c r="G75" s="101">
        <v>84480</v>
      </c>
      <c r="H75" s="70">
        <v>11163785.09</v>
      </c>
      <c r="I75" s="70">
        <v>4900996.6900000004</v>
      </c>
      <c r="J75" s="103">
        <v>6347268.4000000004</v>
      </c>
      <c r="K75" s="101"/>
      <c r="L75" s="70">
        <f>H75+G75</f>
        <v>11248265.09</v>
      </c>
      <c r="M75" s="70">
        <f>I75</f>
        <v>4900996.6900000004</v>
      </c>
      <c r="N75" s="63">
        <f t="shared" si="10"/>
        <v>0.92001378306515758</v>
      </c>
      <c r="O75" s="102">
        <v>1</v>
      </c>
      <c r="P75" s="63">
        <f t="shared" si="8"/>
        <v>0.4357113431081131</v>
      </c>
    </row>
    <row r="76" spans="1:16" x14ac:dyDescent="0.25">
      <c r="A76" s="109" t="s">
        <v>292</v>
      </c>
      <c r="B76" s="75" t="s">
        <v>328</v>
      </c>
      <c r="C76" s="98">
        <v>2012</v>
      </c>
      <c r="F76" s="104">
        <v>245850000</v>
      </c>
      <c r="H76" s="70">
        <v>2141600</v>
      </c>
      <c r="K76" s="101">
        <v>2141600</v>
      </c>
      <c r="L76" s="70">
        <f>H76+G76</f>
        <v>2141600</v>
      </c>
      <c r="M76" s="70"/>
      <c r="N76" s="63">
        <f t="shared" si="10"/>
        <v>8.7110026438885508E-3</v>
      </c>
      <c r="O76" s="57">
        <v>0.1</v>
      </c>
      <c r="P76" s="63">
        <f t="shared" si="1"/>
        <v>0</v>
      </c>
    </row>
    <row r="77" spans="1:16" x14ac:dyDescent="0.25">
      <c r="C77" s="98">
        <v>2013</v>
      </c>
      <c r="F77" s="104">
        <v>245850000</v>
      </c>
      <c r="G77" s="101">
        <v>2141600</v>
      </c>
      <c r="H77" s="70">
        <v>59505519</v>
      </c>
      <c r="K77" s="101">
        <v>61647119</v>
      </c>
      <c r="L77" s="70">
        <f>H77+G77</f>
        <v>61647119</v>
      </c>
      <c r="M77" s="70"/>
      <c r="N77" s="63">
        <f t="shared" si="10"/>
        <v>0.25075094163107586</v>
      </c>
      <c r="O77" s="57">
        <v>0.4</v>
      </c>
      <c r="P77" s="63">
        <f t="shared" si="1"/>
        <v>0</v>
      </c>
    </row>
    <row r="78" spans="1:16" x14ac:dyDescent="0.25">
      <c r="C78" s="98">
        <v>2014</v>
      </c>
      <c r="F78" s="104">
        <v>245850000</v>
      </c>
      <c r="G78" s="101">
        <v>61647119</v>
      </c>
      <c r="H78" s="70">
        <v>156942211.52000001</v>
      </c>
      <c r="I78" s="70">
        <v>187992250.97999999</v>
      </c>
      <c r="J78" s="70">
        <v>12994448.6</v>
      </c>
      <c r="K78" s="101">
        <v>17602630.940000001</v>
      </c>
      <c r="L78" s="70">
        <f>H78+G78</f>
        <v>218589330.52000001</v>
      </c>
      <c r="M78" s="70"/>
      <c r="N78" s="63">
        <f t="shared" si="10"/>
        <v>0.8891166586129754</v>
      </c>
      <c r="O78" s="57">
        <v>0.95</v>
      </c>
      <c r="P78" s="63">
        <f t="shared" si="1"/>
        <v>0.86002482615591103</v>
      </c>
    </row>
    <row r="79" spans="1:16" x14ac:dyDescent="0.25">
      <c r="C79" s="98">
        <v>2015</v>
      </c>
      <c r="F79" s="104">
        <v>245850000</v>
      </c>
      <c r="G79" s="101">
        <v>17602630.940000001</v>
      </c>
      <c r="H79" s="70">
        <v>24370000</v>
      </c>
      <c r="I79" s="70">
        <v>41972630.939999998</v>
      </c>
      <c r="L79" s="70">
        <f>H79+L78</f>
        <v>242959330.52000001</v>
      </c>
      <c r="M79" s="70"/>
      <c r="N79" s="63">
        <f t="shared" si="10"/>
        <v>0.98824214163107593</v>
      </c>
      <c r="O79" s="57">
        <v>0.98</v>
      </c>
      <c r="P79" s="63">
        <f t="shared" si="1"/>
        <v>0.17275578941614214</v>
      </c>
    </row>
    <row r="80" spans="1:16" x14ac:dyDescent="0.25">
      <c r="C80" s="98">
        <v>2017</v>
      </c>
      <c r="F80" s="104"/>
      <c r="G80" s="101"/>
      <c r="H80" s="70">
        <v>6547916.5</v>
      </c>
      <c r="I80" s="70">
        <v>6547916.5</v>
      </c>
      <c r="L80" s="70">
        <f>H80+L79</f>
        <v>249507247.02000001</v>
      </c>
      <c r="M80" s="70"/>
      <c r="N80" s="63" t="e">
        <f t="shared" si="10"/>
        <v>#DIV/0!</v>
      </c>
      <c r="O80" s="57"/>
      <c r="P80" s="63">
        <f t="shared" si="1"/>
        <v>2.6243392038529174E-2</v>
      </c>
    </row>
    <row r="81" spans="1:16" x14ac:dyDescent="0.25">
      <c r="B81" s="99" t="s">
        <v>335</v>
      </c>
      <c r="C81" s="98">
        <v>2019</v>
      </c>
      <c r="F81" s="104">
        <v>16838265.710000001</v>
      </c>
      <c r="G81" s="101"/>
      <c r="H81" s="70">
        <v>1934215.5</v>
      </c>
      <c r="I81" s="70">
        <v>-6800000</v>
      </c>
      <c r="J81" s="70">
        <v>1269341.5</v>
      </c>
      <c r="K81" s="101">
        <v>7464874</v>
      </c>
      <c r="L81" s="70">
        <f>H81</f>
        <v>1934215.5</v>
      </c>
      <c r="M81" s="70">
        <f>I81</f>
        <v>-6800000</v>
      </c>
      <c r="N81" s="63">
        <f t="shared" si="10"/>
        <v>0.1148702326778997</v>
      </c>
      <c r="O81" s="57">
        <v>0.5</v>
      </c>
      <c r="P81" s="63">
        <f t="shared" si="1"/>
        <v>-3.5156372182934112</v>
      </c>
    </row>
    <row r="82" spans="1:16" x14ac:dyDescent="0.25">
      <c r="B82" s="99" t="s">
        <v>336</v>
      </c>
      <c r="C82" s="98">
        <v>2020</v>
      </c>
      <c r="F82" s="104">
        <v>48510000</v>
      </c>
      <c r="G82" s="101">
        <v>7464874</v>
      </c>
      <c r="H82" s="70">
        <v>24956883.82</v>
      </c>
      <c r="I82" s="70">
        <v>29641013.399999999</v>
      </c>
      <c r="J82" s="70">
        <v>2780744.42</v>
      </c>
      <c r="K82" s="101"/>
      <c r="L82" s="70">
        <f>G82+H82</f>
        <v>32421757.82</v>
      </c>
      <c r="M82" s="70">
        <f>I82</f>
        <v>29641013.399999999</v>
      </c>
      <c r="N82" s="63">
        <f t="shared" si="10"/>
        <v>0.66835204741290455</v>
      </c>
      <c r="O82" s="57">
        <v>1</v>
      </c>
      <c r="P82" s="63">
        <f t="shared" si="1"/>
        <v>0.91423215127821833</v>
      </c>
    </row>
    <row r="83" spans="1:16" x14ac:dyDescent="0.25">
      <c r="A83" s="75"/>
      <c r="B83" s="75" t="s">
        <v>298</v>
      </c>
      <c r="C83" s="98">
        <v>2015</v>
      </c>
      <c r="F83" s="70">
        <v>2500000</v>
      </c>
      <c r="H83" s="70">
        <v>2278519</v>
      </c>
      <c r="I83" s="70">
        <v>836615</v>
      </c>
      <c r="J83" s="70">
        <v>741904</v>
      </c>
      <c r="K83" s="101">
        <v>700000</v>
      </c>
      <c r="L83" s="70">
        <f>H83+G83</f>
        <v>2278519</v>
      </c>
      <c r="M83" s="70"/>
      <c r="N83" s="63">
        <f t="shared" ref="N83:N96" si="11">L83/F83</f>
        <v>0.91140759999999998</v>
      </c>
      <c r="O83" s="57">
        <v>0.9</v>
      </c>
      <c r="P83" s="63">
        <f t="shared" si="1"/>
        <v>0.3671749061561479</v>
      </c>
    </row>
    <row r="84" spans="1:16" x14ac:dyDescent="0.25">
      <c r="C84" s="98">
        <v>2016</v>
      </c>
      <c r="F84" s="70">
        <v>2500000</v>
      </c>
      <c r="G84" s="101">
        <v>700000</v>
      </c>
      <c r="H84" s="70">
        <v>252451</v>
      </c>
      <c r="I84" s="70">
        <v>252451</v>
      </c>
      <c r="J84" s="70">
        <v>700000</v>
      </c>
      <c r="L84" s="70">
        <f>H84+L83</f>
        <v>2530970</v>
      </c>
      <c r="M84" s="70"/>
      <c r="N84" s="63">
        <f t="shared" si="11"/>
        <v>1.0123880000000001</v>
      </c>
      <c r="O84" s="57">
        <v>1</v>
      </c>
      <c r="P84" s="63">
        <f t="shared" si="1"/>
        <v>9.9744761889710265E-2</v>
      </c>
    </row>
    <row r="85" spans="1:16" x14ac:dyDescent="0.25">
      <c r="A85" t="s">
        <v>353</v>
      </c>
      <c r="B85" s="75" t="s">
        <v>305</v>
      </c>
      <c r="C85" s="98">
        <v>2016</v>
      </c>
      <c r="F85" s="70">
        <v>739243500</v>
      </c>
      <c r="H85" s="70">
        <v>19412536.550000001</v>
      </c>
      <c r="K85" s="101">
        <v>19412536.550000001</v>
      </c>
      <c r="L85" s="70">
        <f>H85</f>
        <v>19412536.550000001</v>
      </c>
      <c r="N85" s="63">
        <f t="shared" si="11"/>
        <v>2.6260003030124716E-2</v>
      </c>
      <c r="O85" s="57">
        <v>0</v>
      </c>
      <c r="P85" s="63">
        <f t="shared" ref="P85:P96" si="12">I85/L85</f>
        <v>0</v>
      </c>
    </row>
    <row r="86" spans="1:16" x14ac:dyDescent="0.25">
      <c r="C86" s="98">
        <v>2017</v>
      </c>
      <c r="F86" s="70">
        <v>212588000</v>
      </c>
      <c r="G86" s="101">
        <v>19412536.550000001</v>
      </c>
      <c r="H86" s="70">
        <v>62063038.869999997</v>
      </c>
      <c r="K86" s="101">
        <v>81475575.420000002</v>
      </c>
      <c r="L86" s="70">
        <f>H86+L85</f>
        <v>81475575.420000002</v>
      </c>
      <c r="N86" s="63">
        <f t="shared" si="11"/>
        <v>0.38325575959132219</v>
      </c>
      <c r="O86" s="57">
        <v>0.4</v>
      </c>
      <c r="P86" s="63">
        <f t="shared" si="12"/>
        <v>0</v>
      </c>
    </row>
    <row r="87" spans="1:16" x14ac:dyDescent="0.25">
      <c r="C87" s="98">
        <v>2018</v>
      </c>
      <c r="F87" s="70">
        <v>212588000</v>
      </c>
      <c r="G87" s="101">
        <v>81475575.420000002</v>
      </c>
      <c r="H87" s="70">
        <v>66871531.100000001</v>
      </c>
      <c r="I87" s="70">
        <v>144521808.74000001</v>
      </c>
      <c r="J87" s="70">
        <v>3474354.38</v>
      </c>
      <c r="K87" s="101">
        <v>350943.4</v>
      </c>
      <c r="L87" s="70">
        <f>H87+L86</f>
        <v>148347106.52000001</v>
      </c>
      <c r="M87" s="70">
        <f>I87</f>
        <v>144521808.74000001</v>
      </c>
      <c r="N87" s="63">
        <f t="shared" si="11"/>
        <v>0.69781505315445846</v>
      </c>
      <c r="O87" s="57">
        <v>0.9</v>
      </c>
      <c r="P87" s="63">
        <f t="shared" si="12"/>
        <v>0.97421386995853354</v>
      </c>
    </row>
    <row r="88" spans="1:16" x14ac:dyDescent="0.25">
      <c r="B88" s="99"/>
      <c r="C88" s="98">
        <v>2019</v>
      </c>
      <c r="F88" s="70">
        <v>212588000</v>
      </c>
      <c r="G88" s="101">
        <v>350943.4</v>
      </c>
      <c r="H88" s="70">
        <v>30500</v>
      </c>
      <c r="I88" s="70"/>
      <c r="J88" s="70">
        <v>30500</v>
      </c>
      <c r="K88" s="101">
        <v>350943.4</v>
      </c>
      <c r="L88" s="70">
        <f>H88+L87</f>
        <v>148377606.52000001</v>
      </c>
      <c r="M88" s="69">
        <f>I88+M87</f>
        <v>144521808.74000001</v>
      </c>
      <c r="N88" s="63">
        <f t="shared" si="11"/>
        <v>0.69795852315276508</v>
      </c>
      <c r="O88" s="57">
        <v>0.9</v>
      </c>
      <c r="P88" s="63">
        <f>M88/L88</f>
        <v>0.97401361384354002</v>
      </c>
    </row>
    <row r="89" spans="1:16" x14ac:dyDescent="0.25">
      <c r="B89" s="99"/>
      <c r="C89" s="98">
        <v>2020</v>
      </c>
      <c r="F89" s="70">
        <v>212588000</v>
      </c>
      <c r="G89" s="101">
        <v>350943.4</v>
      </c>
      <c r="H89" s="70">
        <v>9836.2800000000007</v>
      </c>
      <c r="I89" s="70">
        <v>9836.2800000000007</v>
      </c>
      <c r="J89" s="70"/>
      <c r="K89" s="101">
        <v>350943.4</v>
      </c>
      <c r="L89" s="70">
        <f>H89+L88</f>
        <v>148387442.80000001</v>
      </c>
      <c r="M89" s="69">
        <f>I89+M88</f>
        <v>144531645.02000001</v>
      </c>
      <c r="N89" s="63">
        <f t="shared" si="11"/>
        <v>0.6980047923683369</v>
      </c>
      <c r="O89" s="57">
        <v>0.9</v>
      </c>
      <c r="P89" s="63">
        <f>M89/L89</f>
        <v>0.97401533642441074</v>
      </c>
    </row>
    <row r="90" spans="1:16" x14ac:dyDescent="0.25">
      <c r="B90" s="113"/>
      <c r="C90" s="98">
        <v>2021</v>
      </c>
      <c r="F90" s="70"/>
      <c r="G90" s="101"/>
      <c r="H90" s="70"/>
      <c r="I90" s="70"/>
      <c r="J90" s="70"/>
      <c r="K90" s="101"/>
      <c r="L90" s="70"/>
      <c r="M90" s="69"/>
      <c r="N90" s="63"/>
      <c r="O90" s="57"/>
      <c r="P90" s="63"/>
    </row>
    <row r="91" spans="1:16" x14ac:dyDescent="0.25">
      <c r="A91" t="s">
        <v>307</v>
      </c>
      <c r="B91" s="75" t="s">
        <v>306</v>
      </c>
      <c r="C91" s="98">
        <v>2016</v>
      </c>
      <c r="F91" s="70">
        <v>830260000</v>
      </c>
      <c r="H91" s="70">
        <v>1152800</v>
      </c>
      <c r="K91" s="101">
        <v>1152800</v>
      </c>
      <c r="L91" s="70">
        <f>H91</f>
        <v>1152800</v>
      </c>
      <c r="N91" s="63">
        <f t="shared" si="11"/>
        <v>1.3884807168838677E-3</v>
      </c>
      <c r="O91" s="57">
        <v>0.01</v>
      </c>
      <c r="P91" s="63">
        <f t="shared" si="12"/>
        <v>0</v>
      </c>
    </row>
    <row r="92" spans="1:16" x14ac:dyDescent="0.25">
      <c r="C92" s="98">
        <v>2017</v>
      </c>
      <c r="F92" s="70">
        <v>830260000</v>
      </c>
      <c r="G92" s="101">
        <v>1152800</v>
      </c>
      <c r="H92" s="70">
        <v>5780099.7000000002</v>
      </c>
      <c r="K92" s="101">
        <v>6932899.7000000002</v>
      </c>
      <c r="L92" s="70">
        <f>H92+L91</f>
        <v>6932899.7000000002</v>
      </c>
      <c r="N92" s="63">
        <f t="shared" si="11"/>
        <v>8.3502754558812901E-3</v>
      </c>
      <c r="O92" s="57">
        <v>0.05</v>
      </c>
      <c r="P92" s="63">
        <f t="shared" si="12"/>
        <v>0</v>
      </c>
    </row>
    <row r="93" spans="1:16" x14ac:dyDescent="0.25">
      <c r="C93" s="98">
        <v>2018</v>
      </c>
      <c r="F93" s="70">
        <v>830260000</v>
      </c>
      <c r="G93" s="101">
        <v>6932899.7000000002</v>
      </c>
      <c r="H93" s="70">
        <v>24423782.699999999</v>
      </c>
      <c r="K93" s="101">
        <v>31356682.399999999</v>
      </c>
      <c r="L93" s="70">
        <f>H93+L92</f>
        <v>31356682.399999999</v>
      </c>
      <c r="N93" s="63">
        <f t="shared" si="11"/>
        <v>3.7767304699732614E-2</v>
      </c>
      <c r="O93" s="57">
        <v>0.05</v>
      </c>
      <c r="P93" s="63">
        <f t="shared" si="12"/>
        <v>0</v>
      </c>
    </row>
    <row r="94" spans="1:16" x14ac:dyDescent="0.25">
      <c r="B94" s="99"/>
      <c r="C94" s="98">
        <v>2019</v>
      </c>
      <c r="F94" s="70">
        <v>830260000</v>
      </c>
      <c r="G94" s="101">
        <v>31356682.399999999</v>
      </c>
      <c r="H94" s="70">
        <v>70995358</v>
      </c>
      <c r="K94" s="101">
        <v>102352040.40000001</v>
      </c>
      <c r="L94" s="70">
        <f>H94+L93</f>
        <v>102352040.40000001</v>
      </c>
      <c r="N94" s="63">
        <f t="shared" si="11"/>
        <v>0.12327709440416255</v>
      </c>
      <c r="O94" s="57">
        <v>0.2</v>
      </c>
      <c r="P94" s="63">
        <f t="shared" si="12"/>
        <v>0</v>
      </c>
    </row>
    <row r="95" spans="1:16" x14ac:dyDescent="0.25">
      <c r="B95" s="99"/>
      <c r="C95" s="98">
        <v>2020</v>
      </c>
      <c r="F95" s="70">
        <v>830260000</v>
      </c>
      <c r="G95" s="101">
        <v>102352040.40000001</v>
      </c>
      <c r="H95" s="70">
        <v>192432812.81</v>
      </c>
      <c r="K95" s="101">
        <v>294784853.20999998</v>
      </c>
      <c r="L95" s="70">
        <f>H95+L94</f>
        <v>294784853.21000004</v>
      </c>
      <c r="N95" s="63">
        <f t="shared" si="11"/>
        <v>0.35505125287259415</v>
      </c>
      <c r="O95" s="57">
        <v>0.9</v>
      </c>
      <c r="P95" s="63">
        <f t="shared" si="12"/>
        <v>0</v>
      </c>
    </row>
    <row r="96" spans="1:16" x14ac:dyDescent="0.25">
      <c r="A96" s="109" t="s">
        <v>309</v>
      </c>
      <c r="B96" s="75" t="s">
        <v>308</v>
      </c>
      <c r="C96" s="98">
        <v>2016</v>
      </c>
      <c r="F96" s="70">
        <v>690110000</v>
      </c>
      <c r="H96" s="70">
        <v>354709</v>
      </c>
      <c r="K96" s="101">
        <v>354709</v>
      </c>
      <c r="L96" s="70">
        <f>H96</f>
        <v>354709</v>
      </c>
      <c r="N96" s="63">
        <f t="shared" si="11"/>
        <v>5.1398907420556147E-4</v>
      </c>
      <c r="O96" s="57">
        <v>0.01</v>
      </c>
      <c r="P96" s="63">
        <f t="shared" si="12"/>
        <v>0</v>
      </c>
    </row>
    <row r="97" spans="1:16" x14ac:dyDescent="0.25">
      <c r="C97" s="98">
        <v>2017</v>
      </c>
      <c r="F97" s="70">
        <v>690110000</v>
      </c>
      <c r="G97" s="101">
        <v>354709</v>
      </c>
      <c r="H97" s="70">
        <v>31255163.050000001</v>
      </c>
      <c r="K97" s="101">
        <v>31609872.050000001</v>
      </c>
      <c r="L97" s="70">
        <f>H97+L96</f>
        <v>31609872.050000001</v>
      </c>
      <c r="N97" s="63">
        <f t="shared" ref="N97:N119" si="13">L97/F97</f>
        <v>4.5804106664154992E-2</v>
      </c>
      <c r="O97" s="57">
        <v>0.05</v>
      </c>
      <c r="P97" s="63">
        <f t="shared" ref="P97:P119" si="14">I97/L97</f>
        <v>0</v>
      </c>
    </row>
    <row r="98" spans="1:16" x14ac:dyDescent="0.25">
      <c r="C98" s="98">
        <v>2018</v>
      </c>
      <c r="F98" s="70">
        <v>690110000</v>
      </c>
      <c r="G98" s="101">
        <v>31609872.050000001</v>
      </c>
      <c r="H98" s="70">
        <v>377838503.56</v>
      </c>
      <c r="I98" s="70">
        <v>371916384.95999998</v>
      </c>
      <c r="J98" s="70">
        <v>29823638.260000002</v>
      </c>
      <c r="K98" s="101">
        <v>7708352.3899999997</v>
      </c>
      <c r="L98" s="70">
        <f>H98+L97</f>
        <v>409448375.61000001</v>
      </c>
      <c r="M98" s="70">
        <f>I98</f>
        <v>371916384.95999998</v>
      </c>
      <c r="N98" s="63">
        <f t="shared" si="13"/>
        <v>0.59330885744301631</v>
      </c>
      <c r="O98" s="57">
        <v>0.7</v>
      </c>
      <c r="P98" s="63">
        <f t="shared" si="14"/>
        <v>0.9083352312874986</v>
      </c>
    </row>
    <row r="99" spans="1:16" x14ac:dyDescent="0.25">
      <c r="B99" s="99"/>
      <c r="C99" s="98">
        <v>2019</v>
      </c>
      <c r="F99" s="70">
        <v>690110000</v>
      </c>
      <c r="G99" s="101">
        <v>7708352.3899999997</v>
      </c>
      <c r="H99" s="70">
        <v>20843082.59</v>
      </c>
      <c r="I99" s="70">
        <v>26372137.199999999</v>
      </c>
      <c r="J99" s="70">
        <v>2179297.7799999998</v>
      </c>
      <c r="K99" s="101"/>
      <c r="L99" s="70">
        <f>H99+L98</f>
        <v>430291458.19999999</v>
      </c>
      <c r="M99" s="108">
        <f>I99+M98</f>
        <v>398288522.15999997</v>
      </c>
      <c r="N99" s="63">
        <f t="shared" si="13"/>
        <v>0.62351140861601773</v>
      </c>
      <c r="O99" s="57">
        <v>1</v>
      </c>
      <c r="P99" s="63">
        <f>M99/L99</f>
        <v>0.92562497946420996</v>
      </c>
    </row>
    <row r="100" spans="1:16" x14ac:dyDescent="0.25">
      <c r="B100" s="99" t="s">
        <v>337</v>
      </c>
      <c r="C100" s="98">
        <v>2020</v>
      </c>
      <c r="F100" s="70">
        <v>15477872.07</v>
      </c>
      <c r="G100" s="101"/>
      <c r="H100" s="70">
        <v>14742695.859999999</v>
      </c>
      <c r="I100" s="70">
        <v>13026913.869999999</v>
      </c>
      <c r="J100" s="70">
        <v>1715781.99</v>
      </c>
      <c r="K100" s="101"/>
      <c r="L100" s="70">
        <f>H100</f>
        <v>14742695.859999999</v>
      </c>
      <c r="M100" s="108">
        <f>I100</f>
        <v>13026913.869999999</v>
      </c>
      <c r="N100" s="63">
        <f t="shared" si="13"/>
        <v>0.95250146747078002</v>
      </c>
      <c r="O100" s="57">
        <v>1</v>
      </c>
      <c r="P100" s="63">
        <f>M100/L100</f>
        <v>0.88361816547709748</v>
      </c>
    </row>
    <row r="101" spans="1:16" x14ac:dyDescent="0.25">
      <c r="A101" s="75" t="s">
        <v>314</v>
      </c>
      <c r="B101" s="75" t="s">
        <v>313</v>
      </c>
      <c r="C101" s="98">
        <v>2017</v>
      </c>
      <c r="F101" s="103">
        <v>1692380000</v>
      </c>
      <c r="H101" s="70">
        <v>3736021.86</v>
      </c>
      <c r="K101" s="101">
        <v>3736021.86</v>
      </c>
      <c r="L101" s="70">
        <f>H101</f>
        <v>3736021.86</v>
      </c>
      <c r="N101" s="63">
        <f t="shared" si="13"/>
        <v>2.2075549581063352E-3</v>
      </c>
      <c r="O101" s="57">
        <v>0.02</v>
      </c>
      <c r="P101" s="63">
        <f t="shared" si="14"/>
        <v>0</v>
      </c>
    </row>
    <row r="102" spans="1:16" x14ac:dyDescent="0.25">
      <c r="A102" s="75"/>
      <c r="C102" s="98">
        <v>2018</v>
      </c>
      <c r="F102" s="103">
        <v>1692380000</v>
      </c>
      <c r="G102" s="101">
        <v>3736021.86</v>
      </c>
      <c r="H102" s="70">
        <v>2804120.21</v>
      </c>
      <c r="K102" s="101">
        <v>6540142.0700000003</v>
      </c>
      <c r="L102" s="70">
        <f>H102+L101</f>
        <v>6540142.0700000003</v>
      </c>
      <c r="N102" s="63">
        <f t="shared" si="13"/>
        <v>3.8644642869804656E-3</v>
      </c>
      <c r="O102" s="57">
        <v>0.02</v>
      </c>
      <c r="P102" s="63">
        <f t="shared" si="14"/>
        <v>0</v>
      </c>
    </row>
    <row r="103" spans="1:16" x14ac:dyDescent="0.25">
      <c r="A103" s="99"/>
      <c r="B103" s="99"/>
      <c r="C103" s="98">
        <v>2019</v>
      </c>
      <c r="F103" s="103">
        <v>1692380000</v>
      </c>
      <c r="G103" s="101">
        <v>6540142.0700000003</v>
      </c>
      <c r="H103" s="70">
        <v>838294.12</v>
      </c>
      <c r="K103" s="101">
        <v>7378436.1900000004</v>
      </c>
      <c r="L103" s="70">
        <f>H103+L102</f>
        <v>7378436.1900000004</v>
      </c>
      <c r="N103" s="63">
        <f t="shared" si="13"/>
        <v>4.3597987390538769E-3</v>
      </c>
      <c r="O103" s="57">
        <v>0.02</v>
      </c>
      <c r="P103" s="63">
        <f t="shared" si="14"/>
        <v>0</v>
      </c>
    </row>
    <row r="104" spans="1:16" x14ac:dyDescent="0.25">
      <c r="A104" s="99"/>
      <c r="B104" s="99"/>
      <c r="C104" s="98">
        <v>2020</v>
      </c>
      <c r="F104" s="103">
        <v>1692380000</v>
      </c>
      <c r="G104" s="101">
        <v>7378436.1900000004</v>
      </c>
      <c r="H104" s="70">
        <v>672700.88</v>
      </c>
      <c r="K104" s="101">
        <v>8051137.0700000003</v>
      </c>
      <c r="L104" s="70">
        <f>H104+L103</f>
        <v>8051137.0700000003</v>
      </c>
      <c r="N104" s="63">
        <f t="shared" si="13"/>
        <v>4.7572868209267427E-3</v>
      </c>
      <c r="O104" s="57">
        <v>0.02</v>
      </c>
      <c r="P104" s="63">
        <f t="shared" si="14"/>
        <v>0</v>
      </c>
    </row>
    <row r="105" spans="1:16" x14ac:dyDescent="0.25">
      <c r="A105" s="109" t="s">
        <v>315</v>
      </c>
      <c r="B105" s="75" t="s">
        <v>315</v>
      </c>
      <c r="C105" s="98">
        <v>2017</v>
      </c>
      <c r="F105" s="103">
        <v>537980000</v>
      </c>
      <c r="H105" s="70">
        <v>1817332.85</v>
      </c>
      <c r="K105" s="101">
        <v>1817332.85</v>
      </c>
      <c r="L105" s="70">
        <f>H105</f>
        <v>1817332.85</v>
      </c>
      <c r="N105" s="63">
        <f t="shared" si="13"/>
        <v>3.3780676790958774E-3</v>
      </c>
      <c r="O105" s="57">
        <v>0.02</v>
      </c>
      <c r="P105" s="63">
        <f t="shared" si="14"/>
        <v>0</v>
      </c>
    </row>
    <row r="106" spans="1:16" x14ac:dyDescent="0.25">
      <c r="C106" s="98">
        <v>2018</v>
      </c>
      <c r="F106" s="103">
        <v>537980000</v>
      </c>
      <c r="G106" s="101">
        <v>1817332.85</v>
      </c>
      <c r="H106" s="70">
        <v>21915405.48</v>
      </c>
      <c r="K106" s="101">
        <v>23732738.329999998</v>
      </c>
      <c r="L106" s="70">
        <f>H106+L105</f>
        <v>23732738.330000002</v>
      </c>
      <c r="N106" s="63">
        <f t="shared" si="13"/>
        <v>4.4114536469757243E-2</v>
      </c>
      <c r="O106" s="57">
        <v>0.2</v>
      </c>
      <c r="P106" s="63">
        <f t="shared" si="14"/>
        <v>0</v>
      </c>
    </row>
    <row r="107" spans="1:16" x14ac:dyDescent="0.25">
      <c r="B107" s="99"/>
      <c r="C107" s="98">
        <v>2019</v>
      </c>
      <c r="F107" s="103">
        <v>537980000</v>
      </c>
      <c r="G107" s="101">
        <v>23732738.329999998</v>
      </c>
      <c r="H107" s="70">
        <v>309822122.76999998</v>
      </c>
      <c r="I107" s="70">
        <v>302252349.77999997</v>
      </c>
      <c r="J107" s="70">
        <v>24777177.800000001</v>
      </c>
      <c r="K107" s="101">
        <v>6525333.5199999996</v>
      </c>
      <c r="L107" s="70">
        <f>H107+L106</f>
        <v>333554861.09999996</v>
      </c>
      <c r="M107" s="70">
        <f>I107</f>
        <v>302252349.77999997</v>
      </c>
      <c r="N107" s="63">
        <f t="shared" si="13"/>
        <v>0.62001349697014752</v>
      </c>
      <c r="O107" s="57">
        <v>0.8</v>
      </c>
      <c r="P107" s="63">
        <f t="shared" si="14"/>
        <v>0.90615483397012919</v>
      </c>
    </row>
    <row r="108" spans="1:16" x14ac:dyDescent="0.25">
      <c r="B108" s="99"/>
      <c r="C108" s="98">
        <v>2020</v>
      </c>
      <c r="F108" s="103">
        <v>123920000</v>
      </c>
      <c r="G108" s="101">
        <v>6525333.5199999996</v>
      </c>
      <c r="H108" s="70">
        <v>49249285.710000001</v>
      </c>
      <c r="I108" s="70">
        <v>-2516897.5299999998</v>
      </c>
      <c r="J108" s="70">
        <v>538632.31000000006</v>
      </c>
      <c r="K108" s="101">
        <v>57752884.450000003</v>
      </c>
      <c r="L108" s="70">
        <f>H108+G108</f>
        <v>55774619.230000004</v>
      </c>
      <c r="M108" s="70">
        <f>I108+M107</f>
        <v>299735452.25</v>
      </c>
      <c r="N108" s="63">
        <f t="shared" si="13"/>
        <v>0.45008569423821826</v>
      </c>
      <c r="O108" s="57">
        <v>0.95</v>
      </c>
      <c r="P108" s="63">
        <f t="shared" si="14"/>
        <v>-4.5126216274484453E-2</v>
      </c>
    </row>
    <row r="109" spans="1:16" x14ac:dyDescent="0.25">
      <c r="A109" s="109" t="s">
        <v>320</v>
      </c>
      <c r="B109" s="75" t="s">
        <v>319</v>
      </c>
      <c r="C109" s="98">
        <v>2018</v>
      </c>
      <c r="F109" s="70">
        <v>480000000</v>
      </c>
      <c r="H109" s="70">
        <v>4124609.6</v>
      </c>
      <c r="K109" s="101">
        <v>4124609.6</v>
      </c>
      <c r="L109" s="70">
        <f>H109</f>
        <v>4124609.6</v>
      </c>
      <c r="N109" s="63">
        <f t="shared" si="13"/>
        <v>8.592936666666667E-3</v>
      </c>
      <c r="O109" s="57">
        <v>0.05</v>
      </c>
      <c r="P109" s="63">
        <f t="shared" si="14"/>
        <v>0</v>
      </c>
    </row>
    <row r="110" spans="1:16" x14ac:dyDescent="0.25">
      <c r="B110" s="99"/>
      <c r="C110" s="98">
        <v>2019</v>
      </c>
      <c r="F110" s="70">
        <v>480000000</v>
      </c>
      <c r="G110" s="101">
        <v>4124609.6</v>
      </c>
      <c r="H110" s="70">
        <v>41937909.509999998</v>
      </c>
      <c r="K110" s="101">
        <v>46062519.109999999</v>
      </c>
      <c r="L110" s="70">
        <f>H110+L109</f>
        <v>46062519.109999999</v>
      </c>
      <c r="N110" s="63">
        <f t="shared" si="13"/>
        <v>9.5963581479166671E-2</v>
      </c>
      <c r="O110" s="57">
        <v>0.2</v>
      </c>
      <c r="P110" s="63">
        <f t="shared" si="14"/>
        <v>0</v>
      </c>
    </row>
    <row r="111" spans="1:16" x14ac:dyDescent="0.25">
      <c r="B111" s="99"/>
      <c r="C111" s="98">
        <v>2020</v>
      </c>
      <c r="F111" s="70">
        <v>480000000</v>
      </c>
      <c r="G111" s="101">
        <v>46062519.109999999</v>
      </c>
      <c r="H111" s="70">
        <v>183273744.37</v>
      </c>
      <c r="I111" s="70">
        <v>74541378.269999996</v>
      </c>
      <c r="J111" s="70">
        <v>110219039.81</v>
      </c>
      <c r="K111" s="101">
        <v>44575845.399999999</v>
      </c>
      <c r="L111" s="70">
        <f>H111+L110</f>
        <v>229336263.48000002</v>
      </c>
      <c r="M111" s="70">
        <f>I111</f>
        <v>74541378.269999996</v>
      </c>
      <c r="N111" s="63">
        <f t="shared" si="13"/>
        <v>0.47778388225000001</v>
      </c>
      <c r="O111" s="57">
        <v>0.6</v>
      </c>
      <c r="P111" s="63">
        <f>M111/L111</f>
        <v>0.32503092680979606</v>
      </c>
    </row>
    <row r="112" spans="1:16" ht="31.5" x14ac:dyDescent="0.25">
      <c r="A112" s="110" t="s">
        <v>351</v>
      </c>
      <c r="B112" s="75" t="s">
        <v>321</v>
      </c>
      <c r="C112" s="98">
        <v>2018</v>
      </c>
      <c r="F112" s="70">
        <v>700000000</v>
      </c>
      <c r="H112" s="70">
        <v>3719188.6</v>
      </c>
      <c r="K112" s="101">
        <v>3719188.6</v>
      </c>
      <c r="L112" s="70">
        <f>H112</f>
        <v>3719188.6</v>
      </c>
      <c r="N112" s="63">
        <f t="shared" si="13"/>
        <v>5.3131265714285716E-3</v>
      </c>
      <c r="O112" s="57">
        <v>0.05</v>
      </c>
      <c r="P112" s="63">
        <f t="shared" si="14"/>
        <v>0</v>
      </c>
    </row>
    <row r="113" spans="1:16" x14ac:dyDescent="0.25">
      <c r="B113" s="99"/>
      <c r="C113" s="98">
        <v>2019</v>
      </c>
      <c r="F113" s="70">
        <v>700000000</v>
      </c>
      <c r="G113" s="101">
        <v>3719188.6</v>
      </c>
      <c r="H113" s="70">
        <v>13825534.5</v>
      </c>
      <c r="K113" s="101">
        <v>17544723.100000001</v>
      </c>
      <c r="L113" s="70">
        <f>H113+L112</f>
        <v>17544723.100000001</v>
      </c>
      <c r="N113" s="63">
        <f t="shared" si="13"/>
        <v>2.5063890142857145E-2</v>
      </c>
      <c r="O113" s="57">
        <v>0.1</v>
      </c>
      <c r="P113" s="63">
        <f t="shared" si="14"/>
        <v>0</v>
      </c>
    </row>
    <row r="114" spans="1:16" x14ac:dyDescent="0.25">
      <c r="B114" s="99"/>
      <c r="C114" s="98">
        <v>2020</v>
      </c>
      <c r="F114" s="70">
        <v>700000000</v>
      </c>
      <c r="G114" s="101">
        <v>17544723.100000001</v>
      </c>
      <c r="H114" s="70">
        <v>83068867.769999996</v>
      </c>
      <c r="K114" s="101">
        <v>100613590.87</v>
      </c>
      <c r="L114" s="70">
        <f>H114+L113</f>
        <v>100613590.87</v>
      </c>
      <c r="N114" s="63">
        <f t="shared" si="13"/>
        <v>0.14373370124285714</v>
      </c>
      <c r="O114" s="57">
        <v>0.5</v>
      </c>
      <c r="P114" s="63">
        <f t="shared" si="14"/>
        <v>0</v>
      </c>
    </row>
    <row r="115" spans="1:16" x14ac:dyDescent="0.25">
      <c r="A115" s="110" t="s">
        <v>352</v>
      </c>
      <c r="B115" s="75" t="s">
        <v>329</v>
      </c>
      <c r="C115" s="98">
        <v>2019</v>
      </c>
      <c r="F115" s="70">
        <v>400000000</v>
      </c>
      <c r="H115" s="70">
        <v>32110163.809999999</v>
      </c>
      <c r="K115" s="101">
        <v>32110163.809999999</v>
      </c>
      <c r="L115" s="70">
        <f>H115</f>
        <v>32110163.809999999</v>
      </c>
      <c r="N115" s="63">
        <f t="shared" si="13"/>
        <v>8.0275409524999994E-2</v>
      </c>
      <c r="O115" s="57">
        <v>0.05</v>
      </c>
      <c r="P115" s="63">
        <f t="shared" si="14"/>
        <v>0</v>
      </c>
    </row>
    <row r="116" spans="1:16" x14ac:dyDescent="0.25">
      <c r="C116" s="98">
        <v>2020</v>
      </c>
      <c r="F116" s="70">
        <v>400000000</v>
      </c>
      <c r="G116" s="101">
        <v>32110163.809999999</v>
      </c>
      <c r="H116" s="70">
        <v>69141674.530000001</v>
      </c>
      <c r="K116" s="101">
        <v>101251838.34</v>
      </c>
      <c r="L116" s="70">
        <f>H116+L115</f>
        <v>101251838.34</v>
      </c>
      <c r="N116" s="63">
        <f t="shared" si="13"/>
        <v>0.25312959585</v>
      </c>
      <c r="O116" s="57">
        <v>0.4</v>
      </c>
      <c r="P116" s="63">
        <f t="shared" si="14"/>
        <v>0</v>
      </c>
    </row>
    <row r="117" spans="1:16" x14ac:dyDescent="0.25">
      <c r="A117" s="110" t="s">
        <v>339</v>
      </c>
      <c r="B117" s="75" t="s">
        <v>338</v>
      </c>
      <c r="C117" s="98">
        <v>2020</v>
      </c>
      <c r="F117" s="70">
        <v>2500000000</v>
      </c>
      <c r="H117" s="70">
        <v>65235857.43</v>
      </c>
      <c r="K117" s="101">
        <v>65235857.43</v>
      </c>
      <c r="L117" s="70">
        <f>H117</f>
        <v>65235857.43</v>
      </c>
      <c r="N117" s="63">
        <f t="shared" si="13"/>
        <v>2.6094342972000001E-2</v>
      </c>
      <c r="O117" s="57">
        <v>0.02</v>
      </c>
      <c r="P117" s="63">
        <f t="shared" si="14"/>
        <v>0</v>
      </c>
    </row>
    <row r="118" spans="1:16" x14ac:dyDescent="0.25">
      <c r="L118" s="70">
        <f>H118</f>
        <v>0</v>
      </c>
      <c r="N118" s="63" t="e">
        <f t="shared" si="13"/>
        <v>#DIV/0!</v>
      </c>
      <c r="P118" s="63" t="e">
        <f t="shared" si="14"/>
        <v>#DIV/0!</v>
      </c>
    </row>
    <row r="119" spans="1:16" x14ac:dyDescent="0.25">
      <c r="N119" s="63" t="e">
        <f t="shared" si="13"/>
        <v>#DIV/0!</v>
      </c>
      <c r="P119" s="63" t="e">
        <f t="shared" si="14"/>
        <v>#DIV/0!</v>
      </c>
    </row>
    <row r="121" spans="1:16" x14ac:dyDescent="0.25">
      <c r="A121" t="s">
        <v>340</v>
      </c>
      <c r="B121" s="75" t="s">
        <v>341</v>
      </c>
      <c r="C121" s="98">
        <v>2020</v>
      </c>
      <c r="F121" t="s">
        <v>342</v>
      </c>
    </row>
  </sheetData>
  <autoFilter ref="A1:P121"/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7" sqref="D7"/>
    </sheetView>
  </sheetViews>
  <sheetFormatPr defaultRowHeight="15.75" x14ac:dyDescent="0.25"/>
  <cols>
    <col min="1" max="1" width="12.875" customWidth="1"/>
    <col min="3" max="3" width="51.625" customWidth="1"/>
    <col min="4" max="4" width="38.375" customWidth="1"/>
  </cols>
  <sheetData>
    <row r="1" spans="1:4" x14ac:dyDescent="0.25">
      <c r="A1" t="s">
        <v>344</v>
      </c>
      <c r="B1" t="s">
        <v>345</v>
      </c>
      <c r="C1" t="s">
        <v>346</v>
      </c>
      <c r="D1" t="s">
        <v>347</v>
      </c>
    </row>
    <row r="2" spans="1:4" ht="63" x14ac:dyDescent="0.25">
      <c r="A2" s="109" t="s">
        <v>348</v>
      </c>
      <c r="B2">
        <v>2020</v>
      </c>
      <c r="C2" s="107" t="s">
        <v>349</v>
      </c>
    </row>
    <row r="3" spans="1:4" x14ac:dyDescent="0.25">
      <c r="A3" s="111" t="s">
        <v>365</v>
      </c>
      <c r="B3">
        <v>2010</v>
      </c>
      <c r="C3" s="107" t="s">
        <v>366</v>
      </c>
    </row>
    <row r="4" spans="1:4" x14ac:dyDescent="0.25">
      <c r="A4" s="73"/>
      <c r="B4">
        <v>2012</v>
      </c>
      <c r="C4" s="107" t="s">
        <v>367</v>
      </c>
    </row>
    <row r="5" spans="1:4" x14ac:dyDescent="0.25">
      <c r="A5" s="73"/>
      <c r="B5">
        <v>2014</v>
      </c>
      <c r="C5" s="107" t="s">
        <v>368</v>
      </c>
    </row>
    <row r="6" spans="1:4" x14ac:dyDescent="0.25">
      <c r="A6" s="111" t="s">
        <v>354</v>
      </c>
      <c r="B6">
        <v>2011</v>
      </c>
      <c r="C6" s="107" t="s">
        <v>355</v>
      </c>
    </row>
    <row r="7" spans="1:4" ht="31.5" x14ac:dyDescent="0.25">
      <c r="A7" s="73"/>
      <c r="B7">
        <v>2015</v>
      </c>
      <c r="C7" s="107" t="s">
        <v>356</v>
      </c>
    </row>
    <row r="8" spans="1:4" ht="31.5" x14ac:dyDescent="0.25">
      <c r="A8" s="73"/>
      <c r="B8">
        <v>2016</v>
      </c>
      <c r="C8" s="107" t="s">
        <v>357</v>
      </c>
    </row>
    <row r="9" spans="1:4" x14ac:dyDescent="0.25">
      <c r="A9" s="111" t="s">
        <v>358</v>
      </c>
      <c r="B9">
        <v>2011</v>
      </c>
      <c r="C9" s="107" t="s">
        <v>363</v>
      </c>
    </row>
    <row r="10" spans="1:4" ht="47.25" x14ac:dyDescent="0.25">
      <c r="A10" s="73"/>
      <c r="B10">
        <v>2015</v>
      </c>
      <c r="C10" s="107" t="s">
        <v>359</v>
      </c>
      <c r="D10" t="s">
        <v>360</v>
      </c>
    </row>
    <row r="11" spans="1:4" x14ac:dyDescent="0.25">
      <c r="A11" s="111" t="s">
        <v>361</v>
      </c>
      <c r="B11">
        <v>2011</v>
      </c>
      <c r="C11" s="107" t="s">
        <v>362</v>
      </c>
    </row>
    <row r="12" spans="1:4" ht="47.25" x14ac:dyDescent="0.25">
      <c r="A12" s="73"/>
      <c r="B12">
        <v>2016</v>
      </c>
      <c r="C12" s="107" t="s">
        <v>364</v>
      </c>
    </row>
    <row r="13" spans="1:4" x14ac:dyDescent="0.25">
      <c r="A13" s="109" t="s">
        <v>372</v>
      </c>
      <c r="B13">
        <v>2011</v>
      </c>
      <c r="C13" s="107" t="s">
        <v>373</v>
      </c>
    </row>
    <row r="14" spans="1:4" x14ac:dyDescent="0.25">
      <c r="A14" s="73"/>
      <c r="B14">
        <v>2013</v>
      </c>
      <c r="C14" s="107" t="s">
        <v>374</v>
      </c>
      <c r="D14" t="s">
        <v>375</v>
      </c>
    </row>
    <row r="15" spans="1:4" x14ac:dyDescent="0.25">
      <c r="A15" s="73"/>
      <c r="B15">
        <v>2018</v>
      </c>
      <c r="C15" s="107"/>
      <c r="D15" t="s">
        <v>376</v>
      </c>
    </row>
    <row r="16" spans="1:4" x14ac:dyDescent="0.25">
      <c r="A16" s="109" t="s">
        <v>377</v>
      </c>
      <c r="B16">
        <v>2012</v>
      </c>
      <c r="C16" s="107" t="s">
        <v>378</v>
      </c>
    </row>
    <row r="17" spans="1:4" x14ac:dyDescent="0.25">
      <c r="A17" s="73"/>
      <c r="B17">
        <v>2014</v>
      </c>
      <c r="C17" s="107" t="s">
        <v>379</v>
      </c>
      <c r="D17" t="s">
        <v>380</v>
      </c>
    </row>
    <row r="18" spans="1:4" x14ac:dyDescent="0.25">
      <c r="A18" s="73"/>
      <c r="B18">
        <v>2019</v>
      </c>
      <c r="C18" s="107"/>
      <c r="D18" t="s">
        <v>381</v>
      </c>
    </row>
    <row r="19" spans="1:4" x14ac:dyDescent="0.25">
      <c r="A19" s="109" t="s">
        <v>382</v>
      </c>
      <c r="B19">
        <v>2012</v>
      </c>
      <c r="C19" s="107" t="s">
        <v>383</v>
      </c>
    </row>
    <row r="20" spans="1:4" x14ac:dyDescent="0.25">
      <c r="A20" s="73"/>
      <c r="B20">
        <v>2014</v>
      </c>
      <c r="C20" s="107" t="s">
        <v>379</v>
      </c>
      <c r="D20" t="s">
        <v>384</v>
      </c>
    </row>
    <row r="21" spans="1:4" x14ac:dyDescent="0.25">
      <c r="A21" s="73"/>
      <c r="B21">
        <v>2017</v>
      </c>
      <c r="C21" s="112" t="s">
        <v>385</v>
      </c>
      <c r="D21" t="s">
        <v>386</v>
      </c>
    </row>
    <row r="22" spans="1:4" x14ac:dyDescent="0.25">
      <c r="A22" s="73"/>
      <c r="B22">
        <v>2020</v>
      </c>
      <c r="C22" s="112" t="s">
        <v>387</v>
      </c>
      <c r="D22" t="s">
        <v>388</v>
      </c>
    </row>
    <row r="23" spans="1:4" x14ac:dyDescent="0.25">
      <c r="A23" s="109" t="s">
        <v>307</v>
      </c>
      <c r="B23">
        <v>2016</v>
      </c>
      <c r="C23" s="112" t="s">
        <v>389</v>
      </c>
    </row>
    <row r="24" spans="1:4" x14ac:dyDescent="0.25">
      <c r="A24" s="73"/>
      <c r="B24">
        <v>2021</v>
      </c>
      <c r="C24" s="112" t="s">
        <v>390</v>
      </c>
    </row>
    <row r="25" spans="1:4" x14ac:dyDescent="0.25">
      <c r="A25" s="109" t="s">
        <v>309</v>
      </c>
      <c r="B25">
        <v>2016</v>
      </c>
      <c r="C25" s="112" t="s">
        <v>391</v>
      </c>
    </row>
    <row r="26" spans="1:4" x14ac:dyDescent="0.25">
      <c r="A26" s="73"/>
      <c r="B26">
        <v>2018</v>
      </c>
      <c r="C26" s="112" t="s">
        <v>392</v>
      </c>
      <c r="D26" t="s">
        <v>393</v>
      </c>
    </row>
    <row r="27" spans="1:4" x14ac:dyDescent="0.25">
      <c r="A27" s="73"/>
      <c r="B27">
        <v>2019</v>
      </c>
      <c r="C27" s="112"/>
      <c r="D27" t="s">
        <v>394</v>
      </c>
    </row>
    <row r="28" spans="1:4" x14ac:dyDescent="0.25">
      <c r="A28" s="111" t="s">
        <v>369</v>
      </c>
      <c r="B28">
        <v>2016</v>
      </c>
      <c r="C28" s="107" t="s">
        <v>370</v>
      </c>
    </row>
    <row r="29" spans="1:4" x14ac:dyDescent="0.25">
      <c r="A29" s="73"/>
      <c r="B29">
        <v>2020</v>
      </c>
      <c r="C29" s="107" t="s">
        <v>371</v>
      </c>
    </row>
    <row r="30" spans="1:4" x14ac:dyDescent="0.25">
      <c r="A30" s="109" t="s">
        <v>395</v>
      </c>
      <c r="B30">
        <v>2017</v>
      </c>
      <c r="C30" s="107" t="s">
        <v>396</v>
      </c>
    </row>
    <row r="31" spans="1:4" x14ac:dyDescent="0.25">
      <c r="A31" s="73"/>
      <c r="B31">
        <v>2019</v>
      </c>
      <c r="C31" s="107" t="s">
        <v>397</v>
      </c>
      <c r="D31" t="s">
        <v>398</v>
      </c>
    </row>
    <row r="32" spans="1:4" x14ac:dyDescent="0.25">
      <c r="A32" s="109" t="s">
        <v>350</v>
      </c>
      <c r="B32">
        <v>2018</v>
      </c>
      <c r="C32" s="107" t="s">
        <v>399</v>
      </c>
    </row>
    <row r="33" spans="1:4" x14ac:dyDescent="0.25">
      <c r="B33">
        <v>2020</v>
      </c>
      <c r="C33" t="s">
        <v>401</v>
      </c>
      <c r="D33" t="s">
        <v>400</v>
      </c>
    </row>
    <row r="34" spans="1:4" x14ac:dyDescent="0.25">
      <c r="A34" s="110" t="s">
        <v>402</v>
      </c>
      <c r="B34">
        <v>2018</v>
      </c>
      <c r="C34" s="107" t="s">
        <v>403</v>
      </c>
    </row>
    <row r="35" spans="1:4" x14ac:dyDescent="0.25">
      <c r="A35" s="110" t="s">
        <v>404</v>
      </c>
      <c r="B35">
        <v>2019</v>
      </c>
      <c r="C35" s="107" t="s">
        <v>405</v>
      </c>
    </row>
    <row r="36" spans="1:4" ht="63" x14ac:dyDescent="0.25">
      <c r="A36" s="110" t="s">
        <v>406</v>
      </c>
      <c r="B36">
        <v>2020</v>
      </c>
      <c r="C36" s="107" t="s">
        <v>407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C24" sqref="C24"/>
    </sheetView>
  </sheetViews>
  <sheetFormatPr defaultRowHeight="15.75" x14ac:dyDescent="0.25"/>
  <cols>
    <col min="2" max="2" width="15.375" customWidth="1"/>
    <col min="3" max="3" width="14.375" customWidth="1"/>
    <col min="4" max="4" width="17.5" customWidth="1"/>
    <col min="5" max="5" width="15.25" customWidth="1"/>
    <col min="6" max="6" width="15.75" customWidth="1"/>
    <col min="7" max="7" width="14" customWidth="1"/>
    <col min="8" max="8" width="14.375" customWidth="1"/>
    <col min="9" max="9" width="15.375" customWidth="1"/>
    <col min="10" max="10" width="21" customWidth="1"/>
    <col min="11" max="11" width="15.125" customWidth="1"/>
    <col min="12" max="12" width="14.25" customWidth="1"/>
    <col min="13" max="13" width="13.5" customWidth="1"/>
    <col min="14" max="14" width="17.375" customWidth="1"/>
    <col min="15" max="15" width="18.5" customWidth="1"/>
  </cols>
  <sheetData>
    <row r="1" spans="2:15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79</v>
      </c>
      <c r="O1" s="60" t="s">
        <v>92</v>
      </c>
    </row>
    <row r="2" spans="2:15" x14ac:dyDescent="0.25">
      <c r="B2" s="65">
        <v>40543</v>
      </c>
      <c r="C2" s="59">
        <v>417437985.33999997</v>
      </c>
      <c r="D2" s="60"/>
      <c r="E2" s="60"/>
      <c r="F2" s="60"/>
      <c r="G2" s="60"/>
      <c r="H2" s="60"/>
      <c r="I2" s="66"/>
      <c r="J2" s="60"/>
      <c r="K2" s="60"/>
      <c r="L2" s="60"/>
      <c r="M2" s="67">
        <v>27318676.609999999</v>
      </c>
      <c r="N2" s="61">
        <f t="shared" ref="N2:N11" si="0">M2+L2+K2+J2+I2+H2+G2+E2+D2+C2+F2</f>
        <v>444756661.94999999</v>
      </c>
      <c r="O2" s="59">
        <v>444756700</v>
      </c>
    </row>
    <row r="3" spans="2:15" x14ac:dyDescent="0.25">
      <c r="B3" s="65">
        <v>40908</v>
      </c>
      <c r="C3" s="59">
        <v>467681460.19999999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36850714.939999998</v>
      </c>
      <c r="N3" s="61">
        <f t="shared" si="0"/>
        <v>504532175.13999999</v>
      </c>
      <c r="O3" s="59">
        <v>504532200</v>
      </c>
    </row>
    <row r="4" spans="2:15" x14ac:dyDescent="0.25">
      <c r="B4" s="65">
        <v>41274</v>
      </c>
      <c r="C4" s="59">
        <v>558533359.04999995</v>
      </c>
      <c r="D4" s="60"/>
      <c r="E4" s="60"/>
      <c r="F4" s="60"/>
      <c r="G4" s="60"/>
      <c r="H4" s="60"/>
      <c r="I4" s="66"/>
      <c r="J4" s="60"/>
      <c r="K4" s="60"/>
      <c r="L4" s="60"/>
      <c r="M4" s="67">
        <v>27623703.75</v>
      </c>
      <c r="N4" s="61">
        <f t="shared" si="0"/>
        <v>586157062.79999995</v>
      </c>
      <c r="O4" s="59">
        <v>586157100</v>
      </c>
    </row>
    <row r="5" spans="2:15" x14ac:dyDescent="0.25">
      <c r="B5" s="65">
        <v>41639</v>
      </c>
      <c r="C5" s="59">
        <v>585587954.86000001</v>
      </c>
      <c r="D5" s="68">
        <v>33567890.960000001</v>
      </c>
      <c r="E5" s="60"/>
      <c r="F5" s="60"/>
      <c r="G5" s="60"/>
      <c r="H5" s="60"/>
      <c r="I5" s="66"/>
      <c r="J5" s="60"/>
      <c r="K5" s="68">
        <v>3818769.58</v>
      </c>
      <c r="L5" s="68">
        <v>12264150.6</v>
      </c>
      <c r="M5" s="67">
        <v>43477134</v>
      </c>
      <c r="N5" s="61">
        <f t="shared" si="0"/>
        <v>678715900</v>
      </c>
      <c r="O5" s="59">
        <v>678715900</v>
      </c>
    </row>
    <row r="6" spans="2:15" x14ac:dyDescent="0.25">
      <c r="B6" s="65">
        <v>42004</v>
      </c>
      <c r="C6" s="59">
        <v>609812284.89999998</v>
      </c>
      <c r="D6" s="68">
        <v>159582817.34</v>
      </c>
      <c r="E6" s="68">
        <v>73933364.819999993</v>
      </c>
      <c r="F6" s="68">
        <v>63465841.310000002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935119130.20000005</v>
      </c>
      <c r="O6" s="59">
        <v>935119100</v>
      </c>
    </row>
    <row r="7" spans="2:15" x14ac:dyDescent="0.25">
      <c r="B7" s="65">
        <v>42369</v>
      </c>
      <c r="C7" s="59">
        <v>700754733.73000002</v>
      </c>
      <c r="D7" s="68">
        <v>257852071.96000001</v>
      </c>
      <c r="E7" s="68">
        <v>171198719.31</v>
      </c>
      <c r="F7" s="68">
        <v>131115944.73999999</v>
      </c>
      <c r="G7" s="60"/>
      <c r="H7" s="60"/>
      <c r="I7" s="66"/>
      <c r="J7" s="68">
        <v>369099362.92000002</v>
      </c>
      <c r="K7" s="68">
        <v>43827382.159999996</v>
      </c>
      <c r="L7" s="68">
        <v>17063305.18</v>
      </c>
      <c r="M7" s="67"/>
      <c r="N7" s="61">
        <f t="shared" si="0"/>
        <v>1690911520</v>
      </c>
      <c r="O7" s="59">
        <v>1694514000</v>
      </c>
    </row>
    <row r="8" spans="2:15" x14ac:dyDescent="0.25">
      <c r="B8" s="65">
        <v>42735</v>
      </c>
      <c r="C8" s="59">
        <v>687874826.88999999</v>
      </c>
      <c r="D8" s="68">
        <v>307467248.97000003</v>
      </c>
      <c r="E8" s="68">
        <v>222559993.77000001</v>
      </c>
      <c r="F8" s="68">
        <v>149279367.16</v>
      </c>
      <c r="G8" s="60"/>
      <c r="H8" s="60"/>
      <c r="I8" s="66"/>
      <c r="J8" s="68">
        <v>1090212510.98</v>
      </c>
      <c r="K8" s="68">
        <v>60018274.359999999</v>
      </c>
      <c r="L8" s="68">
        <v>123204706.73999999</v>
      </c>
      <c r="M8" s="67">
        <v>3611972.78</v>
      </c>
      <c r="N8" s="61">
        <f t="shared" si="0"/>
        <v>2644228901.6500001</v>
      </c>
      <c r="O8" s="59">
        <v>2644229000</v>
      </c>
    </row>
    <row r="9" spans="2:15" x14ac:dyDescent="0.25">
      <c r="B9" s="65">
        <v>43100</v>
      </c>
      <c r="C9" s="61">
        <v>842165471.04999995</v>
      </c>
      <c r="D9" s="68">
        <v>339980121.20999998</v>
      </c>
      <c r="E9" s="68">
        <v>227236394.38</v>
      </c>
      <c r="F9" s="68">
        <v>90585086.010000005</v>
      </c>
      <c r="G9" s="60"/>
      <c r="H9" s="60"/>
      <c r="I9" s="66"/>
      <c r="J9" s="68">
        <v>1240133995.3599999</v>
      </c>
      <c r="K9" s="68">
        <v>120577904.09999999</v>
      </c>
      <c r="L9" s="68">
        <v>163152259.15000001</v>
      </c>
      <c r="M9" s="67"/>
      <c r="N9" s="61">
        <f t="shared" si="0"/>
        <v>3023831231.2600002</v>
      </c>
      <c r="O9" s="61">
        <v>3023831000</v>
      </c>
    </row>
    <row r="10" spans="2:15" x14ac:dyDescent="0.25">
      <c r="B10" s="65">
        <v>43465</v>
      </c>
      <c r="C10" s="61">
        <v>935878252.92999995</v>
      </c>
      <c r="D10" s="68">
        <v>426722284</v>
      </c>
      <c r="E10" s="68">
        <v>266958976.72999999</v>
      </c>
      <c r="F10" s="68">
        <v>1778339.57</v>
      </c>
      <c r="G10" s="68">
        <v>42659643.259999998</v>
      </c>
      <c r="H10" s="60"/>
      <c r="I10" s="66"/>
      <c r="J10" s="68">
        <v>1233596141.03</v>
      </c>
      <c r="K10" s="68">
        <v>173487760.90000001</v>
      </c>
      <c r="L10" s="68">
        <v>126677207.77</v>
      </c>
      <c r="M10" s="67">
        <v>3434208.29</v>
      </c>
      <c r="N10" s="61">
        <f t="shared" si="0"/>
        <v>3211192814.48</v>
      </c>
      <c r="O10" s="61">
        <v>3211193000</v>
      </c>
    </row>
    <row r="11" spans="2:15" x14ac:dyDescent="0.25">
      <c r="B11" s="65">
        <v>43830</v>
      </c>
      <c r="C11" s="61">
        <v>918884614.28999996</v>
      </c>
      <c r="D11" s="68">
        <v>392729155.06</v>
      </c>
      <c r="E11" s="68">
        <v>333433832.56999999</v>
      </c>
      <c r="F11" s="60"/>
      <c r="G11" s="68">
        <v>160649726.50999999</v>
      </c>
      <c r="H11" s="68">
        <v>65470605.659999996</v>
      </c>
      <c r="I11" s="66"/>
      <c r="J11" s="68">
        <v>383412284.25</v>
      </c>
      <c r="K11" s="68">
        <v>180426687.71000001</v>
      </c>
      <c r="L11" s="68">
        <v>173281416.46000001</v>
      </c>
      <c r="M11" s="67">
        <v>3464886.35</v>
      </c>
      <c r="N11" s="61">
        <f t="shared" si="0"/>
        <v>2611753208.8599997</v>
      </c>
      <c r="O11" s="61">
        <v>2611753000</v>
      </c>
    </row>
    <row r="12" spans="2:15" x14ac:dyDescent="0.25">
      <c r="B12" s="65">
        <v>43831</v>
      </c>
      <c r="C12" s="68">
        <v>286877405.88999999</v>
      </c>
      <c r="D12" s="68">
        <v>127098246.23</v>
      </c>
      <c r="E12" s="68">
        <v>136520949.22999999</v>
      </c>
      <c r="F12" s="68">
        <v>25667095.210000001</v>
      </c>
      <c r="G12" s="68">
        <v>56586027.07</v>
      </c>
      <c r="H12" s="68">
        <v>18120963.579999998</v>
      </c>
      <c r="I12" s="68">
        <v>25002178.140000001</v>
      </c>
      <c r="J12" s="60"/>
      <c r="K12" s="68">
        <v>43316562.229999997</v>
      </c>
      <c r="L12" s="68">
        <v>183396698.05000001</v>
      </c>
      <c r="M12" s="68"/>
      <c r="N12" s="61">
        <f>M12+L12+K12+J12+I12+H12+G12+E12+D12+C12+F12</f>
        <v>902586125.63</v>
      </c>
      <c r="O12" s="68">
        <v>902586125.63</v>
      </c>
    </row>
    <row r="13" spans="2:15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5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5" x14ac:dyDescent="0.25">
      <c r="B15" t="s">
        <v>80</v>
      </c>
    </row>
    <row r="16" spans="2:15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0.93857612724624861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1">M17+L17+K17+J17+H17+G17+E17+D17+C17+F17</f>
        <v>0.93857612724624861</v>
      </c>
      <c r="O17" s="59">
        <v>444756700</v>
      </c>
    </row>
    <row r="18" spans="2:15" x14ac:dyDescent="0.25">
      <c r="B18" s="65">
        <v>40908</v>
      </c>
      <c r="C18" s="66">
        <f t="shared" ref="C18:C27" si="2">C3/N3</f>
        <v>0.92696062460283235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1"/>
        <v>0.92696062460283235</v>
      </c>
      <c r="O18" s="59">
        <v>504532200</v>
      </c>
    </row>
    <row r="19" spans="2:15" x14ac:dyDescent="0.25">
      <c r="B19" s="65">
        <v>41274</v>
      </c>
      <c r="C19" s="66">
        <f t="shared" si="2"/>
        <v>0.95287320497675998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1"/>
        <v>0.95287320497675998</v>
      </c>
      <c r="O19" s="59">
        <v>586157100</v>
      </c>
    </row>
    <row r="20" spans="2:15" x14ac:dyDescent="0.25">
      <c r="B20" s="65">
        <v>41639</v>
      </c>
      <c r="C20" s="66">
        <f t="shared" si="2"/>
        <v>0.86278803083882372</v>
      </c>
      <c r="D20" s="66">
        <f>D5/N5</f>
        <v>4.9457941032470289E-2</v>
      </c>
      <c r="E20" s="66"/>
      <c r="F20" s="66"/>
      <c r="G20" s="66"/>
      <c r="H20" s="66"/>
      <c r="I20" s="66"/>
      <c r="J20" s="66"/>
      <c r="K20" s="66">
        <f>K5/N5</f>
        <v>5.6264625301985704E-3</v>
      </c>
      <c r="L20" s="66">
        <f>L5/N5</f>
        <v>1.806963797370888E-2</v>
      </c>
      <c r="M20" s="66">
        <f>M5/N5</f>
        <v>6.4057927624798533E-2</v>
      </c>
      <c r="N20" s="61">
        <f t="shared" si="1"/>
        <v>1</v>
      </c>
      <c r="O20" s="59">
        <v>678715900</v>
      </c>
    </row>
    <row r="21" spans="2:15" x14ac:dyDescent="0.25">
      <c r="B21" s="65">
        <v>42004</v>
      </c>
      <c r="C21" s="66">
        <f t="shared" si="2"/>
        <v>0.65212256407328062</v>
      </c>
      <c r="D21" s="66">
        <f t="shared" ref="D21:D27" si="3">D6/N6</f>
        <v>0.17065506648962361</v>
      </c>
      <c r="E21" s="66">
        <f>E6/N6</f>
        <v>7.9063043875690339E-2</v>
      </c>
      <c r="F21" s="66">
        <f>F6/N6</f>
        <v>6.7869257787963488E-2</v>
      </c>
      <c r="G21" s="66"/>
      <c r="H21" s="66"/>
      <c r="I21" s="66"/>
      <c r="J21" s="66"/>
      <c r="K21" s="66">
        <f t="shared" ref="K21:K27" si="4">K6/N6</f>
        <v>1.8731643813396984E-2</v>
      </c>
      <c r="L21" s="66">
        <f t="shared" ref="L21:L27" si="5">L6/N6</f>
        <v>1.155842396004487E-2</v>
      </c>
      <c r="M21" s="66">
        <f t="shared" ref="M21:M27" si="6">M6/N6</f>
        <v>0</v>
      </c>
      <c r="N21" s="61">
        <f t="shared" si="1"/>
        <v>0.99999999999999989</v>
      </c>
      <c r="O21" s="59">
        <v>935119100</v>
      </c>
    </row>
    <row r="22" spans="2:15" x14ac:dyDescent="0.25">
      <c r="B22" s="65">
        <v>42369</v>
      </c>
      <c r="C22" s="66">
        <f t="shared" si="2"/>
        <v>0.41442424718355458</v>
      </c>
      <c r="D22" s="66">
        <f t="shared" si="3"/>
        <v>0.15249294177142989</v>
      </c>
      <c r="E22" s="66">
        <f t="shared" ref="E22:E27" si="7">E7/N7</f>
        <v>0.10124640898419096</v>
      </c>
      <c r="F22" s="66">
        <f t="shared" ref="F22:F27" si="8">F7/N7</f>
        <v>7.7541576356402131E-2</v>
      </c>
      <c r="G22" s="66"/>
      <c r="H22" s="66"/>
      <c r="I22" s="66"/>
      <c r="J22" s="66">
        <f t="shared" ref="J22:J27" si="9">J7/N7</f>
        <v>0.21828425589057435</v>
      </c>
      <c r="K22" s="66">
        <f t="shared" si="4"/>
        <v>2.5919382322263672E-2</v>
      </c>
      <c r="L22" s="66">
        <f t="shared" si="5"/>
        <v>1.009118749158442E-2</v>
      </c>
      <c r="M22" s="66">
        <f t="shared" si="6"/>
        <v>0</v>
      </c>
      <c r="N22" s="61">
        <f t="shared" si="1"/>
        <v>0.99999999999999989</v>
      </c>
      <c r="O22" s="59">
        <v>1694514000</v>
      </c>
    </row>
    <row r="23" spans="2:15" x14ac:dyDescent="0.25">
      <c r="B23" s="65">
        <v>42735</v>
      </c>
      <c r="C23" s="66">
        <f t="shared" si="2"/>
        <v>0.26014193644913486</v>
      </c>
      <c r="D23" s="66">
        <f t="shared" si="3"/>
        <v>0.11627860537268174</v>
      </c>
      <c r="E23" s="66">
        <f t="shared" si="7"/>
        <v>8.4168202545219312E-2</v>
      </c>
      <c r="F23" s="66">
        <f t="shared" si="8"/>
        <v>5.6454782362771093E-2</v>
      </c>
      <c r="G23" s="66"/>
      <c r="H23" s="66"/>
      <c r="I23" s="66"/>
      <c r="J23" s="66">
        <f t="shared" si="9"/>
        <v>0.41229884080750606</v>
      </c>
      <c r="K23" s="66">
        <f t="shared" si="4"/>
        <v>2.2697836152743268E-2</v>
      </c>
      <c r="L23" s="66">
        <f t="shared" si="5"/>
        <v>4.6593812912006295E-2</v>
      </c>
      <c r="M23" s="66">
        <f t="shared" si="6"/>
        <v>1.3659833979373446E-3</v>
      </c>
      <c r="N23" s="61">
        <f t="shared" si="1"/>
        <v>1</v>
      </c>
      <c r="O23" s="59">
        <v>2644229000</v>
      </c>
    </row>
    <row r="24" spans="2:15" x14ac:dyDescent="0.25">
      <c r="B24" s="65">
        <v>43100</v>
      </c>
      <c r="C24" s="66">
        <f t="shared" si="2"/>
        <v>0.27850941624777054</v>
      </c>
      <c r="D24" s="66">
        <f t="shared" si="3"/>
        <v>0.1124335636510817</v>
      </c>
      <c r="E24" s="66">
        <f t="shared" si="7"/>
        <v>7.5148504331477808E-2</v>
      </c>
      <c r="F24" s="66">
        <f t="shared" si="8"/>
        <v>2.9957057481761012E-2</v>
      </c>
      <c r="G24" s="66"/>
      <c r="H24" s="66"/>
      <c r="I24" s="66"/>
      <c r="J24" s="66">
        <f t="shared" si="9"/>
        <v>0.4101201093962008</v>
      </c>
      <c r="K24" s="66">
        <f t="shared" si="4"/>
        <v>3.9875870998844203E-2</v>
      </c>
      <c r="L24" s="66">
        <f t="shared" si="5"/>
        <v>5.3955477892863778E-2</v>
      </c>
      <c r="M24" s="66">
        <f t="shared" si="6"/>
        <v>0</v>
      </c>
      <c r="N24" s="61">
        <f t="shared" si="1"/>
        <v>0.99999999999999989</v>
      </c>
      <c r="O24" s="61">
        <v>3023831000</v>
      </c>
    </row>
    <row r="25" spans="2:15" x14ac:dyDescent="0.25">
      <c r="B25" s="65">
        <v>43465</v>
      </c>
      <c r="C25" s="66">
        <f t="shared" si="2"/>
        <v>0.29144255950932368</v>
      </c>
      <c r="D25" s="66">
        <f t="shared" si="3"/>
        <v>0.13288591145191034</v>
      </c>
      <c r="E25" s="66">
        <f t="shared" si="7"/>
        <v>8.3133898259307615E-2</v>
      </c>
      <c r="F25" s="66">
        <f t="shared" si="8"/>
        <v>5.5379407987619488E-4</v>
      </c>
      <c r="G25" s="66">
        <f>G10/N10</f>
        <v>1.3284671997158796E-2</v>
      </c>
      <c r="H25" s="66"/>
      <c r="I25" s="66"/>
      <c r="J25" s="66">
        <f t="shared" si="9"/>
        <v>0.38415511378433392</v>
      </c>
      <c r="K25" s="66">
        <f t="shared" si="4"/>
        <v>5.4025955750057787E-2</v>
      </c>
      <c r="L25" s="66">
        <f t="shared" si="5"/>
        <v>3.9448645748951482E-2</v>
      </c>
      <c r="M25" s="66">
        <f t="shared" si="6"/>
        <v>1.0694494190801537E-3</v>
      </c>
      <c r="N25" s="61">
        <f t="shared" si="1"/>
        <v>0.99999999999999989</v>
      </c>
      <c r="O25" s="61">
        <v>3211193000</v>
      </c>
    </row>
    <row r="26" spans="2:15" x14ac:dyDescent="0.25">
      <c r="B26" s="65">
        <v>43830</v>
      </c>
      <c r="C26" s="66">
        <f t="shared" si="2"/>
        <v>0.35182673890198168</v>
      </c>
      <c r="D26" s="66">
        <f t="shared" si="3"/>
        <v>0.15036993301194096</v>
      </c>
      <c r="E26" s="66">
        <f t="shared" si="7"/>
        <v>0.127666669055435</v>
      </c>
      <c r="F26" s="66">
        <f t="shared" si="8"/>
        <v>0</v>
      </c>
      <c r="G26" s="66">
        <f>G11/N11</f>
        <v>6.1510301189644852E-2</v>
      </c>
      <c r="H26" s="66">
        <f>H11/N11</f>
        <v>2.5067684587464206E-2</v>
      </c>
      <c r="I26" s="66"/>
      <c r="J26" s="66">
        <f t="shared" si="9"/>
        <v>0.14680264695352097</v>
      </c>
      <c r="K26" s="66">
        <f t="shared" si="4"/>
        <v>6.9082594441897585E-2</v>
      </c>
      <c r="L26" s="66">
        <f t="shared" si="5"/>
        <v>6.6346780343628009E-2</v>
      </c>
      <c r="M26" s="66">
        <f t="shared" si="6"/>
        <v>1.3266515144868467E-3</v>
      </c>
      <c r="N26" s="61">
        <f t="shared" si="1"/>
        <v>1</v>
      </c>
      <c r="O26" s="61">
        <v>2611753000</v>
      </c>
    </row>
    <row r="27" spans="2:15" x14ac:dyDescent="0.25">
      <c r="B27" s="65">
        <v>43831</v>
      </c>
      <c r="C27" s="66">
        <f t="shared" si="2"/>
        <v>0.3178393703866888</v>
      </c>
      <c r="D27" s="66">
        <f t="shared" si="3"/>
        <v>0.14081564364983579</v>
      </c>
      <c r="E27" s="66">
        <f t="shared" si="7"/>
        <v>0.15125531553535584</v>
      </c>
      <c r="F27" s="66">
        <f t="shared" si="8"/>
        <v>2.8437280921069459E-2</v>
      </c>
      <c r="G27" s="66">
        <f>G12/N12</f>
        <v>6.2693216152091058E-2</v>
      </c>
      <c r="H27" s="66">
        <f>H12/N12</f>
        <v>2.0076714083491664E-2</v>
      </c>
      <c r="I27" s="66">
        <f>I12/N12</f>
        <v>2.7700601006412126E-2</v>
      </c>
      <c r="J27" s="66">
        <f t="shared" si="9"/>
        <v>0</v>
      </c>
      <c r="K27" s="66">
        <f t="shared" si="4"/>
        <v>4.7991610994203217E-2</v>
      </c>
      <c r="L27" s="66">
        <f t="shared" si="5"/>
        <v>0.20319024727085203</v>
      </c>
      <c r="M27" s="66">
        <f t="shared" si="6"/>
        <v>0</v>
      </c>
      <c r="N27" s="61">
        <f t="shared" si="1"/>
        <v>0.97229939899358786</v>
      </c>
      <c r="O27" s="68">
        <v>860109435.13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B1" workbookViewId="0">
      <selection activeCell="M2" sqref="M2:M12"/>
    </sheetView>
  </sheetViews>
  <sheetFormatPr defaultRowHeight="15.75" x14ac:dyDescent="0.25"/>
  <cols>
    <col min="3" max="3" width="15" bestFit="1" customWidth="1"/>
    <col min="4" max="6" width="13.375" bestFit="1" customWidth="1"/>
    <col min="7" max="7" width="14.375" bestFit="1" customWidth="1"/>
    <col min="8" max="8" width="13.375" bestFit="1" customWidth="1"/>
    <col min="10" max="10" width="14.375" bestFit="1" customWidth="1"/>
    <col min="11" max="12" width="13.375" bestFit="1" customWidth="1"/>
    <col min="13" max="13" width="14" bestFit="1" customWidth="1"/>
    <col min="14" max="14" width="16.125" customWidth="1"/>
    <col min="15" max="15" width="16.625" bestFit="1" customWidth="1"/>
    <col min="16" max="16" width="14.125" customWidth="1"/>
  </cols>
  <sheetData>
    <row r="1" spans="2:16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81</v>
      </c>
      <c r="O1" s="60" t="s">
        <v>91</v>
      </c>
      <c r="P1" s="60" t="s">
        <v>86</v>
      </c>
    </row>
    <row r="2" spans="2:16" x14ac:dyDescent="0.25">
      <c r="B2" s="65">
        <v>40543</v>
      </c>
      <c r="C2" s="59">
        <v>96077216.739999995</v>
      </c>
      <c r="D2" s="60"/>
      <c r="E2" s="60"/>
      <c r="F2" s="60"/>
      <c r="G2" s="60"/>
      <c r="H2" s="60"/>
      <c r="I2" s="66"/>
      <c r="J2" s="60"/>
      <c r="K2" s="60"/>
      <c r="L2" s="60"/>
      <c r="M2" s="67">
        <v>9411629.5800000001</v>
      </c>
      <c r="N2" s="61">
        <f t="shared" ref="N2:N12" si="0">M2+L2+K2+J2+H2+G2+E2+D2+C2+F2</f>
        <v>105488846.31999999</v>
      </c>
      <c r="O2" s="59">
        <v>105488846.31999999</v>
      </c>
      <c r="P2" s="62">
        <f>O2-N2</f>
        <v>0</v>
      </c>
    </row>
    <row r="3" spans="2:16" x14ac:dyDescent="0.25">
      <c r="B3" s="65">
        <v>40908</v>
      </c>
      <c r="C3" s="59">
        <v>118938039.34999999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6340001.4900000002</v>
      </c>
      <c r="N3" s="61">
        <f t="shared" si="0"/>
        <v>125278040.83999999</v>
      </c>
      <c r="O3" s="59">
        <v>125278040.84</v>
      </c>
      <c r="P3" s="62">
        <f t="shared" ref="P3:P12" si="1">O3-N3</f>
        <v>0</v>
      </c>
    </row>
    <row r="4" spans="2:16" x14ac:dyDescent="0.25">
      <c r="B4" s="65">
        <v>41274</v>
      </c>
      <c r="C4" s="59">
        <v>173880047.56</v>
      </c>
      <c r="D4" s="60"/>
      <c r="E4" s="60"/>
      <c r="F4" s="60"/>
      <c r="G4" s="60"/>
      <c r="H4" s="60"/>
      <c r="I4" s="66"/>
      <c r="J4" s="60"/>
      <c r="K4" s="60"/>
      <c r="L4" s="60"/>
      <c r="M4" s="67">
        <v>3999108.72</v>
      </c>
      <c r="N4" s="61">
        <f t="shared" si="0"/>
        <v>177879156.28</v>
      </c>
      <c r="O4" s="59">
        <v>177879156.28</v>
      </c>
      <c r="P4" s="62">
        <f t="shared" si="1"/>
        <v>0</v>
      </c>
    </row>
    <row r="5" spans="2:16" x14ac:dyDescent="0.25">
      <c r="B5" s="65">
        <v>41639</v>
      </c>
      <c r="C5" s="59">
        <v>177671579.44999999</v>
      </c>
      <c r="D5" s="68">
        <v>15401970.109999999</v>
      </c>
      <c r="E5" s="60"/>
      <c r="F5" s="60"/>
      <c r="G5" s="60"/>
      <c r="H5" s="60"/>
      <c r="I5" s="66"/>
      <c r="J5" s="60"/>
      <c r="K5" s="68">
        <v>0</v>
      </c>
      <c r="L5" s="68">
        <v>0</v>
      </c>
      <c r="M5" s="67"/>
      <c r="N5" s="61">
        <f t="shared" si="0"/>
        <v>193073549.56</v>
      </c>
      <c r="O5" s="59">
        <v>198128917.91</v>
      </c>
      <c r="P5" s="62">
        <f t="shared" si="1"/>
        <v>5055368.349999994</v>
      </c>
    </row>
    <row r="6" spans="2:16" x14ac:dyDescent="0.25">
      <c r="B6" s="65">
        <v>42004</v>
      </c>
      <c r="C6" s="59">
        <v>158037876.19999999</v>
      </c>
      <c r="D6" s="68">
        <v>47703917.109999999</v>
      </c>
      <c r="E6" s="68">
        <v>0</v>
      </c>
      <c r="F6" s="68">
        <v>0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234066615.13999999</v>
      </c>
      <c r="O6" s="59">
        <v>306886789.69</v>
      </c>
      <c r="P6" s="62">
        <f t="shared" si="1"/>
        <v>72820174.550000012</v>
      </c>
    </row>
    <row r="7" spans="2:16" x14ac:dyDescent="0.25">
      <c r="B7" s="65">
        <v>42369</v>
      </c>
      <c r="C7" s="59">
        <v>209190073.03</v>
      </c>
      <c r="D7" s="68">
        <v>58589891.719999999</v>
      </c>
      <c r="E7" s="68">
        <v>63474018.020000003</v>
      </c>
      <c r="F7" s="68">
        <v>42894905.310000002</v>
      </c>
      <c r="G7" s="60"/>
      <c r="H7" s="60"/>
      <c r="I7" s="66"/>
      <c r="J7" s="68">
        <v>179637611.21000001</v>
      </c>
      <c r="K7" s="68">
        <v>43827382.159999996</v>
      </c>
      <c r="L7" s="68">
        <v>17063305.18</v>
      </c>
      <c r="M7" s="67">
        <v>122526.35</v>
      </c>
      <c r="N7" s="61">
        <f t="shared" si="0"/>
        <v>614799712.98000002</v>
      </c>
      <c r="O7" s="59">
        <v>582067363.26999998</v>
      </c>
      <c r="P7" s="62">
        <f t="shared" si="1"/>
        <v>-32732349.710000038</v>
      </c>
    </row>
    <row r="8" spans="2:16" x14ac:dyDescent="0.25">
      <c r="B8" s="65">
        <v>42735</v>
      </c>
      <c r="C8" s="59">
        <v>202585258.88999999</v>
      </c>
      <c r="D8" s="68">
        <v>77045456.049999997</v>
      </c>
      <c r="E8" s="68">
        <v>60375909.049999997</v>
      </c>
      <c r="F8" s="68">
        <v>45675188.009999998</v>
      </c>
      <c r="G8" s="60"/>
      <c r="H8" s="60"/>
      <c r="I8" s="66"/>
      <c r="J8" s="68">
        <v>545134015.62</v>
      </c>
      <c r="K8" s="68">
        <v>16081067.25</v>
      </c>
      <c r="L8" s="68">
        <v>60553179.460000001</v>
      </c>
      <c r="M8" s="67">
        <f>5799889.59+937256.17</f>
        <v>6737145.7599999998</v>
      </c>
      <c r="N8" s="61">
        <f t="shared" si="0"/>
        <v>1014187220.0899999</v>
      </c>
      <c r="O8" s="59">
        <v>1014187220.09</v>
      </c>
      <c r="P8" s="62">
        <f t="shared" si="1"/>
        <v>0</v>
      </c>
    </row>
    <row r="9" spans="2:16" x14ac:dyDescent="0.25">
      <c r="B9" s="65">
        <v>43100</v>
      </c>
      <c r="C9" s="61">
        <v>221875843.63</v>
      </c>
      <c r="D9" s="68">
        <v>80343457.269999996</v>
      </c>
      <c r="E9" s="68">
        <v>66945157.68</v>
      </c>
      <c r="F9" s="68">
        <v>23151926.16</v>
      </c>
      <c r="G9" s="60"/>
      <c r="H9" s="60"/>
      <c r="I9" s="66"/>
      <c r="J9" s="68">
        <v>606234968.12</v>
      </c>
      <c r="K9" s="68">
        <v>42274369.789999999</v>
      </c>
      <c r="L9" s="68">
        <v>71633764.200000003</v>
      </c>
      <c r="M9" s="67">
        <v>563292.52</v>
      </c>
      <c r="N9" s="61">
        <f t="shared" si="0"/>
        <v>1113022779.3700001</v>
      </c>
      <c r="O9" s="61">
        <v>1113022779.3699999</v>
      </c>
      <c r="P9" s="62">
        <f t="shared" si="1"/>
        <v>0</v>
      </c>
    </row>
    <row r="10" spans="2:16" x14ac:dyDescent="0.25">
      <c r="B10" s="65">
        <v>43465</v>
      </c>
      <c r="C10" s="61">
        <v>281971666.56</v>
      </c>
      <c r="D10" s="68">
        <v>80129895.180000007</v>
      </c>
      <c r="E10" s="68">
        <v>70876733.719999999</v>
      </c>
      <c r="F10" s="68">
        <v>1746370.39</v>
      </c>
      <c r="G10" s="68">
        <v>31384154.07</v>
      </c>
      <c r="H10" s="60"/>
      <c r="I10" s="66"/>
      <c r="J10" s="68">
        <v>521449699.55000001</v>
      </c>
      <c r="K10" s="68">
        <v>76622522.400000006</v>
      </c>
      <c r="L10" s="68">
        <v>3971181.71</v>
      </c>
      <c r="M10" s="67">
        <v>9940988.6799999997</v>
      </c>
      <c r="N10" s="61">
        <f t="shared" si="0"/>
        <v>1078093212.2600002</v>
      </c>
      <c r="O10" s="61">
        <v>1078093212.26</v>
      </c>
      <c r="P10" s="62">
        <f t="shared" si="1"/>
        <v>0</v>
      </c>
    </row>
    <row r="11" spans="2:16" x14ac:dyDescent="0.25">
      <c r="B11" s="65">
        <v>43830</v>
      </c>
      <c r="C11" s="61">
        <v>288622306.16000003</v>
      </c>
      <c r="D11" s="68">
        <v>58930126.119999997</v>
      </c>
      <c r="E11" s="68">
        <v>59356832.689999998</v>
      </c>
      <c r="F11" s="60"/>
      <c r="G11" s="68">
        <v>46124530.280000001</v>
      </c>
      <c r="H11" s="68">
        <v>21941624.469999999</v>
      </c>
      <c r="I11" s="66"/>
      <c r="J11" s="68">
        <v>170265034.41999999</v>
      </c>
      <c r="K11" s="68">
        <v>83721855.219999999</v>
      </c>
      <c r="L11" s="68">
        <v>2204769.83</v>
      </c>
      <c r="M11" s="67">
        <v>16022222.050000001</v>
      </c>
      <c r="N11" s="61">
        <f t="shared" si="0"/>
        <v>747189301.24000001</v>
      </c>
      <c r="O11" s="61">
        <v>747189301.24000001</v>
      </c>
      <c r="P11" s="62">
        <f t="shared" si="1"/>
        <v>0</v>
      </c>
    </row>
    <row r="12" spans="2:16" x14ac:dyDescent="0.25">
      <c r="B12" s="65">
        <v>43831</v>
      </c>
      <c r="C12" s="68">
        <v>186752833.49000001</v>
      </c>
      <c r="D12" s="68">
        <v>29293691.27</v>
      </c>
      <c r="E12" s="68">
        <v>34341329.43</v>
      </c>
      <c r="F12" s="68"/>
      <c r="G12" s="68"/>
      <c r="H12" s="68"/>
      <c r="I12" s="68"/>
      <c r="J12" s="60"/>
      <c r="K12" s="68"/>
      <c r="L12" s="68">
        <v>8113082.5499999998</v>
      </c>
      <c r="M12" s="68">
        <v>2609078.88</v>
      </c>
      <c r="N12" s="61">
        <f t="shared" si="0"/>
        <v>261110015.62</v>
      </c>
      <c r="O12" s="68">
        <v>352670473.42000002</v>
      </c>
      <c r="P12" s="62">
        <f t="shared" si="1"/>
        <v>91560457.800000012</v>
      </c>
    </row>
    <row r="13" spans="2:16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6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6" x14ac:dyDescent="0.25">
      <c r="B15" t="s">
        <v>80</v>
      </c>
    </row>
    <row r="16" spans="2:16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0.91078080850889342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2">M17+L17+K17+J17+H17+G17+E17+D17+C17+F17</f>
        <v>0.91078080850889342</v>
      </c>
      <c r="O17" s="59">
        <f>O2</f>
        <v>105488846.31999999</v>
      </c>
    </row>
    <row r="18" spans="2:15" x14ac:dyDescent="0.25">
      <c r="B18" s="65">
        <v>40908</v>
      </c>
      <c r="C18" s="66">
        <f t="shared" ref="C18:C27" si="3">C3/N3</f>
        <v>0.94939255557087465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2"/>
        <v>0.94939255557087465</v>
      </c>
      <c r="O18" s="59">
        <f t="shared" ref="O18:O27" si="4">O3</f>
        <v>125278040.84</v>
      </c>
    </row>
    <row r="19" spans="2:15" x14ac:dyDescent="0.25">
      <c r="B19" s="65">
        <v>41274</v>
      </c>
      <c r="C19" s="66">
        <f t="shared" si="3"/>
        <v>0.97751783399677816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2"/>
        <v>0.97751783399677816</v>
      </c>
      <c r="O19" s="59">
        <f t="shared" si="4"/>
        <v>177879156.28</v>
      </c>
    </row>
    <row r="20" spans="2:15" x14ac:dyDescent="0.25">
      <c r="B20" s="65">
        <v>41639</v>
      </c>
      <c r="C20" s="66">
        <f t="shared" si="3"/>
        <v>0.92022744624988795</v>
      </c>
      <c r="D20" s="66">
        <f>D5/N5</f>
        <v>7.9772553750111927E-2</v>
      </c>
      <c r="E20" s="66"/>
      <c r="F20" s="66"/>
      <c r="G20" s="66"/>
      <c r="H20" s="66"/>
      <c r="I20" s="66"/>
      <c r="J20" s="66"/>
      <c r="K20" s="66">
        <f>K5/N5</f>
        <v>0</v>
      </c>
      <c r="L20" s="66">
        <f>L5/N5</f>
        <v>0</v>
      </c>
      <c r="M20" s="66">
        <f>M5/N5</f>
        <v>0</v>
      </c>
      <c r="N20" s="61">
        <f t="shared" si="2"/>
        <v>0.99999999999999989</v>
      </c>
      <c r="O20" s="59">
        <f t="shared" si="4"/>
        <v>198128917.91</v>
      </c>
    </row>
    <row r="21" spans="2:15" x14ac:dyDescent="0.25">
      <c r="B21" s="65">
        <v>42004</v>
      </c>
      <c r="C21" s="66">
        <f t="shared" si="3"/>
        <v>0.67518332806869674</v>
      </c>
      <c r="D21" s="66">
        <f t="shared" ref="D21:D27" si="5">D6/N6</f>
        <v>0.20380487444340287</v>
      </c>
      <c r="E21" s="66">
        <f>E6/N6</f>
        <v>0</v>
      </c>
      <c r="F21" s="66">
        <f>F6/N6</f>
        <v>0</v>
      </c>
      <c r="G21" s="66"/>
      <c r="H21" s="66"/>
      <c r="I21" s="66"/>
      <c r="J21" s="66"/>
      <c r="K21" s="66">
        <f t="shared" ref="K21:K27" si="6">K6/N6</f>
        <v>7.4834757872339605E-2</v>
      </c>
      <c r="L21" s="66">
        <f t="shared" ref="L21:L27" si="7">L6/N6</f>
        <v>4.6177039615560786E-2</v>
      </c>
      <c r="M21" s="66">
        <f t="shared" ref="M21:M27" si="8">M6/N6</f>
        <v>0</v>
      </c>
      <c r="N21" s="61">
        <f t="shared" si="2"/>
        <v>1</v>
      </c>
      <c r="O21" s="59">
        <f t="shared" si="4"/>
        <v>306886789.69</v>
      </c>
    </row>
    <row r="22" spans="2:15" x14ac:dyDescent="0.25">
      <c r="B22" s="65">
        <v>42369</v>
      </c>
      <c r="C22" s="66">
        <f t="shared" si="3"/>
        <v>0.34025727178048493</v>
      </c>
      <c r="D22" s="66">
        <f t="shared" si="5"/>
        <v>9.5299152688293434E-2</v>
      </c>
      <c r="E22" s="66">
        <f t="shared" ref="E22:E27" si="9">E7/N7</f>
        <v>0.10324340867424066</v>
      </c>
      <c r="F22" s="66">
        <f t="shared" ref="F22:F27" si="10">F7/N7</f>
        <v>6.9770535679146317E-2</v>
      </c>
      <c r="G22" s="66"/>
      <c r="H22" s="66"/>
      <c r="I22" s="66"/>
      <c r="J22" s="66">
        <f t="shared" ref="J22:J27" si="11">J7/N7</f>
        <v>0.29218883388750666</v>
      </c>
      <c r="K22" s="66">
        <f t="shared" si="6"/>
        <v>7.1287252148450081E-2</v>
      </c>
      <c r="L22" s="66">
        <f t="shared" si="7"/>
        <v>2.7754250400170703E-2</v>
      </c>
      <c r="M22" s="66">
        <f t="shared" si="8"/>
        <v>1.9929474170718407E-4</v>
      </c>
      <c r="N22" s="61">
        <f t="shared" si="2"/>
        <v>1</v>
      </c>
      <c r="O22" s="59">
        <f t="shared" si="4"/>
        <v>582067363.26999998</v>
      </c>
    </row>
    <row r="23" spans="2:15" x14ac:dyDescent="0.25">
      <c r="B23" s="65">
        <v>42735</v>
      </c>
      <c r="C23" s="66">
        <f t="shared" si="3"/>
        <v>0.1997513426288515</v>
      </c>
      <c r="D23" s="66">
        <f t="shared" si="5"/>
        <v>7.596768577222153E-2</v>
      </c>
      <c r="E23" s="66">
        <f t="shared" si="9"/>
        <v>5.9531325039416473E-2</v>
      </c>
      <c r="F23" s="66">
        <f t="shared" si="10"/>
        <v>4.5036248835739361E-2</v>
      </c>
      <c r="G23" s="66"/>
      <c r="H23" s="66"/>
      <c r="I23" s="66"/>
      <c r="J23" s="66">
        <f t="shared" si="11"/>
        <v>0.53750826752838032</v>
      </c>
      <c r="K23" s="66">
        <f t="shared" si="6"/>
        <v>1.5856113083906689E-2</v>
      </c>
      <c r="L23" s="66">
        <f t="shared" si="7"/>
        <v>5.9706115656462777E-2</v>
      </c>
      <c r="M23" s="66">
        <f t="shared" si="8"/>
        <v>6.6429014550214299E-3</v>
      </c>
      <c r="N23" s="61">
        <f t="shared" si="2"/>
        <v>1.0000000000000002</v>
      </c>
      <c r="O23" s="59">
        <f t="shared" si="4"/>
        <v>1014187220.09</v>
      </c>
    </row>
    <row r="24" spans="2:15" x14ac:dyDescent="0.25">
      <c r="B24" s="65">
        <v>43100</v>
      </c>
      <c r="C24" s="66">
        <f t="shared" si="3"/>
        <v>0.19934528541777691</v>
      </c>
      <c r="D24" s="66">
        <f t="shared" si="5"/>
        <v>7.218491728936266E-2</v>
      </c>
      <c r="E24" s="66">
        <f t="shared" si="9"/>
        <v>6.0147158639370077E-2</v>
      </c>
      <c r="F24" s="66">
        <f t="shared" si="10"/>
        <v>2.0800945487481032E-2</v>
      </c>
      <c r="G24" s="66"/>
      <c r="H24" s="66"/>
      <c r="I24" s="66"/>
      <c r="J24" s="66">
        <f t="shared" si="11"/>
        <v>0.54467435829403665</v>
      </c>
      <c r="K24" s="66">
        <f t="shared" si="6"/>
        <v>3.7981585438824884E-2</v>
      </c>
      <c r="L24" s="66">
        <f t="shared" si="7"/>
        <v>6.4359656898079459E-2</v>
      </c>
      <c r="M24" s="66">
        <f t="shared" si="8"/>
        <v>5.0609253506818451E-4</v>
      </c>
      <c r="N24" s="61">
        <f t="shared" si="2"/>
        <v>0.99999999999999967</v>
      </c>
      <c r="O24" s="59">
        <f t="shared" si="4"/>
        <v>1113022779.3699999</v>
      </c>
    </row>
    <row r="25" spans="2:15" x14ac:dyDescent="0.25">
      <c r="B25" s="65">
        <v>43465</v>
      </c>
      <c r="C25" s="66">
        <f t="shared" si="3"/>
        <v>0.26154664861390281</v>
      </c>
      <c r="D25" s="66">
        <f t="shared" si="5"/>
        <v>7.4325572472554752E-2</v>
      </c>
      <c r="E25" s="66">
        <f t="shared" si="9"/>
        <v>6.5742676898430275E-2</v>
      </c>
      <c r="F25" s="66">
        <f t="shared" si="10"/>
        <v>1.6198695717034469E-3</v>
      </c>
      <c r="G25" s="66">
        <f>G10/N10</f>
        <v>2.9110798317902021E-2</v>
      </c>
      <c r="H25" s="66"/>
      <c r="I25" s="66"/>
      <c r="J25" s="66">
        <f t="shared" si="11"/>
        <v>0.48367775032818189</v>
      </c>
      <c r="K25" s="66">
        <f t="shared" si="6"/>
        <v>7.1072261218839028E-2</v>
      </c>
      <c r="L25" s="66">
        <f t="shared" si="7"/>
        <v>3.6835235254614358E-3</v>
      </c>
      <c r="M25" s="66">
        <f t="shared" si="8"/>
        <v>9.2208990530241505E-3</v>
      </c>
      <c r="N25" s="61">
        <f t="shared" si="2"/>
        <v>0.99999999999999989</v>
      </c>
      <c r="O25" s="59">
        <f t="shared" si="4"/>
        <v>1078093212.26</v>
      </c>
    </row>
    <row r="26" spans="2:15" x14ac:dyDescent="0.25">
      <c r="B26" s="65">
        <v>43830</v>
      </c>
      <c r="C26" s="66">
        <f t="shared" si="3"/>
        <v>0.38627735391957047</v>
      </c>
      <c r="D26" s="66">
        <f t="shared" si="5"/>
        <v>7.8869071093767465E-2</v>
      </c>
      <c r="E26" s="66">
        <f t="shared" si="9"/>
        <v>7.9440153374110423E-2</v>
      </c>
      <c r="F26" s="66">
        <f t="shared" si="10"/>
        <v>0</v>
      </c>
      <c r="G26" s="66">
        <f>G11/N11</f>
        <v>6.1730715634517132E-2</v>
      </c>
      <c r="H26" s="66">
        <f>H11/N11</f>
        <v>2.9365549578382236E-2</v>
      </c>
      <c r="I26" s="66"/>
      <c r="J26" s="66">
        <f t="shared" si="11"/>
        <v>0.22787402621723329</v>
      </c>
      <c r="K26" s="66">
        <f t="shared" si="6"/>
        <v>0.11204905514714834</v>
      </c>
      <c r="L26" s="66">
        <f t="shared" si="7"/>
        <v>2.9507513375005082E-3</v>
      </c>
      <c r="M26" s="66">
        <f t="shared" si="8"/>
        <v>2.1443323697770137E-2</v>
      </c>
      <c r="N26" s="61">
        <f t="shared" si="2"/>
        <v>1</v>
      </c>
      <c r="O26" s="59">
        <f t="shared" si="4"/>
        <v>747189301.24000001</v>
      </c>
    </row>
    <row r="27" spans="2:15" x14ac:dyDescent="0.25">
      <c r="B27" s="65">
        <v>43831</v>
      </c>
      <c r="C27" s="66">
        <f t="shared" si="3"/>
        <v>0.71522661835303214</v>
      </c>
      <c r="D27" s="66">
        <f t="shared" si="5"/>
        <v>0.11218907555285756</v>
      </c>
      <c r="E27" s="66">
        <f t="shared" si="9"/>
        <v>0.13152053684519632</v>
      </c>
      <c r="F27" s="66">
        <f t="shared" si="10"/>
        <v>0</v>
      </c>
      <c r="G27" s="66">
        <f>G12/N12</f>
        <v>0</v>
      </c>
      <c r="H27" s="66">
        <f>H12/N12</f>
        <v>0</v>
      </c>
      <c r="I27" s="66">
        <f>I12/N12</f>
        <v>0</v>
      </c>
      <c r="J27" s="66">
        <f t="shared" si="11"/>
        <v>0</v>
      </c>
      <c r="K27" s="66">
        <f t="shared" si="6"/>
        <v>0</v>
      </c>
      <c r="L27" s="66">
        <f t="shared" si="7"/>
        <v>3.1071510339178921E-2</v>
      </c>
      <c r="M27" s="66">
        <f t="shared" si="8"/>
        <v>9.9922589097350377E-3</v>
      </c>
      <c r="N27" s="61">
        <f t="shared" si="2"/>
        <v>1</v>
      </c>
      <c r="O27" s="59">
        <f t="shared" si="4"/>
        <v>352670473.42000002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6"/>
  <sheetViews>
    <sheetView topLeftCell="A33" workbookViewId="0">
      <selection activeCell="A18" sqref="A18:XFD18"/>
    </sheetView>
  </sheetViews>
  <sheetFormatPr defaultRowHeight="15.75" outlineLevelRow="2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s="71" customFormat="1" x14ac:dyDescent="0.25">
      <c r="A3" s="86"/>
      <c r="B3" s="86" t="s">
        <v>82</v>
      </c>
      <c r="C3" s="86"/>
      <c r="D3" s="87">
        <v>902586125.63</v>
      </c>
      <c r="E3" s="87">
        <v>2611753208.8600001</v>
      </c>
      <c r="F3" s="87">
        <v>3211192814.48</v>
      </c>
      <c r="G3" s="87">
        <v>3023831231.2600002</v>
      </c>
      <c r="H3" s="87">
        <v>2644228901.6500001</v>
      </c>
      <c r="I3" s="87">
        <v>1694513980</v>
      </c>
      <c r="J3" s="87">
        <v>935119130.20000005</v>
      </c>
      <c r="K3" s="87">
        <v>678715861.76999998</v>
      </c>
      <c r="L3" s="87">
        <v>586157062.79999995</v>
      </c>
      <c r="M3" s="87">
        <v>504532175.13999999</v>
      </c>
      <c r="N3" s="87">
        <v>444756661.94999999</v>
      </c>
      <c r="O3" s="87">
        <v>273295452.88999999</v>
      </c>
    </row>
    <row r="4" spans="1:15" hidden="1" outlineLevel="1" x14ac:dyDescent="0.25">
      <c r="C4" s="60" t="s">
        <v>73</v>
      </c>
      <c r="D4" s="68">
        <v>286877405.88999999</v>
      </c>
      <c r="E4" s="61">
        <v>918884614.28999996</v>
      </c>
      <c r="F4" s="61">
        <v>935878252.92999995</v>
      </c>
      <c r="G4" s="61">
        <v>842165471.04999995</v>
      </c>
      <c r="H4" s="59">
        <v>687874826.88999999</v>
      </c>
      <c r="I4" s="59">
        <v>700754733.73000002</v>
      </c>
      <c r="J4" s="59">
        <v>609812284.89999998</v>
      </c>
      <c r="K4" s="59">
        <v>585587954.86000001</v>
      </c>
      <c r="L4" s="59">
        <v>558533359.04999995</v>
      </c>
      <c r="M4" s="59">
        <v>467681460.19999999</v>
      </c>
      <c r="N4" s="59">
        <v>417437985.33999997</v>
      </c>
      <c r="O4" s="70"/>
    </row>
    <row r="5" spans="1:15" hidden="1" outlineLevel="1" x14ac:dyDescent="0.25">
      <c r="C5" s="60" t="s">
        <v>67</v>
      </c>
      <c r="D5" s="68">
        <v>127098246.23</v>
      </c>
      <c r="E5" s="68">
        <v>392729155.06</v>
      </c>
      <c r="F5" s="68">
        <v>426722284</v>
      </c>
      <c r="G5" s="68">
        <v>339980121.20999998</v>
      </c>
      <c r="H5" s="68">
        <v>307467248.97000003</v>
      </c>
      <c r="I5" s="68">
        <v>257852071.96000001</v>
      </c>
      <c r="J5" s="68">
        <v>159582817.34</v>
      </c>
      <c r="K5" s="68">
        <v>33567890.960000001</v>
      </c>
      <c r="L5" s="70"/>
      <c r="M5" s="70"/>
      <c r="N5" s="70"/>
      <c r="O5" s="70"/>
    </row>
    <row r="6" spans="1:15" hidden="1" outlineLevel="1" x14ac:dyDescent="0.25">
      <c r="C6" s="60" t="s">
        <v>74</v>
      </c>
      <c r="D6" s="68">
        <v>136520949.22999999</v>
      </c>
      <c r="E6" s="68">
        <v>333433832.56999999</v>
      </c>
      <c r="F6" s="68">
        <v>266958976.72999999</v>
      </c>
      <c r="G6" s="68">
        <v>227236394.38</v>
      </c>
      <c r="H6" s="68">
        <v>222559993.77000001</v>
      </c>
      <c r="I6" s="68">
        <v>171198719.31</v>
      </c>
      <c r="J6" s="68">
        <v>73933364.819999993</v>
      </c>
      <c r="K6" s="70"/>
      <c r="L6" s="70"/>
      <c r="N6" s="70"/>
      <c r="O6" s="70"/>
    </row>
    <row r="7" spans="1:15" hidden="1" outlineLevel="1" x14ac:dyDescent="0.25">
      <c r="C7" s="60" t="s">
        <v>68</v>
      </c>
      <c r="D7" s="68">
        <v>25667095.210000001</v>
      </c>
      <c r="E7" s="70"/>
      <c r="F7" s="68">
        <v>1778339.57</v>
      </c>
      <c r="G7" s="68">
        <v>90585086.010000005</v>
      </c>
      <c r="H7" s="68">
        <v>149279367.16</v>
      </c>
      <c r="I7" s="68">
        <v>131115944.73999999</v>
      </c>
      <c r="J7" s="68">
        <v>63465841.310000002</v>
      </c>
      <c r="K7" s="70"/>
      <c r="L7" s="70"/>
      <c r="N7" s="70"/>
      <c r="O7" s="70"/>
    </row>
    <row r="8" spans="1:15" hidden="1" outlineLevel="1" x14ac:dyDescent="0.25">
      <c r="C8" s="60" t="s">
        <v>69</v>
      </c>
      <c r="D8" s="68">
        <v>56586027.07</v>
      </c>
      <c r="E8" s="68">
        <v>160649726.50999999</v>
      </c>
      <c r="F8" s="68">
        <v>42659643.259999998</v>
      </c>
      <c r="G8" s="70"/>
      <c r="H8" s="70"/>
      <c r="I8" s="70"/>
      <c r="J8" s="70"/>
      <c r="K8" s="70"/>
      <c r="L8" s="70"/>
      <c r="N8" s="70"/>
      <c r="O8" s="70"/>
    </row>
    <row r="9" spans="1:15" hidden="1" outlineLevel="1" x14ac:dyDescent="0.25">
      <c r="C9" s="60" t="s">
        <v>75</v>
      </c>
      <c r="D9" s="68">
        <v>18120963.579999998</v>
      </c>
      <c r="E9" s="68">
        <v>65470605.659999996</v>
      </c>
      <c r="F9" s="70"/>
      <c r="G9" s="70"/>
      <c r="H9" s="70"/>
      <c r="I9" s="70"/>
      <c r="J9" s="70"/>
      <c r="K9" s="70"/>
      <c r="L9" s="70"/>
      <c r="N9" s="70"/>
      <c r="O9" s="70"/>
    </row>
    <row r="10" spans="1:15" hidden="1" outlineLevel="1" x14ac:dyDescent="0.25">
      <c r="C10" s="60" t="s">
        <v>70</v>
      </c>
      <c r="D10" s="68">
        <v>25002178.140000001</v>
      </c>
      <c r="E10" s="70"/>
      <c r="F10" s="70"/>
      <c r="G10" s="70"/>
      <c r="H10" s="70"/>
      <c r="I10" s="70"/>
      <c r="J10" s="70"/>
      <c r="K10" s="70"/>
      <c r="L10" s="70"/>
      <c r="M10" s="67"/>
      <c r="N10" s="70"/>
      <c r="O10" s="70"/>
    </row>
    <row r="11" spans="1:15" hidden="1" outlineLevel="1" x14ac:dyDescent="0.25">
      <c r="C11" s="60" t="s">
        <v>76</v>
      </c>
      <c r="D11" s="68"/>
      <c r="E11" s="68">
        <v>383412284.25</v>
      </c>
      <c r="F11" s="68">
        <v>1233596141.03</v>
      </c>
      <c r="G11" s="68">
        <v>1240133995.3599999</v>
      </c>
      <c r="H11" s="68">
        <v>1090212510.98</v>
      </c>
      <c r="I11" s="68">
        <v>369099362.92000002</v>
      </c>
      <c r="J11" s="70"/>
      <c r="K11" s="70"/>
      <c r="L11" s="70"/>
      <c r="M11" s="67"/>
      <c r="N11" s="70"/>
      <c r="O11" s="70"/>
    </row>
    <row r="12" spans="1:15" hidden="1" outlineLevel="1" x14ac:dyDescent="0.25">
      <c r="C12" s="60" t="s">
        <v>71</v>
      </c>
      <c r="D12" s="68">
        <v>43316562.229999997</v>
      </c>
      <c r="E12" s="68">
        <v>180426687.71000001</v>
      </c>
      <c r="F12" s="68">
        <v>173487760.90000001</v>
      </c>
      <c r="G12" s="68">
        <v>120577904.09999999</v>
      </c>
      <c r="H12" s="68">
        <v>60018274.359999999</v>
      </c>
      <c r="I12" s="68">
        <v>43827382.159999996</v>
      </c>
      <c r="J12" s="68">
        <v>17516318.469999999</v>
      </c>
      <c r="K12" s="68">
        <v>3818769.58</v>
      </c>
      <c r="L12" s="70"/>
      <c r="N12" s="70"/>
      <c r="O12" s="70"/>
    </row>
    <row r="13" spans="1:15" hidden="1" outlineLevel="1" x14ac:dyDescent="0.25">
      <c r="C13" s="60" t="s">
        <v>77</v>
      </c>
      <c r="D13" s="68">
        <v>183396698.05000001</v>
      </c>
      <c r="E13" s="68">
        <v>173281416.46000001</v>
      </c>
      <c r="F13" s="68">
        <v>126677207.77</v>
      </c>
      <c r="G13" s="68">
        <v>163152259.15000001</v>
      </c>
      <c r="H13" s="68">
        <v>123204706.73999999</v>
      </c>
      <c r="I13" s="68">
        <v>17063305.18</v>
      </c>
      <c r="J13" s="68">
        <v>10808503.359999999</v>
      </c>
      <c r="K13" s="68">
        <v>12264150.6</v>
      </c>
      <c r="L13" s="70"/>
      <c r="M13" s="67"/>
      <c r="N13" s="70"/>
      <c r="O13" s="70"/>
    </row>
    <row r="14" spans="1:15" hidden="1" outlineLevel="1" x14ac:dyDescent="0.25">
      <c r="C14" s="60" t="s">
        <v>78</v>
      </c>
      <c r="D14" s="70"/>
      <c r="E14" s="67">
        <v>3464886.35</v>
      </c>
      <c r="F14" s="67">
        <v>3434208.29</v>
      </c>
      <c r="G14" s="70"/>
      <c r="H14" s="67">
        <v>3611972.78</v>
      </c>
      <c r="I14" s="70"/>
      <c r="J14" s="67">
        <v>43477134</v>
      </c>
      <c r="K14" s="67">
        <v>27623703.75</v>
      </c>
      <c r="L14" s="67">
        <v>36850714.939999998</v>
      </c>
      <c r="M14" s="67">
        <v>27318676.609999999</v>
      </c>
      <c r="N14" s="70"/>
      <c r="O14" s="70"/>
    </row>
    <row r="15" spans="1:15" collapsed="1" x14ac:dyDescent="0.25">
      <c r="B15" s="75" t="s">
        <v>94</v>
      </c>
    </row>
    <row r="16" spans="1:15" x14ac:dyDescent="0.25">
      <c r="B16" s="75" t="s">
        <v>104</v>
      </c>
      <c r="H16" s="70"/>
      <c r="I16" s="70"/>
    </row>
    <row r="17" spans="1:15" ht="31.5" x14ac:dyDescent="0.25">
      <c r="A17" s="75" t="s">
        <v>142</v>
      </c>
      <c r="D17" s="70">
        <v>740982414.36000001</v>
      </c>
      <c r="E17" s="70">
        <v>1147753469.26</v>
      </c>
      <c r="F17" s="70">
        <v>1701599539.4200001</v>
      </c>
      <c r="G17" s="70">
        <v>1701002798.1800001</v>
      </c>
      <c r="H17" s="70">
        <v>1510625846.05</v>
      </c>
      <c r="I17" s="70">
        <v>871568205.96000004</v>
      </c>
      <c r="J17" s="70">
        <v>469647144.79000002</v>
      </c>
      <c r="K17" s="70">
        <v>308482004.25</v>
      </c>
      <c r="L17" s="70">
        <v>256812394.84</v>
      </c>
      <c r="M17" s="70">
        <v>223844591.09999999</v>
      </c>
      <c r="N17" s="70">
        <v>216138612.81</v>
      </c>
      <c r="O17" s="70">
        <v>157412346.33000001</v>
      </c>
    </row>
    <row r="18" spans="1:15" s="71" customFormat="1" x14ac:dyDescent="0.25">
      <c r="A18" s="86" t="s">
        <v>144</v>
      </c>
      <c r="B18" s="86" t="s">
        <v>83</v>
      </c>
      <c r="C18" s="86"/>
      <c r="D18" s="87">
        <v>352670473.42000002</v>
      </c>
      <c r="E18" s="87">
        <v>747189301.24000001</v>
      </c>
      <c r="F18" s="87">
        <v>1078093212.26</v>
      </c>
      <c r="G18" s="87">
        <v>1113022779.3699999</v>
      </c>
      <c r="H18" s="87">
        <v>1014187220.09</v>
      </c>
      <c r="I18" s="87">
        <v>582067363.26999998</v>
      </c>
      <c r="J18" s="87">
        <v>306886789.69</v>
      </c>
      <c r="K18" s="87">
        <v>198128917.91</v>
      </c>
      <c r="L18" s="87">
        <v>177879156.28</v>
      </c>
      <c r="M18" s="87">
        <v>122278040.84</v>
      </c>
      <c r="N18" s="87">
        <v>105488846.31999999</v>
      </c>
      <c r="O18" s="87">
        <v>82141466.530000001</v>
      </c>
    </row>
    <row r="19" spans="1:15" hidden="1" outlineLevel="2" x14ac:dyDescent="0.25">
      <c r="C19" s="60" t="s">
        <v>73</v>
      </c>
      <c r="D19" s="68">
        <v>186752833.49000001</v>
      </c>
      <c r="E19" s="61">
        <v>288622306.16000003</v>
      </c>
      <c r="F19" s="61">
        <v>281971666.56</v>
      </c>
      <c r="G19" s="61">
        <v>221875843.63</v>
      </c>
      <c r="H19" s="59">
        <v>202585258.88999999</v>
      </c>
      <c r="I19" s="59">
        <v>209190073.03</v>
      </c>
      <c r="J19" s="59">
        <v>158037876.19999999</v>
      </c>
      <c r="K19" s="59">
        <v>177671579.44999999</v>
      </c>
      <c r="L19" s="59">
        <v>173880047.56</v>
      </c>
      <c r="M19" s="59">
        <v>118938039.34999999</v>
      </c>
      <c r="N19" s="59">
        <v>96077216.739999995</v>
      </c>
      <c r="O19" s="70"/>
    </row>
    <row r="20" spans="1:15" hidden="1" outlineLevel="2" x14ac:dyDescent="0.25">
      <c r="C20" s="60" t="s">
        <v>67</v>
      </c>
      <c r="D20" s="68">
        <v>29293691.27</v>
      </c>
      <c r="E20" s="68">
        <v>58930126.119999997</v>
      </c>
      <c r="F20" s="68">
        <v>80129895.180000007</v>
      </c>
      <c r="G20" s="68">
        <v>80343457.269999996</v>
      </c>
      <c r="H20" s="68">
        <v>77045456.049999997</v>
      </c>
      <c r="I20" s="68">
        <v>58589891.719999999</v>
      </c>
      <c r="J20" s="68">
        <v>47703917.109999999</v>
      </c>
      <c r="K20" s="68">
        <v>15401970.109999999</v>
      </c>
      <c r="L20" s="70"/>
      <c r="M20" s="70"/>
      <c r="N20" s="70"/>
      <c r="O20" s="70"/>
    </row>
    <row r="21" spans="1:15" hidden="1" outlineLevel="2" x14ac:dyDescent="0.25">
      <c r="C21" s="60" t="s">
        <v>74</v>
      </c>
      <c r="D21" s="68">
        <v>34341329.43</v>
      </c>
      <c r="E21" s="68">
        <v>59356832.689999998</v>
      </c>
      <c r="F21" s="68">
        <v>70876733.719999999</v>
      </c>
      <c r="G21" s="68">
        <v>66945157.68</v>
      </c>
      <c r="H21" s="68">
        <v>60375909.049999997</v>
      </c>
      <c r="I21" s="68">
        <v>63474018.020000003</v>
      </c>
      <c r="J21" s="68"/>
      <c r="K21" s="70"/>
      <c r="L21" s="70"/>
      <c r="N21" s="70"/>
      <c r="O21" s="70"/>
    </row>
    <row r="22" spans="1:15" hidden="1" outlineLevel="2" x14ac:dyDescent="0.25">
      <c r="A22" s="67"/>
      <c r="C22" s="60" t="s">
        <v>68</v>
      </c>
      <c r="D22" s="68"/>
      <c r="E22" s="70"/>
      <c r="F22" s="68">
        <v>1746370.39</v>
      </c>
      <c r="G22" s="68">
        <v>23151926.16</v>
      </c>
      <c r="H22" s="68">
        <v>45675188.009999998</v>
      </c>
      <c r="I22" s="68">
        <v>42894905.310000002</v>
      </c>
      <c r="J22" s="68"/>
      <c r="K22" s="70"/>
      <c r="L22" s="70"/>
      <c r="N22" s="70"/>
      <c r="O22" s="70"/>
    </row>
    <row r="23" spans="1:15" hidden="1" outlineLevel="2" x14ac:dyDescent="0.25">
      <c r="A23" s="67"/>
      <c r="C23" s="60" t="s">
        <v>69</v>
      </c>
      <c r="D23" s="68"/>
      <c r="E23" s="68">
        <v>46124530.280000001</v>
      </c>
      <c r="F23" s="68">
        <v>31384154.07</v>
      </c>
      <c r="G23" s="70"/>
      <c r="H23" s="70"/>
      <c r="I23" s="70"/>
      <c r="J23" s="70"/>
      <c r="K23" s="70"/>
      <c r="L23" s="70"/>
      <c r="N23" s="70"/>
      <c r="O23" s="70"/>
    </row>
    <row r="24" spans="1:15" hidden="1" outlineLevel="2" x14ac:dyDescent="0.25">
      <c r="C24" s="60" t="s">
        <v>75</v>
      </c>
      <c r="D24" s="68"/>
      <c r="E24" s="68">
        <v>21941624.469999999</v>
      </c>
      <c r="F24" s="70"/>
      <c r="G24" s="70"/>
      <c r="H24" s="70"/>
      <c r="I24" s="70"/>
      <c r="J24" s="70"/>
      <c r="K24" s="70"/>
      <c r="L24" s="70"/>
      <c r="N24" s="70"/>
      <c r="O24" s="70"/>
    </row>
    <row r="25" spans="1:15" hidden="1" outlineLevel="2" x14ac:dyDescent="0.25">
      <c r="C25" s="60" t="s">
        <v>70</v>
      </c>
      <c r="D25" s="68"/>
      <c r="E25" s="70"/>
      <c r="F25" s="70"/>
      <c r="G25" s="70"/>
      <c r="H25" s="70"/>
      <c r="I25" s="70"/>
      <c r="J25" s="70"/>
      <c r="K25" s="70"/>
      <c r="L25" s="70"/>
      <c r="M25" s="67"/>
      <c r="N25" s="70"/>
      <c r="O25" s="70"/>
    </row>
    <row r="26" spans="1:15" hidden="1" outlineLevel="2" x14ac:dyDescent="0.25">
      <c r="C26" s="60" t="s">
        <v>76</v>
      </c>
      <c r="D26" s="68"/>
      <c r="E26" s="68">
        <v>170265034.41999999</v>
      </c>
      <c r="F26" s="68">
        <v>521449699.55000001</v>
      </c>
      <c r="G26" s="68">
        <v>606234968.12</v>
      </c>
      <c r="H26" s="68">
        <v>545134015.62</v>
      </c>
      <c r="I26" s="68">
        <v>179637611.21000001</v>
      </c>
      <c r="J26" s="70"/>
      <c r="K26" s="70"/>
      <c r="L26" s="70"/>
      <c r="M26" s="67"/>
      <c r="N26" s="70"/>
      <c r="O26" s="70"/>
    </row>
    <row r="27" spans="1:15" hidden="1" outlineLevel="2" x14ac:dyDescent="0.25">
      <c r="C27" s="60" t="s">
        <v>71</v>
      </c>
      <c r="D27" s="68"/>
      <c r="E27" s="68">
        <v>83721855.219999999</v>
      </c>
      <c r="F27" s="68">
        <v>76622522.400000006</v>
      </c>
      <c r="G27" s="68">
        <v>42274369.789999999</v>
      </c>
      <c r="H27" s="68">
        <v>16081067.25</v>
      </c>
      <c r="I27" s="68">
        <v>43827382.159999996</v>
      </c>
      <c r="J27" s="68">
        <v>17516318.469999999</v>
      </c>
      <c r="K27" s="68"/>
      <c r="L27" s="70"/>
      <c r="N27" s="70"/>
      <c r="O27" s="70"/>
    </row>
    <row r="28" spans="1:15" hidden="1" outlineLevel="2" x14ac:dyDescent="0.25">
      <c r="C28" s="60" t="s">
        <v>77</v>
      </c>
      <c r="D28" s="68">
        <v>8113082.5499999998</v>
      </c>
      <c r="E28" s="68">
        <v>2204769.83</v>
      </c>
      <c r="F28" s="68">
        <v>3971181.71</v>
      </c>
      <c r="G28" s="68">
        <v>71633764.200000003</v>
      </c>
      <c r="H28" s="68">
        <v>60553179.460000001</v>
      </c>
      <c r="I28" s="68">
        <v>17063305.18</v>
      </c>
      <c r="J28" s="68">
        <v>10808503.359999999</v>
      </c>
      <c r="K28" s="68"/>
      <c r="L28" s="70"/>
      <c r="M28" s="67"/>
      <c r="N28" s="70"/>
      <c r="O28" s="70"/>
    </row>
    <row r="29" spans="1:15" hidden="1" outlineLevel="2" x14ac:dyDescent="0.25">
      <c r="C29" s="60" t="s">
        <v>78</v>
      </c>
      <c r="D29" s="68">
        <v>2609078.88</v>
      </c>
      <c r="E29" s="67">
        <v>16022222.050000001</v>
      </c>
      <c r="F29" s="67">
        <v>9940988.6799999997</v>
      </c>
      <c r="G29" s="67">
        <v>563292.52</v>
      </c>
      <c r="H29" s="67">
        <f>5799889.59+937256.17</f>
        <v>6737145.7599999998</v>
      </c>
      <c r="I29" s="67">
        <v>122526.35</v>
      </c>
      <c r="J29" s="67"/>
      <c r="K29" s="67"/>
      <c r="L29" s="67">
        <v>3999108.72</v>
      </c>
      <c r="M29" s="67">
        <v>6340001.4900000002</v>
      </c>
      <c r="N29" s="67">
        <v>9411629.5800000001</v>
      </c>
      <c r="O29" s="70"/>
    </row>
    <row r="30" spans="1:15" collapsed="1" x14ac:dyDescent="0.25">
      <c r="B30" s="75" t="s">
        <v>106</v>
      </c>
      <c r="D30" s="70">
        <v>11933497.050000001</v>
      </c>
      <c r="E30" s="70">
        <v>36164788.450000003</v>
      </c>
      <c r="F30" s="70">
        <v>32028054.789999999</v>
      </c>
      <c r="G30" s="70">
        <v>30381624.760000002</v>
      </c>
      <c r="H30" s="70">
        <v>34262836.140000001</v>
      </c>
      <c r="I30" s="70">
        <v>48724915.409999996</v>
      </c>
      <c r="J30" s="70">
        <v>34263198.840000004</v>
      </c>
      <c r="K30" s="70">
        <v>25009427.07</v>
      </c>
      <c r="L30" s="70">
        <v>21923584.879999999</v>
      </c>
      <c r="M30" s="70">
        <v>19260611.23</v>
      </c>
      <c r="N30" s="70">
        <v>15718223.34</v>
      </c>
      <c r="O30" s="70">
        <v>9757316</v>
      </c>
    </row>
    <row r="31" spans="1:15" x14ac:dyDescent="0.25">
      <c r="B31" s="75" t="s">
        <v>107</v>
      </c>
      <c r="D31" s="70">
        <v>63649750.299999997</v>
      </c>
      <c r="E31" s="70">
        <v>145503636.63999999</v>
      </c>
      <c r="F31" s="70">
        <v>287539187.31999999</v>
      </c>
      <c r="G31" s="70">
        <v>325298838.81</v>
      </c>
      <c r="H31" s="70">
        <v>276605414.42000002</v>
      </c>
      <c r="I31" s="70">
        <v>106520269.88</v>
      </c>
      <c r="J31" s="70">
        <v>36585795.130000003</v>
      </c>
      <c r="K31" s="70">
        <v>23602001.190000001</v>
      </c>
      <c r="L31" s="70">
        <v>37941258.979999997</v>
      </c>
      <c r="M31" s="70">
        <v>41864607.770000003</v>
      </c>
      <c r="N31" s="70">
        <v>30368526.43</v>
      </c>
      <c r="O31" s="70">
        <v>22067926.09</v>
      </c>
    </row>
    <row r="32" spans="1:15" x14ac:dyDescent="0.25">
      <c r="B32" s="75" t="s">
        <v>108</v>
      </c>
      <c r="D32" s="70">
        <v>288084167.74000001</v>
      </c>
      <c r="E32" s="70">
        <v>188215121.22999999</v>
      </c>
      <c r="F32" s="70">
        <v>202558710.77000001</v>
      </c>
      <c r="G32" s="70">
        <v>158901128.09</v>
      </c>
      <c r="H32" s="70">
        <v>169132938.08000001</v>
      </c>
      <c r="I32" s="70">
        <v>132056262.72</v>
      </c>
      <c r="J32" s="70">
        <v>103069854.95999999</v>
      </c>
      <c r="K32" s="70">
        <v>75966541.950000003</v>
      </c>
      <c r="L32" s="70">
        <v>62448206.18</v>
      </c>
      <c r="M32" s="70">
        <v>49950591.689999998</v>
      </c>
      <c r="N32" s="70">
        <v>40611513.450000003</v>
      </c>
      <c r="O32" s="70">
        <v>26876761.23</v>
      </c>
    </row>
    <row r="33" spans="1:15" x14ac:dyDescent="0.25">
      <c r="B33" s="75" t="s">
        <v>109</v>
      </c>
      <c r="D33" s="70">
        <v>37487964</v>
      </c>
      <c r="E33" s="70">
        <v>48424520.539999999</v>
      </c>
      <c r="F33" s="70">
        <v>70567576.480000004</v>
      </c>
      <c r="G33" s="70">
        <v>52888750.07</v>
      </c>
    </row>
    <row r="34" spans="1:15" x14ac:dyDescent="0.25">
      <c r="B34" s="75" t="s">
        <v>110</v>
      </c>
      <c r="D34" s="70">
        <v>-12843438.15</v>
      </c>
      <c r="E34" s="70">
        <v>-17743898.84</v>
      </c>
      <c r="F34" s="70">
        <v>-1086632.03</v>
      </c>
      <c r="G34" s="70">
        <v>11550922.310000001</v>
      </c>
      <c r="H34" s="70">
        <v>13425509.83</v>
      </c>
      <c r="I34" s="70">
        <v>1195018.8700000001</v>
      </c>
      <c r="J34" s="70">
        <v>-12482381.49</v>
      </c>
      <c r="K34" s="70">
        <v>-15009309.810000001</v>
      </c>
      <c r="L34" s="70">
        <v>-13148062.949999999</v>
      </c>
      <c r="M34" s="70">
        <v>-13165263.77</v>
      </c>
      <c r="N34" s="70">
        <v>23890594.489999998</v>
      </c>
      <c r="O34" s="70">
        <v>17430889.129999999</v>
      </c>
    </row>
    <row r="35" spans="1:15" x14ac:dyDescent="0.25">
      <c r="C35" s="75" t="s">
        <v>95</v>
      </c>
      <c r="D35" s="70">
        <v>7822986.1399999997</v>
      </c>
      <c r="F35" s="70">
        <v>2755000</v>
      </c>
      <c r="G35" s="70">
        <v>11213562.5</v>
      </c>
    </row>
    <row r="36" spans="1:15" x14ac:dyDescent="0.25">
      <c r="C36" s="75" t="s">
        <v>94</v>
      </c>
      <c r="D36" s="70">
        <v>32572127.48</v>
      </c>
      <c r="E36" s="70">
        <v>22648412.210000001</v>
      </c>
      <c r="F36" s="70">
        <v>8995034.3800000008</v>
      </c>
      <c r="G36" s="70">
        <v>8246271.8499999996</v>
      </c>
    </row>
    <row r="37" spans="1:15" x14ac:dyDescent="0.25">
      <c r="B37" s="75" t="s">
        <v>151</v>
      </c>
      <c r="D37" s="70">
        <f>D31+D32+D34</f>
        <v>338890479.89000005</v>
      </c>
      <c r="E37" s="70">
        <f t="shared" ref="E37:N37" si="1">E31+E32+E34</f>
        <v>315974859.03000003</v>
      </c>
      <c r="F37" s="70">
        <f t="shared" si="1"/>
        <v>489011266.06000006</v>
      </c>
      <c r="G37" s="70">
        <f t="shared" si="1"/>
        <v>495750889.20999998</v>
      </c>
      <c r="H37" s="70">
        <f t="shared" si="1"/>
        <v>459163862.32999998</v>
      </c>
      <c r="I37" s="70">
        <f t="shared" si="1"/>
        <v>239771551.47</v>
      </c>
      <c r="J37" s="70">
        <f t="shared" si="1"/>
        <v>127173268.60000001</v>
      </c>
      <c r="K37" s="70">
        <f t="shared" si="1"/>
        <v>84559233.329999998</v>
      </c>
      <c r="L37" s="70">
        <f t="shared" si="1"/>
        <v>87241402.209999993</v>
      </c>
      <c r="M37" s="70">
        <f t="shared" si="1"/>
        <v>78649935.690000013</v>
      </c>
      <c r="N37" s="70">
        <f t="shared" si="1"/>
        <v>94870634.36999999</v>
      </c>
      <c r="O37" s="70">
        <f>O31+O32+O34</f>
        <v>66375576.450000003</v>
      </c>
    </row>
    <row r="38" spans="1:15" x14ac:dyDescent="0.25">
      <c r="A38" s="75" t="s">
        <v>143</v>
      </c>
      <c r="B38" s="75" t="s">
        <v>96</v>
      </c>
      <c r="D38" s="70">
        <v>34572160.229999997</v>
      </c>
      <c r="E38" s="70">
        <v>4285224.1900000004</v>
      </c>
      <c r="F38" s="70">
        <v>1591601.01</v>
      </c>
      <c r="G38" s="70">
        <v>4536456.47</v>
      </c>
    </row>
    <row r="39" spans="1:15" x14ac:dyDescent="0.25">
      <c r="B39" s="75" t="s">
        <v>113</v>
      </c>
      <c r="D39" s="70">
        <v>14014892.300000001</v>
      </c>
      <c r="E39" s="70">
        <v>273166244.68000001</v>
      </c>
      <c r="F39" s="70">
        <v>63280814.82</v>
      </c>
      <c r="G39" s="70">
        <v>17702729.920000002</v>
      </c>
      <c r="H39" s="70">
        <v>14451892.1</v>
      </c>
      <c r="I39" s="70">
        <v>4880868.04</v>
      </c>
      <c r="J39" s="70">
        <v>6516609.4299999997</v>
      </c>
      <c r="K39" s="70">
        <v>10656664.34</v>
      </c>
      <c r="L39" s="70">
        <v>1100350.93</v>
      </c>
      <c r="O39" s="70">
        <v>666438.85</v>
      </c>
    </row>
    <row r="40" spans="1:15" ht="47.25" x14ac:dyDescent="0.25">
      <c r="C40" s="75" t="s">
        <v>146</v>
      </c>
      <c r="D40" s="70">
        <v>-5356968.22</v>
      </c>
      <c r="E40" s="70">
        <v>72523327.469999999</v>
      </c>
      <c r="F40" s="70">
        <v>3255217.59</v>
      </c>
      <c r="G40" s="70">
        <v>4201481.01</v>
      </c>
      <c r="H40" s="70">
        <v>1569429.26</v>
      </c>
      <c r="I40" s="70">
        <v>3144719.19</v>
      </c>
      <c r="J40" s="70">
        <v>3377479.69</v>
      </c>
    </row>
    <row r="41" spans="1:15" x14ac:dyDescent="0.25">
      <c r="B41" s="75" t="s">
        <v>97</v>
      </c>
      <c r="D41" s="70">
        <v>247726.31</v>
      </c>
      <c r="E41" s="70">
        <v>991859.52</v>
      </c>
      <c r="F41" s="70">
        <v>9660319.4000000004</v>
      </c>
      <c r="G41" s="70">
        <v>1110054.4099999999</v>
      </c>
      <c r="H41" s="70">
        <v>113847.21</v>
      </c>
    </row>
    <row r="42" spans="1:15" x14ac:dyDescent="0.25">
      <c r="B42" s="75" t="s">
        <v>98</v>
      </c>
      <c r="D42" s="70">
        <v>-32739976.91</v>
      </c>
      <c r="E42" s="70">
        <v>1325984.52</v>
      </c>
    </row>
    <row r="43" spans="1:15" x14ac:dyDescent="0.25">
      <c r="B43" s="75" t="s">
        <v>99</v>
      </c>
      <c r="D43" s="70">
        <v>-1877720155.72</v>
      </c>
      <c r="E43" s="70">
        <v>-17425960.27</v>
      </c>
      <c r="F43" s="70">
        <v>-31899429.829999998</v>
      </c>
      <c r="G43" s="70">
        <v>-8958754.7699999996</v>
      </c>
      <c r="H43" s="70">
        <v>-3011927.49</v>
      </c>
      <c r="I43" s="70">
        <v>-1004375.81</v>
      </c>
      <c r="J43" s="70">
        <v>-1323887.6599999999</v>
      </c>
      <c r="K43" s="70">
        <v>-784425.94</v>
      </c>
      <c r="L43" s="70">
        <v>-231748.53</v>
      </c>
      <c r="M43" s="70">
        <v>656003.34</v>
      </c>
      <c r="N43" s="70">
        <v>-60908.78</v>
      </c>
      <c r="O43" s="70">
        <v>862012.65</v>
      </c>
    </row>
    <row r="44" spans="1:15" x14ac:dyDescent="0.25">
      <c r="B44" s="75" t="s">
        <v>100</v>
      </c>
      <c r="D44" s="70">
        <v>676435.92</v>
      </c>
      <c r="E44" s="70">
        <v>-767848.08</v>
      </c>
      <c r="F44" s="70">
        <v>19135248.57</v>
      </c>
      <c r="G44" s="70">
        <v>54373.41</v>
      </c>
    </row>
    <row r="45" spans="1:15" ht="31.5" x14ac:dyDescent="0.25">
      <c r="A45" s="75" t="s">
        <v>117</v>
      </c>
      <c r="D45" s="70">
        <v>-1699345206.5999999</v>
      </c>
      <c r="E45" s="70">
        <v>1725575244.1600001</v>
      </c>
      <c r="F45" s="70">
        <v>1603261258.8599999</v>
      </c>
      <c r="G45" s="70">
        <v>1346232047.29</v>
      </c>
      <c r="H45" s="70">
        <v>1148168794.9100001</v>
      </c>
      <c r="I45" s="70">
        <v>827826642.08000004</v>
      </c>
      <c r="J45" s="70">
        <v>471988594.83999997</v>
      </c>
      <c r="K45" s="70">
        <v>380890521.86000001</v>
      </c>
      <c r="L45" s="70">
        <v>300445018.88999999</v>
      </c>
      <c r="M45" s="70">
        <v>280687584.04000002</v>
      </c>
      <c r="N45" s="70">
        <v>228618049.13999999</v>
      </c>
      <c r="O45" s="70">
        <v>116549545.41</v>
      </c>
    </row>
    <row r="46" spans="1:15" x14ac:dyDescent="0.25">
      <c r="B46" s="75" t="s">
        <v>118</v>
      </c>
      <c r="D46" s="70">
        <v>3242377.14</v>
      </c>
      <c r="E46" s="70">
        <v>5997838.0300000003</v>
      </c>
      <c r="F46" s="70">
        <v>15539954.51</v>
      </c>
      <c r="G46" s="70">
        <v>1608758.68</v>
      </c>
      <c r="H46" s="70">
        <v>18472939.010000002</v>
      </c>
      <c r="I46" s="70">
        <v>35596062.060000002</v>
      </c>
      <c r="J46" s="70">
        <v>22031382.899999999</v>
      </c>
      <c r="K46" s="70">
        <v>38655367.579999998</v>
      </c>
      <c r="L46" s="70">
        <v>51479203.829999998</v>
      </c>
      <c r="M46" s="70">
        <v>20918624.41</v>
      </c>
      <c r="N46" s="70">
        <v>2309221.0299999998</v>
      </c>
      <c r="O46" s="70">
        <v>3576824.35</v>
      </c>
    </row>
    <row r="47" spans="1:15" ht="31.5" x14ac:dyDescent="0.25">
      <c r="C47" s="75" t="s">
        <v>147</v>
      </c>
      <c r="D47" s="70"/>
      <c r="E47" s="70"/>
      <c r="F47" s="70"/>
      <c r="G47" s="70"/>
      <c r="H47" s="70">
        <v>2517946.7400000002</v>
      </c>
      <c r="I47" s="70">
        <v>146066.43</v>
      </c>
      <c r="J47" s="70">
        <v>32891.68</v>
      </c>
      <c r="K47" s="70">
        <v>5581.25</v>
      </c>
    </row>
    <row r="48" spans="1:15" x14ac:dyDescent="0.25">
      <c r="B48" s="75" t="s">
        <v>119</v>
      </c>
      <c r="D48" s="70">
        <v>41007879.43</v>
      </c>
      <c r="E48" s="70">
        <v>101517003.90000001</v>
      </c>
      <c r="F48" s="70">
        <v>76342284.480000004</v>
      </c>
      <c r="G48" s="70">
        <v>50455986.030000001</v>
      </c>
      <c r="H48" s="70">
        <v>6855213.3499999996</v>
      </c>
      <c r="I48" s="70">
        <v>38296752.520000003</v>
      </c>
      <c r="J48" s="70">
        <v>2606799.54</v>
      </c>
      <c r="K48" s="70">
        <v>1083445.02</v>
      </c>
      <c r="L48" s="70">
        <v>10724941.41</v>
      </c>
      <c r="M48" s="70">
        <v>4194529.84</v>
      </c>
      <c r="N48" s="70">
        <v>12943823.5</v>
      </c>
      <c r="O48" s="70">
        <v>2642749.42</v>
      </c>
    </row>
    <row r="49" spans="1:15" ht="31.5" x14ac:dyDescent="0.25">
      <c r="C49" s="75" t="s">
        <v>148</v>
      </c>
      <c r="D49" s="70"/>
      <c r="E49" s="70"/>
      <c r="F49" s="70"/>
      <c r="G49" s="70"/>
      <c r="H49" s="70">
        <v>4639673.8099999996</v>
      </c>
      <c r="I49" s="70">
        <v>37765766.590000004</v>
      </c>
      <c r="J49" s="70">
        <v>1241098.6100000001</v>
      </c>
      <c r="K49" s="70">
        <v>240204.86</v>
      </c>
      <c r="L49" s="70">
        <v>9369971.2300000004</v>
      </c>
      <c r="M49" s="70">
        <v>3548876.35</v>
      </c>
      <c r="N49" s="70">
        <v>12584530.58</v>
      </c>
      <c r="O49" s="70">
        <v>2548321.41</v>
      </c>
    </row>
    <row r="50" spans="1:15" ht="31.5" x14ac:dyDescent="0.25">
      <c r="A50" s="75" t="s">
        <v>120</v>
      </c>
      <c r="D50" s="70">
        <v>-1737110708.8900001</v>
      </c>
      <c r="E50" s="70">
        <v>1630056078.29</v>
      </c>
      <c r="F50" s="70">
        <v>1542458928.8900001</v>
      </c>
      <c r="G50" s="70">
        <v>1297384819.9400001</v>
      </c>
      <c r="H50" s="70">
        <v>1159786520.5699999</v>
      </c>
      <c r="I50" s="70">
        <v>825125951.62</v>
      </c>
      <c r="J50" s="70">
        <v>491413178.19999999</v>
      </c>
      <c r="K50" s="70">
        <v>418462444.42000002</v>
      </c>
      <c r="L50" s="70">
        <v>341199281.31</v>
      </c>
      <c r="M50" s="70">
        <v>297411678.61000001</v>
      </c>
      <c r="N50" s="70">
        <v>217983446.66999999</v>
      </c>
      <c r="O50" s="70">
        <v>117483620.34</v>
      </c>
    </row>
    <row r="51" spans="1:15" x14ac:dyDescent="0.25">
      <c r="B51" s="75" t="s">
        <v>121</v>
      </c>
      <c r="D51" s="70">
        <v>29835169.109999999</v>
      </c>
      <c r="E51" s="70">
        <v>265152567.09</v>
      </c>
      <c r="F51" s="70">
        <v>264901157.25999999</v>
      </c>
      <c r="G51" s="70">
        <v>228110638.80000001</v>
      </c>
      <c r="H51" s="70">
        <v>243319608.58000001</v>
      </c>
      <c r="I51" s="70">
        <v>179680867.03999999</v>
      </c>
      <c r="J51" s="70">
        <v>126690403.88</v>
      </c>
      <c r="K51" s="70">
        <v>109700428.54000001</v>
      </c>
      <c r="L51" s="70">
        <v>84785699.969999999</v>
      </c>
      <c r="M51" s="70">
        <v>75193108.790000007</v>
      </c>
      <c r="N51" s="70">
        <v>54645517.829999998</v>
      </c>
      <c r="O51" s="70">
        <v>29071584.789999999</v>
      </c>
    </row>
    <row r="52" spans="1:15" x14ac:dyDescent="0.25">
      <c r="A52" s="75" t="s">
        <v>122</v>
      </c>
      <c r="D52" s="70">
        <v>-1766945878</v>
      </c>
      <c r="E52" s="70">
        <v>1364903511.2</v>
      </c>
      <c r="F52" s="70">
        <v>1277557771.6300001</v>
      </c>
      <c r="G52" s="70">
        <v>1069274181.14</v>
      </c>
      <c r="H52" s="70">
        <v>916466911.99000001</v>
      </c>
      <c r="I52" s="70">
        <v>645445084.58000004</v>
      </c>
      <c r="J52" s="70">
        <v>364722774.31999999</v>
      </c>
      <c r="K52" s="70">
        <v>308762015.88</v>
      </c>
      <c r="L52" s="70">
        <v>256413581.34</v>
      </c>
      <c r="M52" s="70">
        <v>222218569.81999999</v>
      </c>
      <c r="N52" s="70">
        <v>163337928.84</v>
      </c>
      <c r="O52" s="70">
        <v>88412035.549999997</v>
      </c>
    </row>
    <row r="53" spans="1:15" ht="31.5" x14ac:dyDescent="0.25">
      <c r="B53" s="75" t="s">
        <v>123</v>
      </c>
      <c r="C53" s="75" t="s">
        <v>124</v>
      </c>
      <c r="D53" s="70">
        <v>-1766945878</v>
      </c>
      <c r="E53" s="70">
        <v>1364903511.2</v>
      </c>
      <c r="F53" s="70">
        <v>1277557771.6300001</v>
      </c>
      <c r="G53" s="70">
        <v>1069274181.14</v>
      </c>
    </row>
    <row r="54" spans="1:15" ht="31.5" x14ac:dyDescent="0.25">
      <c r="B54" s="75" t="s">
        <v>125</v>
      </c>
      <c r="C54" s="75" t="s">
        <v>126</v>
      </c>
      <c r="D54" s="70">
        <v>-1752398009.5999999</v>
      </c>
      <c r="E54" s="70">
        <v>1339790994.9400001</v>
      </c>
      <c r="F54" s="70">
        <v>1287186547.4100001</v>
      </c>
      <c r="G54" s="70">
        <v>1067612066.9299999</v>
      </c>
      <c r="H54" s="70">
        <v>902305171.90999997</v>
      </c>
      <c r="I54" s="70">
        <v>630560934.01999998</v>
      </c>
      <c r="J54" s="70">
        <v>361183249.79000002</v>
      </c>
      <c r="K54" s="70">
        <v>308423861.72000003</v>
      </c>
      <c r="L54" s="70">
        <v>256545865.97999999</v>
      </c>
      <c r="M54" s="70">
        <v>222218569.81999999</v>
      </c>
      <c r="N54" s="70">
        <v>163337928.84</v>
      </c>
      <c r="O54" s="70">
        <v>86995069.549999997</v>
      </c>
    </row>
    <row r="55" spans="1:15" x14ac:dyDescent="0.25">
      <c r="C55" s="75" t="s">
        <v>149</v>
      </c>
      <c r="D55" s="70">
        <v>-14547868.4</v>
      </c>
      <c r="E55" s="70">
        <v>25112516.260000002</v>
      </c>
      <c r="F55" s="70">
        <v>-9628775.7799999993</v>
      </c>
      <c r="G55" s="70">
        <v>1662114.21</v>
      </c>
      <c r="H55" s="70">
        <v>14161740.08</v>
      </c>
      <c r="I55" s="70">
        <v>14884150.560000001</v>
      </c>
      <c r="J55" s="70">
        <v>3539524.53</v>
      </c>
      <c r="K55" s="70">
        <v>338154.16</v>
      </c>
      <c r="L55" s="70">
        <v>-132284.64000000001</v>
      </c>
      <c r="O55" s="70">
        <v>1416966</v>
      </c>
    </row>
    <row r="56" spans="1:15" ht="47.25" x14ac:dyDescent="0.25">
      <c r="A56" s="75" t="s">
        <v>127</v>
      </c>
      <c r="D56" s="70">
        <v>-54643377.960000001</v>
      </c>
      <c r="E56" s="70">
        <v>-436587617.54000002</v>
      </c>
      <c r="F56" s="70">
        <v>27854228.039999999</v>
      </c>
      <c r="G56" s="70">
        <v>-367848.51</v>
      </c>
      <c r="H56" s="70">
        <v>-7080414.2000000002</v>
      </c>
    </row>
    <row r="57" spans="1:15" ht="47.25" x14ac:dyDescent="0.25">
      <c r="B57" s="75" t="s">
        <v>128</v>
      </c>
      <c r="D57" s="70">
        <v>-54643964.159999996</v>
      </c>
      <c r="E57" s="70">
        <v>-436587615.64999998</v>
      </c>
      <c r="F57" s="70">
        <v>27854228.039999999</v>
      </c>
      <c r="G57" s="70">
        <v>-367848.51</v>
      </c>
      <c r="H57" s="70">
        <v>-7080414.2000000002</v>
      </c>
    </row>
    <row r="58" spans="1:15" ht="47.25" x14ac:dyDescent="0.25">
      <c r="B58" s="75" t="s">
        <v>129</v>
      </c>
      <c r="D58" s="70">
        <v>-65726184.590000004</v>
      </c>
      <c r="E58" s="70">
        <v>-390940031.82999998</v>
      </c>
    </row>
    <row r="59" spans="1:15" ht="47.25" x14ac:dyDescent="0.25">
      <c r="C59" s="75" t="s">
        <v>130</v>
      </c>
      <c r="D59" s="70">
        <v>1356586.59</v>
      </c>
      <c r="E59" s="70">
        <v>-1356586.59</v>
      </c>
    </row>
    <row r="60" spans="1:15" ht="47.25" x14ac:dyDescent="0.25">
      <c r="C60" s="75" t="s">
        <v>131</v>
      </c>
      <c r="D60" s="70">
        <v>-67082771.18</v>
      </c>
      <c r="E60" s="70">
        <v>-389583445.24000001</v>
      </c>
    </row>
    <row r="61" spans="1:15" ht="47.25" x14ac:dyDescent="0.25">
      <c r="B61" s="75" t="s">
        <v>132</v>
      </c>
      <c r="D61" s="70">
        <v>11082220.43</v>
      </c>
      <c r="E61" s="70">
        <v>-45647583.82</v>
      </c>
      <c r="F61" s="70">
        <v>27854228.039999999</v>
      </c>
      <c r="G61" s="70">
        <v>-367848.51</v>
      </c>
      <c r="H61" s="70">
        <v>-7080414.2000000002</v>
      </c>
    </row>
    <row r="62" spans="1:15" ht="31.5" x14ac:dyDescent="0.25">
      <c r="C62" s="75" t="s">
        <v>133</v>
      </c>
      <c r="D62" s="70">
        <v>11082220.43</v>
      </c>
      <c r="E62" s="70">
        <v>7332056.4299999997</v>
      </c>
      <c r="F62" s="70">
        <v>-26055664.800000001</v>
      </c>
      <c r="G62" s="70">
        <v>-367848.51</v>
      </c>
      <c r="H62" s="70">
        <v>-7080414.2000000002</v>
      </c>
    </row>
    <row r="63" spans="1:15" x14ac:dyDescent="0.25">
      <c r="C63" s="75" t="s">
        <v>145</v>
      </c>
      <c r="D63" s="70"/>
      <c r="E63" s="70"/>
      <c r="F63" s="70">
        <v>53909892.840000004</v>
      </c>
      <c r="G63" s="70"/>
    </row>
    <row r="64" spans="1:15" ht="47.25" x14ac:dyDescent="0.25">
      <c r="B64" s="75" t="s">
        <v>134</v>
      </c>
      <c r="D64" s="70">
        <v>586.20000000000005</v>
      </c>
      <c r="E64" s="70">
        <v>-1.89</v>
      </c>
    </row>
    <row r="65" spans="1:15" ht="31.5" x14ac:dyDescent="0.25">
      <c r="A65" s="75" t="s">
        <v>135</v>
      </c>
      <c r="D65" s="70">
        <v>-1821589255.96</v>
      </c>
      <c r="E65" s="70">
        <v>928315893.65999997</v>
      </c>
      <c r="F65" s="70">
        <v>1305411999.6700001</v>
      </c>
      <c r="G65" s="70">
        <v>1068906332.63</v>
      </c>
      <c r="H65" s="70">
        <v>909386497.78999996</v>
      </c>
      <c r="I65" s="70">
        <v>645445084.58000004</v>
      </c>
      <c r="J65" s="70">
        <v>364722774.31999999</v>
      </c>
      <c r="K65" s="70">
        <v>308762015.88</v>
      </c>
      <c r="L65" s="70">
        <v>256413581.34</v>
      </c>
      <c r="M65" s="70">
        <v>222218569.81999999</v>
      </c>
      <c r="N65" s="70">
        <v>163337928.84</v>
      </c>
      <c r="O65" s="70">
        <v>88412035.549999997</v>
      </c>
    </row>
    <row r="66" spans="1:15" ht="47.25" x14ac:dyDescent="0.25">
      <c r="B66" s="75" t="s">
        <v>136</v>
      </c>
      <c r="D66" s="70">
        <v>-1807041973.76</v>
      </c>
      <c r="E66" s="70">
        <v>903203379.28999996</v>
      </c>
      <c r="F66" s="70">
        <v>1315040775.45</v>
      </c>
      <c r="G66" s="70">
        <v>1067244218.42</v>
      </c>
      <c r="H66" s="70">
        <v>895224757.71000004</v>
      </c>
      <c r="I66" s="70">
        <v>630560934.01999998</v>
      </c>
      <c r="J66" s="70">
        <v>361183249.79000002</v>
      </c>
      <c r="K66" s="70">
        <v>308423861.72000003</v>
      </c>
      <c r="L66" s="70">
        <v>256413581.34</v>
      </c>
      <c r="M66" s="70">
        <v>222218569.81999999</v>
      </c>
      <c r="N66" s="70">
        <v>163337928.84</v>
      </c>
      <c r="O66" s="70">
        <v>88412035.549999997</v>
      </c>
    </row>
    <row r="67" spans="1:15" ht="31.5" x14ac:dyDescent="0.25">
      <c r="B67" s="75" t="s">
        <v>137</v>
      </c>
      <c r="D67" s="70">
        <v>-14547282.199999999</v>
      </c>
      <c r="E67" s="70">
        <v>25112514.370000001</v>
      </c>
      <c r="F67" s="70">
        <v>-9628775.7799999993</v>
      </c>
      <c r="G67" s="70">
        <v>1662114.21</v>
      </c>
      <c r="H67" s="70">
        <v>14161740.08</v>
      </c>
      <c r="I67" s="70">
        <v>14884150.560000001</v>
      </c>
      <c r="J67" s="70">
        <v>3539524.53</v>
      </c>
      <c r="K67" s="70">
        <v>338154.16</v>
      </c>
      <c r="L67" s="70">
        <v>-132284.64000000001</v>
      </c>
    </row>
    <row r="68" spans="1:15" ht="31.5" x14ac:dyDescent="0.25">
      <c r="A68" s="75" t="s">
        <v>138</v>
      </c>
    </row>
    <row r="69" spans="1:15" x14ac:dyDescent="0.25">
      <c r="B69" s="75" t="s">
        <v>139</v>
      </c>
      <c r="D69" s="70">
        <v>-0.67020000000000002</v>
      </c>
      <c r="E69" s="70">
        <v>0.51239999999999997</v>
      </c>
      <c r="F69" s="70">
        <v>0.89</v>
      </c>
      <c r="G69" s="70">
        <v>0.73</v>
      </c>
      <c r="H69" s="70">
        <v>0.62</v>
      </c>
      <c r="I69" s="70">
        <v>0.45</v>
      </c>
      <c r="J69">
        <v>0.65</v>
      </c>
      <c r="K69">
        <v>0.55000000000000004</v>
      </c>
      <c r="L69" s="70">
        <v>0.46</v>
      </c>
      <c r="M69" s="70">
        <v>0.4</v>
      </c>
      <c r="N69" s="70">
        <v>1.26</v>
      </c>
      <c r="O69" s="70">
        <v>0.7</v>
      </c>
    </row>
    <row r="70" spans="1:15" x14ac:dyDescent="0.25">
      <c r="B70" s="75" t="s">
        <v>140</v>
      </c>
      <c r="D70" s="70">
        <v>-0.67020000000000002</v>
      </c>
      <c r="E70" s="70">
        <v>0.51239999999999997</v>
      </c>
      <c r="F70" s="70">
        <v>0.89</v>
      </c>
      <c r="G70" s="70">
        <v>0.73</v>
      </c>
      <c r="H70" s="70">
        <v>0.62</v>
      </c>
      <c r="I70" s="70">
        <v>0.45</v>
      </c>
      <c r="J70">
        <v>0.65</v>
      </c>
      <c r="K70">
        <v>0.55000000000000004</v>
      </c>
      <c r="L70" s="70">
        <v>0.46</v>
      </c>
      <c r="M70" s="70">
        <v>0.4</v>
      </c>
      <c r="N70" s="70">
        <v>1.26</v>
      </c>
      <c r="O70" s="70">
        <v>0.7</v>
      </c>
    </row>
    <row r="77" spans="1:15" s="78" customFormat="1" x14ac:dyDescent="0.25">
      <c r="A77" s="77" t="s">
        <v>80</v>
      </c>
      <c r="B77" s="77"/>
    </row>
    <row r="78" spans="1:15" x14ac:dyDescent="0.25">
      <c r="D78">
        <v>2020</v>
      </c>
      <c r="E78">
        <f>D78-1</f>
        <v>2019</v>
      </c>
      <c r="F78">
        <f t="shared" ref="F78:O78" si="2">E78-1</f>
        <v>2018</v>
      </c>
      <c r="G78">
        <f t="shared" si="2"/>
        <v>2017</v>
      </c>
      <c r="H78">
        <f t="shared" si="2"/>
        <v>2016</v>
      </c>
      <c r="I78">
        <f t="shared" si="2"/>
        <v>2015</v>
      </c>
      <c r="J78">
        <f t="shared" si="2"/>
        <v>2014</v>
      </c>
      <c r="K78">
        <f t="shared" si="2"/>
        <v>2013</v>
      </c>
      <c r="L78">
        <f t="shared" si="2"/>
        <v>2012</v>
      </c>
      <c r="M78">
        <f t="shared" si="2"/>
        <v>2011</v>
      </c>
      <c r="N78">
        <f t="shared" si="2"/>
        <v>2010</v>
      </c>
      <c r="O78">
        <f t="shared" si="2"/>
        <v>2009</v>
      </c>
    </row>
    <row r="79" spans="1:15" ht="31.5" x14ac:dyDescent="0.25">
      <c r="A79" s="75" t="s">
        <v>141</v>
      </c>
      <c r="B79" s="75" t="s">
        <v>101</v>
      </c>
      <c r="D79" s="70">
        <v>902586125.63</v>
      </c>
      <c r="E79" s="70">
        <v>2611753208.8600001</v>
      </c>
      <c r="F79" s="70">
        <v>3211192814.48</v>
      </c>
      <c r="G79" s="70">
        <v>3023831231.2600002</v>
      </c>
      <c r="H79" s="70">
        <v>2644228901.6500001</v>
      </c>
      <c r="I79" s="70">
        <v>1694513980</v>
      </c>
      <c r="J79" s="70">
        <v>935119130.20000005</v>
      </c>
      <c r="K79" s="70">
        <v>678715861.76999998</v>
      </c>
      <c r="L79" s="70">
        <v>586157062.79999995</v>
      </c>
      <c r="M79" s="70">
        <v>504532175.13999999</v>
      </c>
      <c r="N79" s="70">
        <v>444756661.94999999</v>
      </c>
      <c r="O79" s="70">
        <v>273295452.88999999</v>
      </c>
    </row>
    <row r="80" spans="1:15" x14ac:dyDescent="0.25">
      <c r="B80" s="75" t="s">
        <v>82</v>
      </c>
      <c r="D80" s="70">
        <v>902586125.63</v>
      </c>
      <c r="E80" s="70">
        <v>2611753208.8600001</v>
      </c>
      <c r="F80" s="70">
        <v>3211192814.48</v>
      </c>
      <c r="G80" s="70">
        <v>3023831231.2600002</v>
      </c>
      <c r="H80" s="70">
        <v>2644228901.6500001</v>
      </c>
      <c r="I80" s="70">
        <v>1694513980</v>
      </c>
      <c r="J80" s="70">
        <v>935119130.20000005</v>
      </c>
      <c r="K80" s="70">
        <v>678715861.76999998</v>
      </c>
      <c r="L80" s="70">
        <v>586157062.79999995</v>
      </c>
      <c r="M80" s="70">
        <v>504532175.13999999</v>
      </c>
      <c r="N80" s="70">
        <v>444756661.94999999</v>
      </c>
      <c r="O80" s="70">
        <v>273295452.88999999</v>
      </c>
    </row>
    <row r="81" spans="1:15" x14ac:dyDescent="0.25">
      <c r="B81" s="75" t="s">
        <v>94</v>
      </c>
    </row>
    <row r="82" spans="1:15" x14ac:dyDescent="0.25">
      <c r="B82" s="75" t="s">
        <v>104</v>
      </c>
      <c r="H82" s="70"/>
      <c r="I82" s="70"/>
    </row>
    <row r="83" spans="1:15" ht="31.5" x14ac:dyDescent="0.25">
      <c r="A83" s="75" t="s">
        <v>142</v>
      </c>
      <c r="D83" s="70">
        <v>740982414.36000001</v>
      </c>
      <c r="E83" s="70">
        <v>1147753469.26</v>
      </c>
      <c r="F83" s="70">
        <v>1701599539.4200001</v>
      </c>
      <c r="G83" s="70">
        <v>1701002798.1800001</v>
      </c>
      <c r="H83" s="70">
        <v>1510625846.05</v>
      </c>
      <c r="I83" s="70">
        <v>871568205.96000004</v>
      </c>
      <c r="J83" s="70">
        <v>469647144.79000002</v>
      </c>
      <c r="K83" s="70">
        <v>308482004.25</v>
      </c>
      <c r="L83" s="70">
        <v>256812394.84</v>
      </c>
      <c r="M83" s="70">
        <v>2238474591.0999999</v>
      </c>
      <c r="N83" s="70">
        <v>216138612.81</v>
      </c>
      <c r="O83" s="70">
        <v>157412346.33000001</v>
      </c>
    </row>
    <row r="84" spans="1:15" x14ac:dyDescent="0.25">
      <c r="A84" s="75" t="s">
        <v>144</v>
      </c>
      <c r="B84" s="75" t="s">
        <v>83</v>
      </c>
      <c r="D84" s="63">
        <f t="shared" ref="D84:O84" si="3">D18/D17</f>
        <v>0.47594985600921164</v>
      </c>
      <c r="E84" s="63">
        <f t="shared" si="3"/>
        <v>0.65100156196586467</v>
      </c>
      <c r="F84" s="63">
        <f t="shared" si="3"/>
        <v>0.63357634230876336</v>
      </c>
      <c r="G84" s="63">
        <f t="shared" si="3"/>
        <v>0.65433330301448445</v>
      </c>
      <c r="H84" s="63">
        <f t="shared" si="3"/>
        <v>0.67136890497531687</v>
      </c>
      <c r="I84" s="63">
        <f t="shared" si="3"/>
        <v>0.66783914246719722</v>
      </c>
      <c r="J84" s="63">
        <f t="shared" si="3"/>
        <v>0.6534411911036373</v>
      </c>
      <c r="K84" s="63">
        <f t="shared" si="3"/>
        <v>0.642270586874923</v>
      </c>
      <c r="L84" s="63">
        <f t="shared" si="3"/>
        <v>0.69264241077936595</v>
      </c>
      <c r="M84" s="63">
        <f t="shared" si="3"/>
        <v>0.5462631026245065</v>
      </c>
      <c r="N84" s="63">
        <f t="shared" si="3"/>
        <v>0.488061087042932</v>
      </c>
      <c r="O84" s="63">
        <f t="shared" si="3"/>
        <v>0.5218235319216844</v>
      </c>
    </row>
    <row r="85" spans="1:15" x14ac:dyDescent="0.25">
      <c r="B85" s="75" t="s">
        <v>106</v>
      </c>
      <c r="D85" s="63">
        <f t="shared" ref="D85:O85" si="4">D30/D17</f>
        <v>1.610496662097869E-2</v>
      </c>
      <c r="E85" s="63">
        <f t="shared" si="4"/>
        <v>3.1509195501118206E-2</v>
      </c>
      <c r="F85" s="63">
        <f t="shared" si="4"/>
        <v>1.8822322202153949E-2</v>
      </c>
      <c r="G85" s="63">
        <f t="shared" si="4"/>
        <v>1.7861008102107202E-2</v>
      </c>
      <c r="H85" s="63">
        <f t="shared" si="4"/>
        <v>2.2681219330114612E-2</v>
      </c>
      <c r="I85" s="63">
        <f t="shared" si="4"/>
        <v>5.5904879362059005E-2</v>
      </c>
      <c r="J85" s="63">
        <f t="shared" si="4"/>
        <v>7.2955194596829906E-2</v>
      </c>
      <c r="K85" s="63">
        <f t="shared" si="4"/>
        <v>8.1072564121866433E-2</v>
      </c>
      <c r="L85" s="63">
        <f t="shared" si="4"/>
        <v>8.5368094844716871E-2</v>
      </c>
      <c r="M85" s="63">
        <f t="shared" si="4"/>
        <v>8.6044568400562974E-2</v>
      </c>
      <c r="N85" s="63">
        <f t="shared" si="4"/>
        <v>7.2722884336346452E-2</v>
      </c>
      <c r="O85" s="63">
        <f t="shared" si="4"/>
        <v>6.1985709682166323E-2</v>
      </c>
    </row>
    <row r="86" spans="1:15" x14ac:dyDescent="0.25">
      <c r="B86" s="75" t="s">
        <v>107</v>
      </c>
      <c r="D86" s="63">
        <f t="shared" ref="D86:O86" si="5">D31/D17</f>
        <v>8.5899137505139639E-2</v>
      </c>
      <c r="E86" s="63">
        <f t="shared" si="5"/>
        <v>0.12677255223964748</v>
      </c>
      <c r="F86" s="63">
        <f t="shared" si="5"/>
        <v>0.16898170260319262</v>
      </c>
      <c r="G86" s="63">
        <f t="shared" si="5"/>
        <v>0.19123944955179131</v>
      </c>
      <c r="H86" s="63">
        <f t="shared" si="5"/>
        <v>0.18310650194637587</v>
      </c>
      <c r="I86" s="63">
        <f t="shared" si="5"/>
        <v>0.12221679169982098</v>
      </c>
      <c r="J86" s="63">
        <f t="shared" si="5"/>
        <v>7.7900601623712901E-2</v>
      </c>
      <c r="K86" s="63">
        <f t="shared" si="5"/>
        <v>7.6510139537580499E-2</v>
      </c>
      <c r="L86" s="63">
        <f t="shared" si="5"/>
        <v>0.14773920473596405</v>
      </c>
      <c r="M86" s="63">
        <f t="shared" si="5"/>
        <v>0.18702532665306829</v>
      </c>
      <c r="N86" s="63">
        <f t="shared" si="5"/>
        <v>0.1405048641479712</v>
      </c>
      <c r="O86" s="63">
        <f t="shared" si="5"/>
        <v>0.14019183758138445</v>
      </c>
    </row>
    <row r="87" spans="1:15" x14ac:dyDescent="0.25">
      <c r="B87" s="75" t="s">
        <v>108</v>
      </c>
      <c r="D87" s="63">
        <f t="shared" ref="D87:O87" si="6">D32/D17</f>
        <v>0.38878678111250931</v>
      </c>
      <c r="E87" s="63">
        <f t="shared" si="6"/>
        <v>0.16398566963282576</v>
      </c>
      <c r="F87" s="63">
        <f t="shared" si="6"/>
        <v>0.11904017724349132</v>
      </c>
      <c r="G87" s="63">
        <f t="shared" si="6"/>
        <v>9.3416147380837575E-2</v>
      </c>
      <c r="H87" s="63">
        <f t="shared" si="6"/>
        <v>0.11196216357759968</v>
      </c>
      <c r="I87" s="63">
        <f t="shared" si="6"/>
        <v>0.1515156952915061</v>
      </c>
      <c r="J87" s="63">
        <f t="shared" si="6"/>
        <v>0.21946232635159973</v>
      </c>
      <c r="K87" s="63">
        <f t="shared" si="6"/>
        <v>0.24625923361297664</v>
      </c>
      <c r="L87" s="63">
        <f t="shared" si="6"/>
        <v>0.24316663616998183</v>
      </c>
      <c r="M87" s="63">
        <f t="shared" si="6"/>
        <v>0.22314853106137886</v>
      </c>
      <c r="N87" s="63">
        <f t="shared" si="6"/>
        <v>0.18789568842888885</v>
      </c>
      <c r="O87" s="63">
        <f t="shared" si="6"/>
        <v>0.17074112581776418</v>
      </c>
    </row>
    <row r="88" spans="1:15" x14ac:dyDescent="0.25">
      <c r="B88" s="75" t="s">
        <v>109</v>
      </c>
      <c r="D88" s="63">
        <f t="shared" ref="D88:O88" si="7">D33/D17</f>
        <v>5.0592245205143008E-2</v>
      </c>
      <c r="E88" s="63">
        <f t="shared" si="7"/>
        <v>4.2190698470483491E-2</v>
      </c>
      <c r="F88" s="63">
        <f t="shared" si="7"/>
        <v>4.1471318512494054E-2</v>
      </c>
      <c r="G88" s="63">
        <f t="shared" si="7"/>
        <v>3.1092688458001769E-2</v>
      </c>
      <c r="H88" s="63">
        <f t="shared" si="7"/>
        <v>0</v>
      </c>
      <c r="I88" s="63">
        <f t="shared" si="7"/>
        <v>0</v>
      </c>
      <c r="J88" s="63">
        <f t="shared" si="7"/>
        <v>0</v>
      </c>
      <c r="K88" s="63">
        <f t="shared" si="7"/>
        <v>0</v>
      </c>
      <c r="L88" s="63">
        <f t="shared" si="7"/>
        <v>0</v>
      </c>
      <c r="M88" s="63">
        <f t="shared" si="7"/>
        <v>0</v>
      </c>
      <c r="N88" s="63">
        <f t="shared" si="7"/>
        <v>0</v>
      </c>
      <c r="O88" s="63">
        <f t="shared" si="7"/>
        <v>0</v>
      </c>
    </row>
    <row r="89" spans="1:15" x14ac:dyDescent="0.25">
      <c r="B89" s="75" t="s">
        <v>110</v>
      </c>
      <c r="D89" s="63">
        <f t="shared" ref="D89:O89" si="8">D34/D17</f>
        <v>-1.7332986452982303E-2</v>
      </c>
      <c r="E89" s="63">
        <f t="shared" si="8"/>
        <v>-1.5459677809939587E-2</v>
      </c>
      <c r="F89" s="63">
        <f t="shared" si="8"/>
        <v>-6.3859445470371059E-4</v>
      </c>
      <c r="G89" s="63">
        <f t="shared" si="8"/>
        <v>6.7906545023670691E-3</v>
      </c>
      <c r="H89" s="63">
        <f t="shared" si="8"/>
        <v>8.8873825806073427E-3</v>
      </c>
      <c r="I89" s="63">
        <f t="shared" si="8"/>
        <v>1.3711134273005417E-3</v>
      </c>
      <c r="J89" s="63">
        <f t="shared" si="8"/>
        <v>-2.6578212235446305E-2</v>
      </c>
      <c r="K89" s="63">
        <f t="shared" si="8"/>
        <v>-4.8655382172102836E-2</v>
      </c>
      <c r="L89" s="63">
        <f t="shared" si="8"/>
        <v>-5.1197150971593657E-2</v>
      </c>
      <c r="M89" s="63">
        <f t="shared" si="8"/>
        <v>-5.8814303733247544E-2</v>
      </c>
      <c r="N89" s="63">
        <f t="shared" si="8"/>
        <v>0.11053367179237611</v>
      </c>
      <c r="O89" s="63">
        <f t="shared" si="8"/>
        <v>0.11073393883258559</v>
      </c>
    </row>
    <row r="90" spans="1:15" x14ac:dyDescent="0.25">
      <c r="C90" s="75" t="s">
        <v>95</v>
      </c>
      <c r="D90" s="70">
        <v>7822986.1399999997</v>
      </c>
      <c r="F90" s="70">
        <v>2755000</v>
      </c>
      <c r="G90" s="70">
        <v>11213562.5</v>
      </c>
    </row>
    <row r="91" spans="1:15" x14ac:dyDescent="0.25">
      <c r="C91" s="75" t="s">
        <v>94</v>
      </c>
      <c r="D91" s="70">
        <v>32572127.48</v>
      </c>
      <c r="E91" s="70">
        <v>22648412.210000001</v>
      </c>
      <c r="F91" s="70">
        <v>8995034.3800000008</v>
      </c>
      <c r="G91" s="70">
        <v>8246271.8499999996</v>
      </c>
    </row>
    <row r="92" spans="1:15" ht="409.5" x14ac:dyDescent="0.25">
      <c r="A92" s="75" t="s">
        <v>153</v>
      </c>
      <c r="B92" s="75" t="s">
        <v>151</v>
      </c>
      <c r="D92" s="63">
        <f t="shared" ref="D92:O92" si="9">D37/D17</f>
        <v>0.45735293216466671</v>
      </c>
      <c r="E92" s="63">
        <f t="shared" si="9"/>
        <v>0.27529854406253368</v>
      </c>
      <c r="F92" s="63">
        <f t="shared" si="9"/>
        <v>0.28738328539198027</v>
      </c>
      <c r="G92" s="63">
        <f t="shared" si="9"/>
        <v>0.29144625143499597</v>
      </c>
      <c r="H92" s="63">
        <f t="shared" si="9"/>
        <v>0.30395604810458288</v>
      </c>
      <c r="I92" s="63">
        <f t="shared" si="9"/>
        <v>0.27510360041862764</v>
      </c>
      <c r="J92" s="63">
        <f t="shared" si="9"/>
        <v>0.27078471573986634</v>
      </c>
      <c r="K92" s="63">
        <f t="shared" si="9"/>
        <v>0.27411399097845429</v>
      </c>
      <c r="L92" s="63">
        <f t="shared" si="9"/>
        <v>0.33970868993435221</v>
      </c>
      <c r="M92" s="63">
        <f t="shared" si="9"/>
        <v>0.35135955398119967</v>
      </c>
      <c r="N92" s="63">
        <f t="shared" si="9"/>
        <v>0.43893422436923613</v>
      </c>
      <c r="O92" s="63">
        <f t="shared" si="9"/>
        <v>0.4216669022317342</v>
      </c>
    </row>
    <row r="93" spans="1:15" x14ac:dyDescent="0.25">
      <c r="A93" s="75" t="s">
        <v>143</v>
      </c>
      <c r="B93" s="75" t="s">
        <v>96</v>
      </c>
      <c r="D93" s="70">
        <v>34572160.229999997</v>
      </c>
      <c r="E93" s="70">
        <v>4285224.1900000004</v>
      </c>
      <c r="F93" s="70">
        <v>1591601.01</v>
      </c>
      <c r="G93" s="70">
        <v>4536456.47</v>
      </c>
    </row>
    <row r="94" spans="1:15" x14ac:dyDescent="0.25">
      <c r="B94" s="75" t="s">
        <v>113</v>
      </c>
      <c r="D94" s="70">
        <v>14014892.300000001</v>
      </c>
      <c r="E94" s="70">
        <v>273166244.68000001</v>
      </c>
      <c r="F94" s="70">
        <v>63280814.82</v>
      </c>
      <c r="G94" s="70">
        <v>17702729.920000002</v>
      </c>
      <c r="H94" s="70">
        <v>14451892.1</v>
      </c>
      <c r="I94" s="70">
        <v>4880868.04</v>
      </c>
      <c r="J94" s="70">
        <v>6516609.4299999997</v>
      </c>
      <c r="K94" s="70">
        <v>10656664.34</v>
      </c>
      <c r="L94" s="70">
        <v>1100350.93</v>
      </c>
      <c r="O94" s="70">
        <v>666438.85</v>
      </c>
    </row>
    <row r="95" spans="1:15" ht="47.25" x14ac:dyDescent="0.25">
      <c r="C95" s="75" t="s">
        <v>146</v>
      </c>
      <c r="D95" s="70">
        <v>-5356968.22</v>
      </c>
      <c r="E95" s="70">
        <v>72523327.469999999</v>
      </c>
      <c r="F95" s="70">
        <v>3255217.59</v>
      </c>
      <c r="G95" s="70">
        <v>4201481.01</v>
      </c>
      <c r="H95" s="70">
        <v>1569429.26</v>
      </c>
      <c r="I95" s="70">
        <v>3144719.19</v>
      </c>
      <c r="J95" s="70">
        <v>3377479.69</v>
      </c>
    </row>
    <row r="96" spans="1:15" x14ac:dyDescent="0.25">
      <c r="B96" s="75" t="s">
        <v>97</v>
      </c>
      <c r="D96" s="70">
        <v>247726.31</v>
      </c>
      <c r="E96" s="70">
        <v>991859.52</v>
      </c>
      <c r="F96" s="70">
        <v>9660319.4000000004</v>
      </c>
      <c r="G96" s="70">
        <v>1110054.4099999999</v>
      </c>
      <c r="H96" s="70">
        <v>113847.21</v>
      </c>
    </row>
    <row r="97" spans="1:15" x14ac:dyDescent="0.25">
      <c r="B97" s="75" t="s">
        <v>98</v>
      </c>
      <c r="D97" s="70">
        <v>-32739976.91</v>
      </c>
      <c r="E97" s="70">
        <v>1325984.52</v>
      </c>
    </row>
    <row r="98" spans="1:15" x14ac:dyDescent="0.25">
      <c r="B98" s="75" t="s">
        <v>99</v>
      </c>
      <c r="D98" s="70">
        <v>-1877720155.72</v>
      </c>
      <c r="E98" s="70">
        <v>-17425960.27</v>
      </c>
      <c r="F98" s="70">
        <v>-31899429.829999998</v>
      </c>
      <c r="G98" s="70">
        <v>-8958754.7699999996</v>
      </c>
      <c r="H98" s="70">
        <v>-3011927.49</v>
      </c>
      <c r="I98" s="70">
        <v>-1004375.81</v>
      </c>
      <c r="J98" s="70">
        <v>-1323887.6599999999</v>
      </c>
      <c r="K98" s="70">
        <v>-784425.94</v>
      </c>
      <c r="L98" s="70">
        <v>-231748.53</v>
      </c>
      <c r="M98" s="70">
        <v>656003.34</v>
      </c>
      <c r="N98" s="70">
        <v>-60908.78</v>
      </c>
      <c r="O98" s="70">
        <v>862012.65</v>
      </c>
    </row>
    <row r="99" spans="1:15" x14ac:dyDescent="0.25">
      <c r="B99" s="75" t="s">
        <v>100</v>
      </c>
      <c r="D99" s="70">
        <v>676435.92</v>
      </c>
      <c r="E99" s="70">
        <v>-767848.08</v>
      </c>
      <c r="F99" s="70">
        <v>19135248.57</v>
      </c>
      <c r="G99" s="70">
        <v>54373.41</v>
      </c>
    </row>
    <row r="100" spans="1:15" ht="31.5" x14ac:dyDescent="0.25">
      <c r="A100" s="75" t="s">
        <v>117</v>
      </c>
      <c r="D100" s="70">
        <v>-1699345206.5999999</v>
      </c>
      <c r="E100" s="70">
        <v>1725575244.1600001</v>
      </c>
      <c r="F100" s="70">
        <v>1603261258.8599999</v>
      </c>
      <c r="G100" s="70">
        <v>1346232047.29</v>
      </c>
      <c r="H100" s="70">
        <v>1148168794.9100001</v>
      </c>
      <c r="I100" s="70">
        <v>827826642.08000004</v>
      </c>
      <c r="J100" s="70">
        <v>471988594.83999997</v>
      </c>
      <c r="K100" s="70">
        <v>380890521.86000001</v>
      </c>
      <c r="L100" s="70">
        <v>300445018.88999999</v>
      </c>
      <c r="M100" s="70">
        <v>280687584.04000002</v>
      </c>
      <c r="N100" s="70">
        <v>228618049.13999999</v>
      </c>
      <c r="O100" s="70">
        <v>116549545.41</v>
      </c>
    </row>
    <row r="101" spans="1:15" x14ac:dyDescent="0.25">
      <c r="B101" s="75" t="s">
        <v>118</v>
      </c>
      <c r="D101" s="70">
        <v>3242377.14</v>
      </c>
      <c r="E101" s="70">
        <v>5997838.0300000003</v>
      </c>
      <c r="F101" s="70">
        <v>15539954.51</v>
      </c>
      <c r="G101" s="70">
        <v>1608758.68</v>
      </c>
      <c r="H101" s="70">
        <v>18472939.010000002</v>
      </c>
      <c r="I101" s="70">
        <v>35596062.060000002</v>
      </c>
      <c r="J101" s="70">
        <v>22031382.899999999</v>
      </c>
      <c r="K101" s="70">
        <v>38655367.579999998</v>
      </c>
      <c r="L101" s="70">
        <v>51479203.829999998</v>
      </c>
      <c r="M101" s="70">
        <v>20918624.41</v>
      </c>
      <c r="N101" s="70">
        <v>2309221.0299999998</v>
      </c>
      <c r="O101" s="70">
        <v>3576824.35</v>
      </c>
    </row>
    <row r="102" spans="1:15" ht="31.5" x14ac:dyDescent="0.25">
      <c r="C102" s="75" t="s">
        <v>147</v>
      </c>
      <c r="D102" s="70"/>
      <c r="E102" s="70"/>
      <c r="F102" s="70"/>
      <c r="G102" s="70"/>
      <c r="H102" s="70">
        <v>2517946.7400000002</v>
      </c>
      <c r="I102" s="70">
        <v>146066.43</v>
      </c>
      <c r="J102" s="70">
        <v>32891.68</v>
      </c>
      <c r="K102" s="70">
        <v>5581.25</v>
      </c>
    </row>
    <row r="103" spans="1:15" x14ac:dyDescent="0.25">
      <c r="B103" s="75" t="s">
        <v>119</v>
      </c>
      <c r="D103" s="70">
        <v>41007879.43</v>
      </c>
      <c r="E103" s="70">
        <v>101517003.90000001</v>
      </c>
      <c r="F103" s="70">
        <v>76342284.480000004</v>
      </c>
      <c r="G103" s="70">
        <v>50455986.030000001</v>
      </c>
      <c r="H103" s="70">
        <v>6855213.3499999996</v>
      </c>
      <c r="I103" s="70">
        <v>38296752.520000003</v>
      </c>
      <c r="J103" s="70">
        <v>2606799.54</v>
      </c>
      <c r="K103" s="70">
        <v>1083445.02</v>
      </c>
      <c r="L103" s="70">
        <v>10724941.41</v>
      </c>
      <c r="M103" s="70">
        <v>4194529.84</v>
      </c>
      <c r="N103" s="70">
        <v>12943823.5</v>
      </c>
      <c r="O103" s="70">
        <v>2642749.42</v>
      </c>
    </row>
    <row r="104" spans="1:15" ht="31.5" x14ac:dyDescent="0.25">
      <c r="C104" s="75" t="s">
        <v>148</v>
      </c>
      <c r="D104" s="70"/>
      <c r="E104" s="70"/>
      <c r="F104" s="70"/>
      <c r="G104" s="70"/>
      <c r="H104" s="70">
        <v>4639673.8099999996</v>
      </c>
      <c r="I104" s="70">
        <v>37765766.590000004</v>
      </c>
      <c r="J104" s="70">
        <v>1241098.6100000001</v>
      </c>
      <c r="K104" s="70">
        <v>240204.86</v>
      </c>
      <c r="L104" s="70">
        <v>9369971.2300000004</v>
      </c>
      <c r="M104" s="70">
        <v>3548876.35</v>
      </c>
      <c r="N104" s="70">
        <v>12584530.58</v>
      </c>
      <c r="O104" s="70">
        <v>2548321.41</v>
      </c>
    </row>
    <row r="105" spans="1:15" ht="31.5" x14ac:dyDescent="0.25">
      <c r="A105" s="75" t="s">
        <v>120</v>
      </c>
      <c r="D105" s="70">
        <v>-1737110708.8900001</v>
      </c>
      <c r="E105" s="70">
        <v>1630056078.29</v>
      </c>
      <c r="F105" s="70">
        <v>1542458928.8900001</v>
      </c>
      <c r="G105" s="70">
        <v>1297384819.9400001</v>
      </c>
      <c r="H105" s="70">
        <v>1159786520.5699999</v>
      </c>
      <c r="I105" s="70">
        <v>825125951.62</v>
      </c>
      <c r="J105" s="70">
        <v>491413178.19999999</v>
      </c>
      <c r="K105" s="70">
        <v>418462444.42000002</v>
      </c>
      <c r="L105" s="70">
        <v>341199281.31</v>
      </c>
      <c r="M105" s="70">
        <v>297411678.61000001</v>
      </c>
      <c r="N105" s="70">
        <v>217983446.66999999</v>
      </c>
      <c r="O105" s="70">
        <v>117483620.34</v>
      </c>
    </row>
    <row r="106" spans="1:15" x14ac:dyDescent="0.25">
      <c r="B106" s="75" t="s">
        <v>121</v>
      </c>
      <c r="D106" s="63">
        <f>D51/D50</f>
        <v>-1.7175168489442123E-2</v>
      </c>
      <c r="E106" s="63">
        <f t="shared" ref="E106:O106" si="10">E51/E50</f>
        <v>0.162664690265231</v>
      </c>
      <c r="F106" s="63">
        <f t="shared" si="10"/>
        <v>0.17173952077325705</v>
      </c>
      <c r="G106" s="63">
        <f t="shared" si="10"/>
        <v>0.17582342208270127</v>
      </c>
      <c r="H106" s="63">
        <f t="shared" si="10"/>
        <v>0.20979689301822183</v>
      </c>
      <c r="I106" s="63">
        <f t="shared" si="10"/>
        <v>0.21776174496417905</v>
      </c>
      <c r="J106" s="63">
        <f t="shared" si="10"/>
        <v>0.25780831589428466</v>
      </c>
      <c r="K106" s="63">
        <f t="shared" si="10"/>
        <v>0.26215119182809271</v>
      </c>
      <c r="L106" s="63">
        <f t="shared" si="10"/>
        <v>0.2484931962472896</v>
      </c>
      <c r="M106" s="63">
        <f t="shared" si="10"/>
        <v>0.25282500385131734</v>
      </c>
      <c r="N106" s="63">
        <f>N51/N50</f>
        <v>0.25068654828972664</v>
      </c>
      <c r="O106" s="63">
        <f t="shared" si="10"/>
        <v>0.24745223807256056</v>
      </c>
    </row>
    <row r="107" spans="1:15" x14ac:dyDescent="0.25">
      <c r="A107" s="75" t="s">
        <v>122</v>
      </c>
      <c r="D107" s="70">
        <v>-1766945878</v>
      </c>
      <c r="E107" s="70">
        <v>1364903511.2</v>
      </c>
      <c r="F107" s="70">
        <v>1277557771.6300001</v>
      </c>
      <c r="G107" s="70">
        <v>1069274181.14</v>
      </c>
      <c r="H107" s="70">
        <v>916466911.99000001</v>
      </c>
      <c r="I107" s="70">
        <v>645445084.58000004</v>
      </c>
      <c r="J107" s="70">
        <v>364722774.31999999</v>
      </c>
      <c r="K107" s="70">
        <v>308762015.88</v>
      </c>
      <c r="L107" s="70">
        <v>256413581.34</v>
      </c>
      <c r="M107" s="70">
        <v>222218569.81999999</v>
      </c>
      <c r="N107" s="70">
        <v>163337928.84</v>
      </c>
      <c r="O107" s="70">
        <v>88412035.549999997</v>
      </c>
    </row>
    <row r="108" spans="1:15" ht="31.5" x14ac:dyDescent="0.25">
      <c r="B108" s="75" t="s">
        <v>123</v>
      </c>
      <c r="C108" s="75" t="s">
        <v>124</v>
      </c>
      <c r="D108" s="70">
        <v>-1766945878</v>
      </c>
      <c r="E108" s="70">
        <v>1364903511.2</v>
      </c>
      <c r="F108" s="70">
        <v>1277557771.6300001</v>
      </c>
      <c r="G108" s="70">
        <v>1069274181.14</v>
      </c>
    </row>
    <row r="109" spans="1:15" ht="31.5" x14ac:dyDescent="0.25">
      <c r="B109" s="75" t="s">
        <v>125</v>
      </c>
      <c r="C109" s="75" t="s">
        <v>126</v>
      </c>
      <c r="D109" s="70">
        <v>-1752398009.5999999</v>
      </c>
      <c r="E109" s="70">
        <v>1339790994.9400001</v>
      </c>
      <c r="F109" s="70">
        <v>1287186547.4100001</v>
      </c>
      <c r="G109" s="70">
        <v>1067612066.9299999</v>
      </c>
      <c r="H109" s="70">
        <v>902305171.90999997</v>
      </c>
      <c r="I109" s="70">
        <v>630560934.01999998</v>
      </c>
      <c r="J109" s="70">
        <v>361183249.79000002</v>
      </c>
      <c r="K109" s="70">
        <v>308423861.72000003</v>
      </c>
      <c r="L109" s="70">
        <v>256545865.97999999</v>
      </c>
      <c r="M109" s="70">
        <v>222218569.81999999</v>
      </c>
      <c r="N109" s="70">
        <v>163337928.84</v>
      </c>
      <c r="O109" s="70">
        <v>86995069.549999997</v>
      </c>
    </row>
    <row r="110" spans="1:15" x14ac:dyDescent="0.25">
      <c r="C110" s="75" t="s">
        <v>149</v>
      </c>
      <c r="D110" s="70">
        <v>-14547868.4</v>
      </c>
      <c r="E110" s="70">
        <v>25112516.260000002</v>
      </c>
      <c r="F110" s="70">
        <v>-9628775.7799999993</v>
      </c>
      <c r="G110" s="70">
        <v>1662114.21</v>
      </c>
      <c r="H110" s="70">
        <v>14161740.08</v>
      </c>
      <c r="I110" s="70">
        <v>14884150.560000001</v>
      </c>
      <c r="J110" s="70">
        <v>3539524.53</v>
      </c>
      <c r="K110" s="70">
        <v>338154.16</v>
      </c>
      <c r="L110" s="70">
        <v>-132284.64000000001</v>
      </c>
      <c r="O110" s="70">
        <v>1416966</v>
      </c>
    </row>
    <row r="111" spans="1:15" ht="47.25" x14ac:dyDescent="0.25">
      <c r="A111" s="75" t="s">
        <v>127</v>
      </c>
      <c r="D111" s="70">
        <v>-54643377.960000001</v>
      </c>
      <c r="E111" s="70">
        <v>-436587617.54000002</v>
      </c>
      <c r="F111" s="70">
        <v>27854228.039999999</v>
      </c>
      <c r="G111" s="70">
        <v>-367848.51</v>
      </c>
      <c r="H111" s="70">
        <v>-7080414.2000000002</v>
      </c>
    </row>
    <row r="112" spans="1:15" ht="47.25" x14ac:dyDescent="0.25">
      <c r="B112" s="75" t="s">
        <v>128</v>
      </c>
      <c r="D112" s="70">
        <v>-54643964.159999996</v>
      </c>
      <c r="E112" s="70">
        <v>-436587615.64999998</v>
      </c>
      <c r="F112" s="70">
        <v>27854228.039999999</v>
      </c>
      <c r="G112" s="70">
        <v>-367848.51</v>
      </c>
      <c r="H112" s="70">
        <v>-7080414.2000000002</v>
      </c>
    </row>
    <row r="113" spans="1:15" ht="47.25" x14ac:dyDescent="0.25">
      <c r="B113" s="75" t="s">
        <v>129</v>
      </c>
      <c r="D113" s="70">
        <v>-65726184.590000004</v>
      </c>
      <c r="E113" s="70">
        <v>-390940031.82999998</v>
      </c>
    </row>
    <row r="114" spans="1:15" ht="47.25" x14ac:dyDescent="0.25">
      <c r="C114" s="75" t="s">
        <v>130</v>
      </c>
      <c r="D114" s="70">
        <v>1356586.59</v>
      </c>
      <c r="E114" s="70">
        <v>-1356586.59</v>
      </c>
    </row>
    <row r="115" spans="1:15" ht="47.25" x14ac:dyDescent="0.25">
      <c r="C115" s="75" t="s">
        <v>131</v>
      </c>
      <c r="D115" s="70">
        <v>-67082771.18</v>
      </c>
      <c r="E115" s="70">
        <v>-389583445.24000001</v>
      </c>
    </row>
    <row r="116" spans="1:15" ht="47.25" x14ac:dyDescent="0.25">
      <c r="B116" s="75" t="s">
        <v>132</v>
      </c>
      <c r="D116" s="70">
        <v>11082220.43</v>
      </c>
      <c r="E116" s="70">
        <v>-45647583.82</v>
      </c>
      <c r="F116" s="70">
        <v>27854228.039999999</v>
      </c>
      <c r="G116" s="70">
        <v>-367848.51</v>
      </c>
      <c r="H116" s="70">
        <v>-7080414.2000000002</v>
      </c>
    </row>
    <row r="117" spans="1:15" ht="31.5" x14ac:dyDescent="0.25">
      <c r="C117" s="75" t="s">
        <v>133</v>
      </c>
      <c r="D117" s="70">
        <v>11082220.43</v>
      </c>
      <c r="E117" s="70">
        <v>7332056.4299999997</v>
      </c>
      <c r="F117" s="70">
        <v>-26055664.800000001</v>
      </c>
      <c r="G117" s="70">
        <v>-367848.51</v>
      </c>
      <c r="H117" s="70">
        <v>-7080414.2000000002</v>
      </c>
    </row>
    <row r="118" spans="1:15" x14ac:dyDescent="0.25">
      <c r="C118" s="75" t="s">
        <v>145</v>
      </c>
      <c r="D118" s="70"/>
      <c r="E118" s="70"/>
      <c r="F118" s="70">
        <v>53909892.840000004</v>
      </c>
      <c r="G118" s="70"/>
    </row>
    <row r="119" spans="1:15" ht="47.25" x14ac:dyDescent="0.25">
      <c r="B119" s="75" t="s">
        <v>134</v>
      </c>
      <c r="D119" s="70">
        <v>586.20000000000005</v>
      </c>
      <c r="E119" s="70">
        <v>-1.89</v>
      </c>
    </row>
    <row r="120" spans="1:15" ht="31.5" x14ac:dyDescent="0.25">
      <c r="A120" s="75" t="s">
        <v>135</v>
      </c>
      <c r="D120" s="70">
        <v>-1821589255.96</v>
      </c>
      <c r="E120" s="70">
        <v>928315893.65999997</v>
      </c>
      <c r="F120" s="70">
        <v>1305411999.6700001</v>
      </c>
      <c r="G120" s="70">
        <v>1068906332.63</v>
      </c>
      <c r="H120" s="70">
        <v>909386497.78999996</v>
      </c>
      <c r="I120" s="70">
        <v>645445084.58000004</v>
      </c>
      <c r="J120" s="70">
        <v>364722774.31999999</v>
      </c>
      <c r="K120" s="70">
        <v>308762015.88</v>
      </c>
      <c r="L120" s="70">
        <v>256413581.34</v>
      </c>
      <c r="M120" s="70">
        <v>222218569.81999999</v>
      </c>
      <c r="N120" s="70">
        <v>163337928.84</v>
      </c>
      <c r="O120" s="70">
        <v>88412035.549999997</v>
      </c>
    </row>
    <row r="121" spans="1:15" ht="47.25" x14ac:dyDescent="0.25">
      <c r="B121" s="75" t="s">
        <v>136</v>
      </c>
      <c r="D121" s="70">
        <v>-1807041973.76</v>
      </c>
      <c r="E121" s="70">
        <v>903203379.28999996</v>
      </c>
      <c r="F121" s="70">
        <v>1315040775.45</v>
      </c>
      <c r="G121" s="70">
        <v>1067244218.42</v>
      </c>
      <c r="H121" s="70">
        <v>895224757.71000004</v>
      </c>
      <c r="I121" s="70">
        <v>630560934.01999998</v>
      </c>
      <c r="J121" s="70">
        <v>361183249.79000002</v>
      </c>
      <c r="K121" s="70">
        <v>308423861.72000003</v>
      </c>
      <c r="L121" s="70">
        <v>256413581.34</v>
      </c>
      <c r="M121" s="70">
        <v>222218569.81999999</v>
      </c>
      <c r="N121" s="70">
        <v>163337928.84</v>
      </c>
      <c r="O121" s="70">
        <v>88412035.549999997</v>
      </c>
    </row>
    <row r="122" spans="1:15" ht="31.5" x14ac:dyDescent="0.25">
      <c r="B122" s="75" t="s">
        <v>137</v>
      </c>
      <c r="D122" s="70">
        <v>-14547282.199999999</v>
      </c>
      <c r="E122" s="70">
        <v>25112514.370000001</v>
      </c>
      <c r="F122" s="70">
        <v>-9628775.7799999993</v>
      </c>
      <c r="G122" s="70">
        <v>1662114.21</v>
      </c>
      <c r="H122" s="70">
        <v>14161740.08</v>
      </c>
      <c r="I122" s="70">
        <v>14884150.560000001</v>
      </c>
      <c r="J122" s="70">
        <v>3539524.53</v>
      </c>
      <c r="K122" s="70">
        <v>338154.16</v>
      </c>
      <c r="L122" s="70">
        <v>-132284.64000000001</v>
      </c>
    </row>
    <row r="123" spans="1:15" ht="31.5" x14ac:dyDescent="0.25">
      <c r="A123" s="75" t="s">
        <v>138</v>
      </c>
    </row>
    <row r="124" spans="1:15" x14ac:dyDescent="0.25">
      <c r="B124" s="75" t="s">
        <v>139</v>
      </c>
      <c r="D124" s="70">
        <v>-0.67020000000000002</v>
      </c>
      <c r="E124" s="70">
        <v>0.51239999999999997</v>
      </c>
      <c r="F124" s="70">
        <v>0.89</v>
      </c>
      <c r="G124" s="70">
        <v>0.73</v>
      </c>
      <c r="H124" s="70">
        <v>0.62</v>
      </c>
      <c r="I124" s="70">
        <v>0.45</v>
      </c>
      <c r="J124">
        <v>0.65</v>
      </c>
      <c r="K124">
        <v>0.55000000000000004</v>
      </c>
      <c r="L124" s="70">
        <v>0.46</v>
      </c>
      <c r="M124" s="70">
        <v>0.4</v>
      </c>
      <c r="N124" s="70">
        <v>1.26</v>
      </c>
      <c r="O124" s="70">
        <v>0.7</v>
      </c>
    </row>
    <row r="125" spans="1:15" x14ac:dyDescent="0.25">
      <c r="B125" s="75" t="s">
        <v>140</v>
      </c>
      <c r="D125" s="70">
        <v>-0.67020000000000002</v>
      </c>
      <c r="E125" s="70">
        <v>0.51239999999999997</v>
      </c>
      <c r="F125" s="70">
        <v>0.89</v>
      </c>
      <c r="G125" s="70">
        <v>0.73</v>
      </c>
      <c r="H125" s="70">
        <v>0.62</v>
      </c>
      <c r="I125" s="70">
        <v>0.45</v>
      </c>
      <c r="J125">
        <v>0.65</v>
      </c>
      <c r="K125">
        <v>0.55000000000000004</v>
      </c>
      <c r="L125" s="70">
        <v>0.46</v>
      </c>
      <c r="M125" s="70">
        <v>0.4</v>
      </c>
      <c r="N125" s="70">
        <v>1.26</v>
      </c>
      <c r="O125" s="70">
        <v>0.7</v>
      </c>
    </row>
    <row r="126" spans="1:15" x14ac:dyDescent="0.25">
      <c r="D126" s="7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4" workbookViewId="0">
      <selection activeCell="J54" sqref="J54"/>
    </sheetView>
  </sheetViews>
  <sheetFormatPr defaultRowHeight="15.75" x14ac:dyDescent="0.25"/>
  <cols>
    <col min="1" max="3" width="9" style="75"/>
    <col min="4" max="14" width="16.125" bestFit="1" customWidth="1"/>
    <col min="15" max="15" width="13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78" customFormat="1" x14ac:dyDescent="0.25">
      <c r="A2" s="77" t="s">
        <v>154</v>
      </c>
      <c r="B2" s="77" t="s">
        <v>101</v>
      </c>
      <c r="C2" s="77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x14ac:dyDescent="0.25">
      <c r="B3" s="75" t="s">
        <v>155</v>
      </c>
      <c r="D3" s="70">
        <v>1337776253.98</v>
      </c>
      <c r="E3" s="70">
        <v>1785124821.8699999</v>
      </c>
      <c r="F3" s="70">
        <v>1549948352.47</v>
      </c>
      <c r="G3" s="70">
        <v>1460157480.3</v>
      </c>
      <c r="H3" s="70">
        <v>1005011708.58</v>
      </c>
      <c r="I3" s="70">
        <v>1482746188.4000001</v>
      </c>
      <c r="J3" s="70">
        <v>1020469484.4400001</v>
      </c>
      <c r="K3" s="70">
        <v>905102987.87</v>
      </c>
      <c r="L3" s="70">
        <v>1424053444.73</v>
      </c>
      <c r="M3" s="70">
        <v>1767337423.6700001</v>
      </c>
      <c r="N3" s="70">
        <v>2350417724.04</v>
      </c>
      <c r="O3" s="70">
        <v>86667925.920000002</v>
      </c>
    </row>
    <row r="4" spans="1:15" ht="31.5" x14ac:dyDescent="0.25">
      <c r="B4" s="75" t="s">
        <v>156</v>
      </c>
      <c r="D4" s="70">
        <v>335217557.68000001</v>
      </c>
      <c r="E4" s="70">
        <v>854108086.53999996</v>
      </c>
      <c r="F4" s="70">
        <v>106598374.11</v>
      </c>
      <c r="G4" s="70">
        <v>98976410.230000004</v>
      </c>
      <c r="H4" s="70"/>
    </row>
    <row r="5" spans="1:15" ht="94.5" x14ac:dyDescent="0.25">
      <c r="B5" s="75" t="s">
        <v>237</v>
      </c>
      <c r="D5" s="70"/>
      <c r="E5" s="70"/>
      <c r="F5" s="70"/>
      <c r="G5" s="70"/>
      <c r="H5" s="70">
        <v>170113847.21000001</v>
      </c>
    </row>
    <row r="6" spans="1:15" x14ac:dyDescent="0.25">
      <c r="B6" s="75" t="s">
        <v>157</v>
      </c>
      <c r="D6" s="70">
        <v>5887012.3600000003</v>
      </c>
      <c r="E6" s="70">
        <v>5337855.43</v>
      </c>
      <c r="F6" s="70">
        <v>66824328.020000003</v>
      </c>
      <c r="G6" s="70">
        <v>33460407.960000001</v>
      </c>
      <c r="H6" s="70">
        <v>18776243.370000001</v>
      </c>
      <c r="I6" s="70">
        <v>15893180.220000001</v>
      </c>
      <c r="J6" s="70">
        <v>5288889.6399999997</v>
      </c>
      <c r="K6" s="70">
        <v>4407431.2699999996</v>
      </c>
      <c r="L6" s="70">
        <v>3476168.05</v>
      </c>
      <c r="M6" s="70">
        <v>5312997.95</v>
      </c>
      <c r="N6" s="70">
        <v>1661548.44</v>
      </c>
      <c r="O6" s="70">
        <v>1637853.1</v>
      </c>
    </row>
    <row r="7" spans="1:15" x14ac:dyDescent="0.25">
      <c r="B7" s="75" t="s">
        <v>158</v>
      </c>
      <c r="D7" s="70">
        <v>21934226.539999999</v>
      </c>
      <c r="E7" s="70">
        <v>17221603.539999999</v>
      </c>
      <c r="F7" s="70">
        <v>17842852.66</v>
      </c>
      <c r="G7" s="70">
        <v>13603076.84</v>
      </c>
      <c r="H7" s="70">
        <v>17521540.16</v>
      </c>
      <c r="I7" s="70">
        <v>6826044.4400000004</v>
      </c>
      <c r="J7" s="70">
        <v>5675204.2599999998</v>
      </c>
      <c r="K7" s="70">
        <v>2364876.71</v>
      </c>
      <c r="L7" s="70">
        <v>70087373.950000003</v>
      </c>
      <c r="M7" s="70">
        <v>195130733.36000001</v>
      </c>
      <c r="N7" s="70">
        <v>15270562.52</v>
      </c>
      <c r="O7" s="70">
        <v>3486172.07</v>
      </c>
    </row>
    <row r="8" spans="1:15" x14ac:dyDescent="0.25">
      <c r="B8" s="75" t="s">
        <v>238</v>
      </c>
      <c r="D8" s="70"/>
      <c r="E8" s="70"/>
      <c r="F8" s="70"/>
      <c r="G8" s="70"/>
      <c r="H8" s="70">
        <v>85050</v>
      </c>
      <c r="I8" s="70">
        <v>220681.66</v>
      </c>
      <c r="J8" s="70">
        <v>1483598.84</v>
      </c>
      <c r="K8" s="70">
        <v>2879203.96</v>
      </c>
      <c r="L8" s="70">
        <v>4110426.09</v>
      </c>
      <c r="M8" s="70">
        <v>14262626.199999999</v>
      </c>
      <c r="N8" s="70"/>
      <c r="O8" s="70"/>
    </row>
    <row r="9" spans="1:15" ht="31.5" x14ac:dyDescent="0.25">
      <c r="B9" s="75" t="s">
        <v>160</v>
      </c>
      <c r="D9" s="70">
        <v>50524990.689999998</v>
      </c>
      <c r="E9" s="70">
        <v>125573266.78</v>
      </c>
      <c r="F9" s="70">
        <v>164073704.11000001</v>
      </c>
      <c r="G9" s="70">
        <v>153737258.11000001</v>
      </c>
      <c r="H9" s="70">
        <v>40832741.740000002</v>
      </c>
      <c r="I9" s="70">
        <v>8134382.1200000001</v>
      </c>
      <c r="J9" s="70">
        <v>7156072.3700000001</v>
      </c>
      <c r="K9" s="70">
        <v>6862045</v>
      </c>
      <c r="L9" s="70">
        <v>2820576.38</v>
      </c>
      <c r="M9" s="70">
        <v>12321795.75</v>
      </c>
      <c r="N9" s="70">
        <v>3233170.15</v>
      </c>
      <c r="O9" s="70">
        <v>2560407.11</v>
      </c>
    </row>
    <row r="10" spans="1:15" x14ac:dyDescent="0.25">
      <c r="B10" s="75" t="s">
        <v>159</v>
      </c>
      <c r="D10" s="70">
        <v>13424146.5</v>
      </c>
      <c r="E10" s="70">
        <v>6110221.5599999996</v>
      </c>
      <c r="F10" s="70">
        <v>3268474.06</v>
      </c>
      <c r="G10" s="70">
        <v>4169614.71</v>
      </c>
      <c r="H10" s="70">
        <v>4680536.3</v>
      </c>
      <c r="I10" s="70">
        <v>2985237.71</v>
      </c>
      <c r="J10" s="70">
        <v>1847490.25</v>
      </c>
      <c r="K10" s="70">
        <v>1232258.72</v>
      </c>
      <c r="L10" s="70">
        <v>1293299.8</v>
      </c>
      <c r="M10" s="70">
        <v>476771.14</v>
      </c>
      <c r="N10" s="70">
        <v>532234.68999999994</v>
      </c>
      <c r="O10" s="70">
        <v>390446.37</v>
      </c>
    </row>
    <row r="11" spans="1:15" ht="47.25" x14ac:dyDescent="0.25">
      <c r="B11" s="75" t="s">
        <v>239</v>
      </c>
      <c r="D11" s="70"/>
      <c r="E11" s="70"/>
      <c r="F11" s="70"/>
      <c r="G11" s="70"/>
      <c r="H11" s="70">
        <v>130605655.16</v>
      </c>
      <c r="I11" s="70"/>
      <c r="J11" s="70"/>
      <c r="K11" s="70"/>
      <c r="L11" s="70"/>
      <c r="M11" s="70"/>
      <c r="N11" s="70"/>
      <c r="O11" s="70"/>
    </row>
    <row r="12" spans="1:15" ht="31.5" x14ac:dyDescent="0.25">
      <c r="B12" s="75" t="s">
        <v>161</v>
      </c>
      <c r="D12" s="70">
        <v>148641404.47</v>
      </c>
      <c r="E12" s="70">
        <v>127570975.95999999</v>
      </c>
      <c r="F12" s="70">
        <v>891152889.92999995</v>
      </c>
      <c r="G12" s="70">
        <v>541736065.99000001</v>
      </c>
      <c r="H12" s="70">
        <v>451379164.77999997</v>
      </c>
      <c r="I12" s="70">
        <v>221994443.75</v>
      </c>
      <c r="J12" s="70">
        <v>11185289.220000001</v>
      </c>
      <c r="K12" s="70">
        <v>250000000</v>
      </c>
      <c r="L12" s="70"/>
      <c r="M12" s="70"/>
      <c r="N12" s="70"/>
      <c r="O12" s="70"/>
    </row>
    <row r="13" spans="1:15" ht="31.5" x14ac:dyDescent="0.25">
      <c r="A13" s="75" t="s">
        <v>162</v>
      </c>
      <c r="D13" s="70">
        <v>1913405592.22</v>
      </c>
      <c r="E13" s="70">
        <v>2921046831.6799998</v>
      </c>
      <c r="F13" s="70">
        <v>2799708975.3600001</v>
      </c>
      <c r="G13" s="70">
        <v>2305840314.1399999</v>
      </c>
      <c r="H13" s="70">
        <v>1839006487.3</v>
      </c>
      <c r="I13" s="70">
        <v>1738800158.3</v>
      </c>
      <c r="J13" s="70">
        <v>1053106029.02</v>
      </c>
      <c r="K13" s="70">
        <v>1172848803.53</v>
      </c>
      <c r="L13" s="70">
        <v>1505841289</v>
      </c>
      <c r="M13" s="70">
        <v>1994842348.0699999</v>
      </c>
      <c r="N13" s="70">
        <v>2371115239.8400002</v>
      </c>
      <c r="O13" s="70">
        <v>94742804.569999993</v>
      </c>
    </row>
    <row r="14" spans="1:15" s="78" customFormat="1" ht="31.5" x14ac:dyDescent="0.25">
      <c r="A14" s="77" t="s">
        <v>163</v>
      </c>
      <c r="B14" s="77"/>
      <c r="C14" s="77"/>
      <c r="D14" s="79"/>
      <c r="E14" s="79"/>
      <c r="F14" s="79"/>
      <c r="G14" s="79"/>
    </row>
    <row r="15" spans="1:15" s="73" customFormat="1" ht="31.5" x14ac:dyDescent="0.25">
      <c r="A15" s="76"/>
      <c r="B15" s="76" t="s">
        <v>225</v>
      </c>
      <c r="C15" s="76"/>
      <c r="D15" s="80"/>
      <c r="E15" s="80"/>
      <c r="F15" s="80">
        <v>284538031.12</v>
      </c>
      <c r="G15" s="80">
        <v>290468609.11000001</v>
      </c>
      <c r="H15" s="80">
        <v>193675872.69</v>
      </c>
      <c r="I15" s="80">
        <v>129222198.59</v>
      </c>
    </row>
    <row r="16" spans="1:15" ht="31.5" x14ac:dyDescent="0.25">
      <c r="B16" s="75" t="s">
        <v>226</v>
      </c>
      <c r="D16" s="70">
        <v>1534539625.1099999</v>
      </c>
      <c r="E16" s="70">
        <v>3468596165.0799999</v>
      </c>
      <c r="F16" s="70">
        <v>1055416698.6</v>
      </c>
      <c r="G16" s="70">
        <v>34201481.009999998</v>
      </c>
      <c r="H16" s="70"/>
      <c r="I16" s="70"/>
      <c r="J16" s="70">
        <v>125877479.40000001</v>
      </c>
      <c r="K16" s="70"/>
      <c r="L16" s="70"/>
      <c r="M16" s="70"/>
      <c r="N16" s="70"/>
      <c r="O16" s="70"/>
    </row>
    <row r="17" spans="1:15" ht="31.5" x14ac:dyDescent="0.25">
      <c r="B17" s="75" t="s">
        <v>164</v>
      </c>
      <c r="D17" s="70">
        <v>224266596.74000001</v>
      </c>
      <c r="E17" s="70">
        <v>300959931.63999999</v>
      </c>
      <c r="F17" s="70"/>
      <c r="G17" s="70"/>
    </row>
    <row r="18" spans="1:15" x14ac:dyDescent="0.25">
      <c r="B18" s="75" t="s">
        <v>165</v>
      </c>
      <c r="D18" s="70">
        <v>2508754929.1599998</v>
      </c>
      <c r="E18" s="70">
        <v>2311251277.8899999</v>
      </c>
      <c r="F18" s="70">
        <v>2139367402.24</v>
      </c>
      <c r="G18" s="70">
        <v>1688749563.8299999</v>
      </c>
      <c r="H18" s="70">
        <v>1793039645.75</v>
      </c>
      <c r="I18" s="70">
        <v>1759072395.1600001</v>
      </c>
      <c r="J18" s="70">
        <v>1650993091.5799999</v>
      </c>
      <c r="K18" s="70">
        <v>1056330769.9400001</v>
      </c>
      <c r="L18" s="70">
        <v>830003211.74000001</v>
      </c>
      <c r="M18" s="70">
        <v>528145377.62</v>
      </c>
      <c r="N18" s="70">
        <v>348457305.42000002</v>
      </c>
      <c r="O18" s="70">
        <v>353406414.44</v>
      </c>
    </row>
    <row r="19" spans="1:15" x14ac:dyDescent="0.25">
      <c r="B19" s="75" t="s">
        <v>166</v>
      </c>
      <c r="D19" s="70">
        <v>771871563.73000002</v>
      </c>
      <c r="E19" s="70">
        <v>370000233.10000002</v>
      </c>
      <c r="F19" s="70">
        <v>146357104.78999999</v>
      </c>
      <c r="G19" s="70">
        <v>230446124.68000001</v>
      </c>
      <c r="H19" s="70">
        <v>117964209.23999999</v>
      </c>
      <c r="I19" s="70">
        <v>105676989.59999999</v>
      </c>
      <c r="J19" s="70">
        <v>221699249.91</v>
      </c>
      <c r="K19" s="70">
        <v>446955480.38</v>
      </c>
      <c r="L19" s="70">
        <v>174098095.31999999</v>
      </c>
      <c r="M19" s="70">
        <v>127419177</v>
      </c>
      <c r="N19" s="70">
        <v>4171567</v>
      </c>
      <c r="O19" s="70">
        <v>4423240</v>
      </c>
    </row>
    <row r="20" spans="1:15" x14ac:dyDescent="0.25">
      <c r="B20" s="75" t="s">
        <v>167</v>
      </c>
      <c r="D20" s="70">
        <v>1880031922.5599999</v>
      </c>
      <c r="E20" s="70">
        <v>1498490129.8199999</v>
      </c>
      <c r="F20" s="70">
        <v>1397373820.46</v>
      </c>
      <c r="G20" s="70">
        <v>1144808784.0899999</v>
      </c>
      <c r="H20" s="70">
        <v>980374418.83000004</v>
      </c>
      <c r="I20" s="70">
        <v>699468871.88</v>
      </c>
      <c r="J20" s="70">
        <v>729309004.33000004</v>
      </c>
      <c r="K20" s="70">
        <v>667705516.30999994</v>
      </c>
      <c r="L20" s="70">
        <v>683505765.87</v>
      </c>
      <c r="M20" s="70">
        <v>387557161.30000001</v>
      </c>
      <c r="N20" s="70">
        <v>250529572.52000001</v>
      </c>
      <c r="O20" s="70">
        <v>257437085.59999999</v>
      </c>
    </row>
    <row r="21" spans="1:15" x14ac:dyDescent="0.25">
      <c r="B21" s="75" t="s">
        <v>168</v>
      </c>
      <c r="D21" s="70">
        <v>11655794.869999999</v>
      </c>
      <c r="E21" s="70">
        <v>28078665.690000001</v>
      </c>
      <c r="F21" s="70">
        <v>2786902188.6300001</v>
      </c>
      <c r="G21" s="70">
        <v>2786902188.6300001</v>
      </c>
      <c r="H21" s="70">
        <v>2416688201.73</v>
      </c>
      <c r="I21" s="70">
        <v>2416688201.73</v>
      </c>
      <c r="J21" s="70">
        <v>1136161.06</v>
      </c>
      <c r="K21" s="70"/>
      <c r="L21" s="70"/>
      <c r="O21" s="70"/>
    </row>
    <row r="22" spans="1:15" ht="31.5" x14ac:dyDescent="0.25">
      <c r="B22" s="75" t="s">
        <v>169</v>
      </c>
      <c r="D22" s="70">
        <v>323741176.88999999</v>
      </c>
      <c r="E22" s="70">
        <v>112440627.02</v>
      </c>
      <c r="F22" s="70">
        <v>109384480.81</v>
      </c>
      <c r="G22" s="70">
        <v>66919716.380000003</v>
      </c>
      <c r="H22" s="70">
        <v>79298932.219999999</v>
      </c>
      <c r="I22" s="70">
        <v>62320705.619999997</v>
      </c>
      <c r="J22" s="70">
        <v>55922144.609999999</v>
      </c>
      <c r="K22" s="70">
        <v>16723572.59</v>
      </c>
      <c r="L22" s="70">
        <v>4085376.31</v>
      </c>
      <c r="M22" s="70">
        <v>3232325.6</v>
      </c>
    </row>
    <row r="23" spans="1:15" ht="31.5" x14ac:dyDescent="0.25">
      <c r="B23" s="75" t="s">
        <v>170</v>
      </c>
      <c r="D23" s="70">
        <v>18485803.52</v>
      </c>
      <c r="E23" s="70">
        <v>9148452.3900000006</v>
      </c>
      <c r="F23" s="70">
        <v>10054066.619999999</v>
      </c>
      <c r="G23" s="70">
        <v>3911711.42</v>
      </c>
      <c r="H23" s="70">
        <v>2463325.46</v>
      </c>
      <c r="I23" s="70">
        <v>2536032.61</v>
      </c>
      <c r="J23" s="70">
        <v>2383910.48</v>
      </c>
      <c r="K23" s="70">
        <v>3706937.68</v>
      </c>
      <c r="L23" s="70">
        <v>1296507.72</v>
      </c>
      <c r="M23" s="70">
        <v>324771.75</v>
      </c>
      <c r="N23" s="70">
        <v>160770.93</v>
      </c>
      <c r="O23" s="70">
        <v>145543.73000000001</v>
      </c>
    </row>
    <row r="24" spans="1:15" ht="31.5" x14ac:dyDescent="0.25">
      <c r="B24" s="75" t="s">
        <v>171</v>
      </c>
      <c r="D24" s="70">
        <v>8589826.2599999998</v>
      </c>
      <c r="E24" s="70">
        <v>21064619.27</v>
      </c>
      <c r="F24" s="70">
        <v>88057689.989999995</v>
      </c>
      <c r="G24" s="70">
        <v>202432211.88</v>
      </c>
      <c r="H24" s="70">
        <v>144825934.72999999</v>
      </c>
      <c r="I24" s="70">
        <v>16692044.4</v>
      </c>
      <c r="J24" s="70">
        <v>1926386</v>
      </c>
      <c r="K24" s="70">
        <v>91545192.349999994</v>
      </c>
    </row>
    <row r="25" spans="1:15" ht="31.5" x14ac:dyDescent="0.25">
      <c r="A25" s="75" t="s">
        <v>228</v>
      </c>
      <c r="D25" s="70">
        <v>7281937238.8400002</v>
      </c>
      <c r="E25" s="70">
        <v>8120030101.8999996</v>
      </c>
      <c r="F25" s="70">
        <v>8017451483.2600002</v>
      </c>
      <c r="G25" s="70">
        <v>6448840391.0299997</v>
      </c>
      <c r="H25" s="70">
        <v>5728330540.6499996</v>
      </c>
      <c r="I25" s="70">
        <v>5248227439.5900002</v>
      </c>
      <c r="J25" s="70">
        <v>2789247427.3699999</v>
      </c>
      <c r="K25" s="70">
        <v>2282967469.25</v>
      </c>
      <c r="L25" s="70">
        <v>1692988956.96</v>
      </c>
      <c r="M25" s="70">
        <v>1046678813.27</v>
      </c>
      <c r="N25" s="70">
        <v>603319215.87</v>
      </c>
      <c r="O25" s="70">
        <v>615412283.76999998</v>
      </c>
    </row>
    <row r="26" spans="1:15" x14ac:dyDescent="0.25">
      <c r="A26" s="75" t="s">
        <v>229</v>
      </c>
      <c r="D26" s="70">
        <v>9195342831.0599995</v>
      </c>
      <c r="E26" s="70">
        <v>11041076933.58</v>
      </c>
      <c r="F26" s="70">
        <v>10817160458.620001</v>
      </c>
      <c r="G26" s="70">
        <v>8754680705.1700001</v>
      </c>
      <c r="H26" s="70">
        <v>7567337027.9499998</v>
      </c>
      <c r="I26" s="70">
        <v>6987027597.8900003</v>
      </c>
      <c r="J26" s="70">
        <v>3842353456.3899999</v>
      </c>
      <c r="K26" s="70">
        <v>3455816272.7800002</v>
      </c>
      <c r="L26" s="70">
        <v>3198830245.96</v>
      </c>
      <c r="M26" s="70">
        <v>3041521161.3400002</v>
      </c>
      <c r="N26" s="70">
        <v>2974434455.71</v>
      </c>
      <c r="O26" s="70">
        <v>710155088.34000003</v>
      </c>
    </row>
    <row r="27" spans="1:15" s="78" customFormat="1" ht="31.5" x14ac:dyDescent="0.25">
      <c r="A27" s="77" t="s">
        <v>227</v>
      </c>
      <c r="B27" s="77"/>
      <c r="C27" s="77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1:15" s="73" customFormat="1" x14ac:dyDescent="0.25">
      <c r="A28" s="76"/>
      <c r="B28" s="76" t="s">
        <v>244</v>
      </c>
      <c r="C28" s="76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>
        <v>20000000</v>
      </c>
      <c r="O28" s="80"/>
    </row>
    <row r="29" spans="1:15" x14ac:dyDescent="0.25">
      <c r="B29" s="75" t="s">
        <v>172</v>
      </c>
      <c r="D29" s="70">
        <v>372476464.69</v>
      </c>
      <c r="E29" s="70">
        <v>300656879.62</v>
      </c>
      <c r="F29" s="70">
        <v>317623879.58999997</v>
      </c>
      <c r="G29" s="70">
        <v>178615508.63</v>
      </c>
      <c r="H29" s="70">
        <v>210532665.58000001</v>
      </c>
      <c r="I29" s="70">
        <v>187859706.77000001</v>
      </c>
      <c r="J29" s="70">
        <v>255973180.87</v>
      </c>
      <c r="K29" s="70">
        <v>178013307.09</v>
      </c>
      <c r="L29" s="70">
        <v>143442855.08000001</v>
      </c>
      <c r="M29" s="70">
        <v>71232530.319999993</v>
      </c>
      <c r="N29" s="70">
        <v>33827035.409999996</v>
      </c>
      <c r="O29" s="70">
        <v>19717332.219999999</v>
      </c>
    </row>
    <row r="30" spans="1:15" x14ac:dyDescent="0.25">
      <c r="B30" s="75" t="s">
        <v>173</v>
      </c>
      <c r="D30" s="70">
        <v>12888689.050000001</v>
      </c>
      <c r="E30" s="70">
        <v>351733456.27999997</v>
      </c>
      <c r="F30" s="70">
        <v>498976155.56</v>
      </c>
      <c r="G30" s="70">
        <v>531663534.79000002</v>
      </c>
      <c r="H30" s="70">
        <v>81847805.989999995</v>
      </c>
      <c r="I30" s="70">
        <v>31812823.260000002</v>
      </c>
      <c r="J30" s="70">
        <v>14101803.27</v>
      </c>
      <c r="K30" s="70">
        <v>8108222.5899999999</v>
      </c>
      <c r="L30" s="70">
        <v>10692319.630000001</v>
      </c>
      <c r="M30" s="70">
        <v>6504764.9199999999</v>
      </c>
      <c r="N30" s="70">
        <v>4260596.45</v>
      </c>
      <c r="O30" s="70">
        <v>2806596.4</v>
      </c>
    </row>
    <row r="31" spans="1:15" x14ac:dyDescent="0.25">
      <c r="B31" s="75" t="s">
        <v>174</v>
      </c>
      <c r="D31" s="70">
        <v>188550237.52000001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</row>
    <row r="32" spans="1:15" ht="31.5" x14ac:dyDescent="0.25">
      <c r="B32" s="75" t="s">
        <v>175</v>
      </c>
      <c r="D32" s="70">
        <v>18817804.739999998</v>
      </c>
      <c r="E32" s="70">
        <v>26737888.43</v>
      </c>
      <c r="F32" s="70">
        <v>26400426.91</v>
      </c>
      <c r="G32" s="70">
        <v>26850756.739999998</v>
      </c>
      <c r="H32" s="70">
        <v>28578711.640000001</v>
      </c>
      <c r="I32" s="70">
        <v>13169593.949999999</v>
      </c>
      <c r="J32" s="70">
        <v>4480796.47</v>
      </c>
      <c r="K32" s="70">
        <v>4391860.13</v>
      </c>
      <c r="L32" s="70">
        <v>3504907.34</v>
      </c>
      <c r="M32" s="70">
        <v>2979632.65</v>
      </c>
      <c r="N32" s="70">
        <v>2534741.92</v>
      </c>
      <c r="O32" s="70">
        <v>1777076.89</v>
      </c>
    </row>
    <row r="33" spans="1:15" x14ac:dyDescent="0.25">
      <c r="B33" s="75" t="s">
        <v>176</v>
      </c>
      <c r="D33" s="70">
        <v>19869808.489999998</v>
      </c>
      <c r="E33" s="70">
        <v>22614171.640000001</v>
      </c>
      <c r="F33" s="70">
        <v>66700640.920000002</v>
      </c>
      <c r="G33" s="70">
        <v>62414070.289999999</v>
      </c>
      <c r="H33" s="70">
        <v>54190062.5</v>
      </c>
      <c r="I33" s="70">
        <v>45083705.130000003</v>
      </c>
      <c r="J33" s="70">
        <v>32621267.969999999</v>
      </c>
      <c r="K33" s="70">
        <v>31509233.350000001</v>
      </c>
      <c r="L33" s="70">
        <v>16474965.59</v>
      </c>
      <c r="M33" s="70">
        <v>14561019.289999999</v>
      </c>
      <c r="N33" s="70">
        <v>8427623.1799999997</v>
      </c>
      <c r="O33" s="70">
        <v>6186620.4900000002</v>
      </c>
    </row>
    <row r="34" spans="1:15" x14ac:dyDescent="0.25">
      <c r="B34" s="75" t="s">
        <v>240</v>
      </c>
      <c r="D34" s="70"/>
      <c r="E34" s="70"/>
      <c r="F34" s="70"/>
      <c r="G34" s="70"/>
      <c r="H34" s="70">
        <v>522500</v>
      </c>
      <c r="I34" s="70">
        <v>787500</v>
      </c>
      <c r="J34" s="70"/>
      <c r="K34" s="70">
        <v>82133.73</v>
      </c>
      <c r="L34" s="70">
        <v>164267.03</v>
      </c>
      <c r="M34" s="70">
        <v>506694.25</v>
      </c>
      <c r="N34" s="70">
        <v>567249.11</v>
      </c>
      <c r="O34" s="70">
        <v>648200</v>
      </c>
    </row>
    <row r="35" spans="1:15" ht="31.5" x14ac:dyDescent="0.25">
      <c r="B35" s="75" t="s">
        <v>177</v>
      </c>
      <c r="D35" s="70">
        <v>65149971.789999999</v>
      </c>
      <c r="E35" s="70">
        <v>63299348.020000003</v>
      </c>
      <c r="F35" s="70">
        <v>207692868.50999999</v>
      </c>
      <c r="G35" s="70">
        <v>259365274.62</v>
      </c>
      <c r="H35" s="70">
        <v>225255165.63999999</v>
      </c>
      <c r="I35" s="70">
        <v>383167235.08999997</v>
      </c>
      <c r="J35" s="70">
        <v>15580650.060000001</v>
      </c>
      <c r="K35" s="70">
        <v>15969930.52</v>
      </c>
      <c r="L35" s="70">
        <v>16928054.559999999</v>
      </c>
      <c r="M35" s="70">
        <v>7302037.3700000001</v>
      </c>
      <c r="N35" s="70">
        <v>5558439.6799999997</v>
      </c>
      <c r="O35" s="70">
        <v>8176563.9800000004</v>
      </c>
    </row>
    <row r="36" spans="1:15" ht="47.25" x14ac:dyDescent="0.25">
      <c r="B36" s="75" t="s">
        <v>178</v>
      </c>
      <c r="D36" s="70">
        <v>12426708.33</v>
      </c>
      <c r="E36" s="70">
        <v>1630056078.29</v>
      </c>
      <c r="F36" s="70"/>
      <c r="G36" s="70">
        <v>200000000</v>
      </c>
      <c r="H36" s="70"/>
      <c r="I36" s="70"/>
      <c r="J36" s="70"/>
      <c r="K36" s="70">
        <v>30000000</v>
      </c>
      <c r="L36" s="70">
        <v>40000000</v>
      </c>
      <c r="M36" s="70">
        <v>159500000</v>
      </c>
      <c r="N36" s="70">
        <v>130000000</v>
      </c>
      <c r="O36" s="70">
        <v>38000000</v>
      </c>
    </row>
    <row r="37" spans="1:15" ht="31.5" x14ac:dyDescent="0.25">
      <c r="B37" s="75" t="s">
        <v>179</v>
      </c>
      <c r="D37" s="70">
        <v>3513902.08</v>
      </c>
      <c r="E37" s="70">
        <v>265152567.09</v>
      </c>
      <c r="F37" s="70"/>
      <c r="G37" s="70"/>
      <c r="H37" s="70"/>
      <c r="I37" s="70"/>
      <c r="J37" s="70"/>
      <c r="K37" s="70"/>
      <c r="L37" s="70">
        <v>5133333.0599999996</v>
      </c>
      <c r="M37" s="70">
        <v>4476190.3</v>
      </c>
      <c r="N37" s="70">
        <v>4619047.54</v>
      </c>
      <c r="O37" s="70">
        <v>4761904.78</v>
      </c>
    </row>
    <row r="38" spans="1:15" ht="31.5" x14ac:dyDescent="0.25">
      <c r="A38" s="75" t="s">
        <v>230</v>
      </c>
      <c r="D38" s="70">
        <v>693693586.69000006</v>
      </c>
      <c r="E38" s="70">
        <v>765041743.99000001</v>
      </c>
      <c r="F38" s="70">
        <v>1117393971.49</v>
      </c>
      <c r="G38" s="70">
        <v>1258909145.0699999</v>
      </c>
      <c r="H38" s="70">
        <v>600926911.35000002</v>
      </c>
      <c r="I38" s="70">
        <v>661880564.20000005</v>
      </c>
      <c r="J38" s="70">
        <v>322757698.63999999</v>
      </c>
      <c r="K38" s="70">
        <v>268074687.41</v>
      </c>
      <c r="L38" s="70">
        <v>236340702.28999999</v>
      </c>
      <c r="M38" s="70">
        <v>267062869.09999999</v>
      </c>
      <c r="N38" s="70">
        <v>209794733.28999999</v>
      </c>
      <c r="O38" s="70">
        <v>82074294.760000005</v>
      </c>
    </row>
    <row r="39" spans="1:15" s="78" customFormat="1" ht="31.5" x14ac:dyDescent="0.25">
      <c r="A39" s="77" t="s">
        <v>180</v>
      </c>
      <c r="B39" s="77"/>
      <c r="C39" s="77"/>
      <c r="D39" s="79"/>
      <c r="E39" s="79"/>
      <c r="F39" s="79"/>
      <c r="G39" s="79"/>
    </row>
    <row r="40" spans="1:15" x14ac:dyDescent="0.25">
      <c r="B40" s="75" t="s">
        <v>181</v>
      </c>
      <c r="D40" s="70">
        <v>282000000</v>
      </c>
      <c r="E40" s="70"/>
      <c r="F40" s="70"/>
      <c r="G40" s="70"/>
      <c r="H40" s="70">
        <v>400000000</v>
      </c>
      <c r="I40" s="70">
        <v>600000000</v>
      </c>
      <c r="J40" s="70"/>
      <c r="K40" s="70"/>
      <c r="L40" s="70">
        <v>30000000</v>
      </c>
      <c r="M40" s="70">
        <v>70000000</v>
      </c>
      <c r="N40" s="70">
        <v>232000000</v>
      </c>
      <c r="O40" s="70">
        <v>362000000</v>
      </c>
    </row>
    <row r="41" spans="1:15" x14ac:dyDescent="0.25">
      <c r="B41" s="75" t="s">
        <v>231</v>
      </c>
      <c r="D41" s="70"/>
      <c r="E41" s="70"/>
      <c r="F41" s="70"/>
      <c r="G41" s="70">
        <v>7668772.0899999999</v>
      </c>
      <c r="H41" s="70"/>
      <c r="I41" s="70"/>
      <c r="J41" s="70"/>
      <c r="K41" s="70"/>
      <c r="L41" s="70"/>
      <c r="M41" s="70"/>
      <c r="N41" s="70"/>
      <c r="O41" s="70"/>
    </row>
    <row r="42" spans="1:15" x14ac:dyDescent="0.25">
      <c r="B42" s="75" t="s">
        <v>232</v>
      </c>
      <c r="D42" s="70">
        <v>387619860.41000003</v>
      </c>
      <c r="E42" s="70">
        <v>382872318.89999998</v>
      </c>
      <c r="F42" s="70">
        <v>11338274.26</v>
      </c>
      <c r="G42" s="70">
        <v>10323745.970000001</v>
      </c>
      <c r="H42" s="70">
        <v>4961904.0999999996</v>
      </c>
      <c r="I42" s="70">
        <v>11092792.59</v>
      </c>
      <c r="J42" s="70">
        <v>5247618.58</v>
      </c>
      <c r="K42" s="70">
        <v>5390475.8200000003</v>
      </c>
      <c r="L42" s="70"/>
      <c r="O42" s="70"/>
    </row>
    <row r="43" spans="1:15" ht="31.5" x14ac:dyDescent="0.25">
      <c r="B43" s="75" t="s">
        <v>233</v>
      </c>
      <c r="D43" s="70">
        <v>96769220.180000007</v>
      </c>
      <c r="E43" s="70">
        <v>10771548.18</v>
      </c>
      <c r="F43" s="70"/>
      <c r="G43" s="70"/>
      <c r="H43" s="70"/>
    </row>
    <row r="44" spans="1:15" ht="31.5" x14ac:dyDescent="0.25">
      <c r="A44" s="75" t="s">
        <v>182</v>
      </c>
      <c r="D44" s="70">
        <v>766389080.59000003</v>
      </c>
      <c r="E44" s="70">
        <v>393643867.07999998</v>
      </c>
      <c r="F44" s="70">
        <v>11338274.26</v>
      </c>
      <c r="G44" s="70">
        <v>17992518.059999999</v>
      </c>
      <c r="H44" s="70">
        <v>404961904.10000002</v>
      </c>
      <c r="I44" s="70">
        <v>611092792.59000003</v>
      </c>
      <c r="J44" s="70">
        <v>5247618.58</v>
      </c>
      <c r="K44" s="70">
        <v>5390475.8200000003</v>
      </c>
      <c r="L44" s="70">
        <v>30000000</v>
      </c>
      <c r="M44" s="70">
        <v>70000000</v>
      </c>
      <c r="N44" s="70">
        <v>232000000</v>
      </c>
      <c r="O44" s="70">
        <v>362000000</v>
      </c>
    </row>
    <row r="45" spans="1:15" x14ac:dyDescent="0.25">
      <c r="A45" s="75" t="s">
        <v>183</v>
      </c>
      <c r="D45" s="70">
        <v>1460082667.28</v>
      </c>
      <c r="E45" s="70">
        <v>1158685611.0699999</v>
      </c>
      <c r="F45" s="70">
        <v>1128732245.75</v>
      </c>
      <c r="G45" s="70">
        <v>1276901663.1300001</v>
      </c>
      <c r="H45" s="70">
        <v>1005888815.45</v>
      </c>
      <c r="I45" s="70">
        <v>1272973356.79</v>
      </c>
      <c r="J45" s="70">
        <v>328005317.22000003</v>
      </c>
      <c r="K45" s="70">
        <v>273465163.23000002</v>
      </c>
      <c r="L45" s="70">
        <v>266340702.28999999</v>
      </c>
      <c r="M45" s="70">
        <v>337062869.10000002</v>
      </c>
      <c r="N45" s="70">
        <v>441794733.29000002</v>
      </c>
      <c r="O45" s="70">
        <v>444074294.75999999</v>
      </c>
    </row>
    <row r="46" spans="1:15" s="78" customFormat="1" ht="31.5" x14ac:dyDescent="0.25">
      <c r="A46" s="77" t="s">
        <v>184</v>
      </c>
      <c r="B46" s="77"/>
      <c r="C46" s="77"/>
      <c r="D46" s="79"/>
      <c r="E46" s="79"/>
    </row>
    <row r="47" spans="1:15" x14ac:dyDescent="0.25">
      <c r="B47" s="75" t="s">
        <v>185</v>
      </c>
      <c r="D47" s="70">
        <v>2614694040</v>
      </c>
      <c r="E47" s="70">
        <v>1452607800</v>
      </c>
      <c r="F47" s="70">
        <v>1452607800</v>
      </c>
      <c r="G47" s="70">
        <v>1452607800</v>
      </c>
      <c r="H47" s="70">
        <v>1452613577</v>
      </c>
      <c r="I47" s="70">
        <v>1452680502</v>
      </c>
      <c r="J47" s="70">
        <v>557775000</v>
      </c>
      <c r="K47" s="70">
        <v>557815000</v>
      </c>
      <c r="L47" s="70">
        <v>554400000</v>
      </c>
      <c r="M47" s="70">
        <v>369600000</v>
      </c>
      <c r="N47" s="70">
        <v>168000000</v>
      </c>
      <c r="O47" s="70">
        <v>126000000</v>
      </c>
    </row>
    <row r="48" spans="1:15" x14ac:dyDescent="0.25">
      <c r="B48" s="75" t="s">
        <v>186</v>
      </c>
      <c r="D48" s="70">
        <v>1211364214.8599999</v>
      </c>
      <c r="E48" s="70">
        <v>2476312069.0900002</v>
      </c>
      <c r="F48" s="70">
        <v>2476312069.0900002</v>
      </c>
      <c r="G48" s="70">
        <v>2476312069.0900002</v>
      </c>
      <c r="H48" s="70">
        <v>2476175483.5799999</v>
      </c>
      <c r="I48" s="70">
        <v>2475537852.7399998</v>
      </c>
      <c r="J48" s="70">
        <v>1748111902.0899999</v>
      </c>
      <c r="K48" s="70">
        <v>1745194402.0899999</v>
      </c>
      <c r="L48" s="70">
        <v>1724349852.0899999</v>
      </c>
      <c r="M48" s="70">
        <v>1909149852.0899999</v>
      </c>
      <c r="N48" s="70">
        <v>2110749852.0899999</v>
      </c>
      <c r="O48" s="70">
        <v>24328852.09</v>
      </c>
    </row>
    <row r="49" spans="1:15" ht="31.5" x14ac:dyDescent="0.25">
      <c r="B49" s="75" t="s">
        <v>241</v>
      </c>
      <c r="D49" s="70"/>
      <c r="E49" s="70"/>
      <c r="F49" s="70"/>
      <c r="G49" s="70"/>
      <c r="H49" s="70">
        <v>4059719.25</v>
      </c>
      <c r="I49" s="70">
        <v>11544792</v>
      </c>
      <c r="J49" s="70">
        <v>464304</v>
      </c>
    </row>
    <row r="50" spans="1:15" ht="31.5" x14ac:dyDescent="0.25">
      <c r="B50" s="75" t="s">
        <v>242</v>
      </c>
      <c r="D50" s="70">
        <v>-63325115.75</v>
      </c>
      <c r="E50" s="70">
        <v>-8681151.5899999999</v>
      </c>
      <c r="F50" s="70">
        <v>20405965.329999998</v>
      </c>
      <c r="G50" s="70">
        <v>-7448262.71</v>
      </c>
      <c r="H50" s="70">
        <v>-7080414.2000000002</v>
      </c>
    </row>
    <row r="51" spans="1:15" x14ac:dyDescent="0.25">
      <c r="B51" s="75" t="s">
        <v>187</v>
      </c>
      <c r="D51" s="70">
        <v>517673268.35000002</v>
      </c>
      <c r="E51" s="70">
        <v>517673268.35000002</v>
      </c>
      <c r="F51" s="70">
        <v>351171582.73000002</v>
      </c>
      <c r="G51" s="70">
        <v>256799377.74000001</v>
      </c>
      <c r="H51" s="70">
        <v>197539000.25999999</v>
      </c>
      <c r="I51" s="70">
        <v>160928221.41</v>
      </c>
      <c r="J51" s="70">
        <v>124458149.63</v>
      </c>
      <c r="K51" s="70">
        <v>99557973.579999998</v>
      </c>
      <c r="L51" s="70">
        <v>74491263.400000006</v>
      </c>
      <c r="M51" s="70">
        <v>49635944.340000004</v>
      </c>
      <c r="N51" s="70">
        <v>31244114.469999999</v>
      </c>
      <c r="O51" s="70">
        <v>19739193.870000001</v>
      </c>
    </row>
    <row r="52" spans="1:15" ht="31.5" x14ac:dyDescent="0.25">
      <c r="B52" s="75" t="s">
        <v>188</v>
      </c>
      <c r="D52" s="70">
        <v>3131881024.5999999</v>
      </c>
      <c r="E52" s="70">
        <v>5176157180.79</v>
      </c>
      <c r="F52" s="70">
        <v>4170577596.3400002</v>
      </c>
      <c r="G52" s="70">
        <v>3152076189.9200001</v>
      </c>
      <c r="H52" s="70">
        <v>2288985858.1700001</v>
      </c>
      <c r="I52" s="70">
        <v>1524979100.25</v>
      </c>
      <c r="J52" s="70">
        <v>1014541768.01</v>
      </c>
      <c r="K52" s="70">
        <v>734040194.26999998</v>
      </c>
      <c r="L52" s="70">
        <v>533843042.73000002</v>
      </c>
      <c r="M52" s="70">
        <v>376072495.81</v>
      </c>
      <c r="N52" s="70">
        <v>222645755.86000001</v>
      </c>
      <c r="O52" s="70">
        <v>96012747.620000005</v>
      </c>
    </row>
    <row r="53" spans="1:15" ht="63" x14ac:dyDescent="0.25">
      <c r="B53" s="75" t="s">
        <v>189</v>
      </c>
      <c r="D53" s="70">
        <v>7412287432.0600004</v>
      </c>
      <c r="E53" s="70">
        <v>9614069166.6399994</v>
      </c>
      <c r="F53" s="70">
        <v>8471075013.4899998</v>
      </c>
      <c r="G53" s="70">
        <v>7330347174.04</v>
      </c>
      <c r="H53" s="70">
        <v>6404173785.5600004</v>
      </c>
      <c r="I53" s="70">
        <v>5602580884.3999996</v>
      </c>
      <c r="J53" s="70">
        <v>3444422515.73</v>
      </c>
      <c r="K53" s="70">
        <v>3136607569.9400001</v>
      </c>
      <c r="L53" s="70">
        <v>2887084158.2199998</v>
      </c>
      <c r="M53" s="70">
        <v>2704458292.2399998</v>
      </c>
      <c r="N53" s="70">
        <v>2532639722.4200001</v>
      </c>
      <c r="O53" s="70">
        <v>266080793.58000001</v>
      </c>
    </row>
    <row r="54" spans="1:15" ht="31.5" x14ac:dyDescent="0.25">
      <c r="B54" s="75" t="s">
        <v>190</v>
      </c>
      <c r="D54" s="70">
        <v>322972731.72000003</v>
      </c>
      <c r="E54" s="70">
        <v>268322155.87</v>
      </c>
      <c r="F54" s="70">
        <v>1217353199.3800001</v>
      </c>
      <c r="G54" s="70">
        <v>147431868</v>
      </c>
      <c r="H54" s="70">
        <v>157274426.94</v>
      </c>
      <c r="I54" s="70">
        <v>111473356.7</v>
      </c>
      <c r="J54" s="70">
        <v>69925623.439999998</v>
      </c>
      <c r="K54" s="70">
        <v>45743539.609999999</v>
      </c>
      <c r="L54" s="70">
        <v>45405385.450000003</v>
      </c>
    </row>
    <row r="55" spans="1:15" ht="31.5" x14ac:dyDescent="0.25">
      <c r="A55" s="75" t="s">
        <v>191</v>
      </c>
      <c r="D55" s="70">
        <v>7735260163.7799997</v>
      </c>
      <c r="E55" s="70">
        <v>9882391322.5100002</v>
      </c>
      <c r="F55" s="70">
        <v>9688428212.8700008</v>
      </c>
      <c r="G55" s="70">
        <v>7477779042.04</v>
      </c>
      <c r="H55" s="70">
        <v>6561448212.5</v>
      </c>
      <c r="I55" s="70">
        <v>5714054241.1000004</v>
      </c>
      <c r="J55" s="70">
        <v>3514348139.1700001</v>
      </c>
      <c r="K55" s="70">
        <v>3182351109.5500002</v>
      </c>
      <c r="L55" s="70">
        <v>2932489543.6700001</v>
      </c>
      <c r="M55" s="70">
        <v>2704458292.2399998</v>
      </c>
      <c r="N55" s="70">
        <v>2532639722.4200001</v>
      </c>
      <c r="O55" s="70">
        <v>266080793.58000001</v>
      </c>
    </row>
    <row r="56" spans="1:15" ht="47.25" x14ac:dyDescent="0.25">
      <c r="A56" s="75" t="s">
        <v>192</v>
      </c>
      <c r="D56" s="70">
        <v>9195342831.0599995</v>
      </c>
      <c r="E56" s="70">
        <v>11041076933.58</v>
      </c>
      <c r="F56" s="70">
        <v>10817160458.620001</v>
      </c>
      <c r="G56" s="70">
        <v>8754680705.1700001</v>
      </c>
      <c r="H56" s="70">
        <v>7567337027.9499998</v>
      </c>
      <c r="I56" s="70">
        <v>6987027597.8900003</v>
      </c>
      <c r="J56" s="70">
        <v>3842353456.3899999</v>
      </c>
      <c r="K56" s="70">
        <v>3455816272.7800002</v>
      </c>
      <c r="L56" s="70">
        <v>3198830245.96</v>
      </c>
      <c r="M56" s="70">
        <v>3041521161.3400002</v>
      </c>
      <c r="N56" s="70">
        <v>2974434455.71</v>
      </c>
      <c r="O56" s="70">
        <v>710155088.34000003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workbookViewId="0">
      <selection activeCell="A3" sqref="A3:XFD3"/>
    </sheetView>
  </sheetViews>
  <sheetFormatPr defaultRowHeight="15.75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x14ac:dyDescent="0.25">
      <c r="B3" s="75" t="s">
        <v>102</v>
      </c>
      <c r="D3" s="70">
        <v>902586125.63</v>
      </c>
      <c r="E3" s="70">
        <v>2611753208.8600001</v>
      </c>
      <c r="F3" s="70">
        <v>3211192814.48</v>
      </c>
      <c r="G3" s="70">
        <v>3023831231.2600002</v>
      </c>
      <c r="H3" s="70">
        <v>2644228901.6500001</v>
      </c>
      <c r="I3" s="70">
        <v>1694513980</v>
      </c>
      <c r="J3" s="70">
        <v>935119130.20000005</v>
      </c>
      <c r="K3" s="70">
        <v>678715861.76999998</v>
      </c>
      <c r="L3" s="70">
        <v>586157062.79999995</v>
      </c>
      <c r="M3" s="70">
        <v>504532175.13999999</v>
      </c>
      <c r="N3" s="70">
        <v>444756661.94999999</v>
      </c>
      <c r="O3" s="70">
        <v>273295452.88999999</v>
      </c>
    </row>
    <row r="4" spans="1:15" x14ac:dyDescent="0.25">
      <c r="B4" s="75" t="s">
        <v>103</v>
      </c>
    </row>
    <row r="5" spans="1:15" x14ac:dyDescent="0.25">
      <c r="B5" s="75" t="s">
        <v>104</v>
      </c>
      <c r="H5" s="70"/>
      <c r="I5" s="70"/>
    </row>
    <row r="6" spans="1:15" ht="31.5" x14ac:dyDescent="0.25">
      <c r="A6" s="75" t="s">
        <v>142</v>
      </c>
      <c r="D6" s="70">
        <v>740982414.36000001</v>
      </c>
      <c r="E6" s="70">
        <v>1147753469.26</v>
      </c>
      <c r="F6" s="70">
        <v>1701599539.4200001</v>
      </c>
      <c r="G6" s="70">
        <v>1701002798.1800001</v>
      </c>
      <c r="H6" s="70">
        <v>1510625846.05</v>
      </c>
      <c r="I6" s="70">
        <v>871568205.96000004</v>
      </c>
      <c r="J6" s="70">
        <v>469647144.79000002</v>
      </c>
      <c r="K6" s="70">
        <v>308482004.25</v>
      </c>
      <c r="L6" s="70">
        <v>256812394.84</v>
      </c>
      <c r="M6" s="70">
        <v>223844591.09999999</v>
      </c>
      <c r="N6" s="70">
        <v>216138612.81</v>
      </c>
      <c r="O6" s="70">
        <v>157412346.33000001</v>
      </c>
    </row>
    <row r="7" spans="1:15" x14ac:dyDescent="0.25">
      <c r="A7" s="75" t="s">
        <v>144</v>
      </c>
      <c r="B7" s="75" t="s">
        <v>105</v>
      </c>
      <c r="D7" s="70">
        <v>352670473.42000002</v>
      </c>
      <c r="E7" s="70">
        <v>747189301.24000001</v>
      </c>
      <c r="F7" s="70">
        <v>1078093212.26</v>
      </c>
      <c r="G7" s="70">
        <v>1113022779.3699999</v>
      </c>
      <c r="H7" s="70">
        <v>1014187220.09</v>
      </c>
      <c r="I7" s="70">
        <v>582067363.26999998</v>
      </c>
      <c r="J7" s="70">
        <v>306886789.69</v>
      </c>
      <c r="K7" s="70">
        <v>198128917.91</v>
      </c>
      <c r="L7" s="70">
        <v>177879156.28</v>
      </c>
      <c r="M7" s="70">
        <v>122278040.84</v>
      </c>
      <c r="N7" s="70">
        <v>105488846.31999999</v>
      </c>
      <c r="O7" s="70">
        <v>82141466.530000001</v>
      </c>
    </row>
    <row r="8" spans="1:15" x14ac:dyDescent="0.25">
      <c r="B8" s="75" t="s">
        <v>106</v>
      </c>
      <c r="D8" s="70">
        <v>11933497.050000001</v>
      </c>
      <c r="E8" s="70">
        <v>36164788.450000003</v>
      </c>
      <c r="F8" s="70">
        <v>32028054.789999999</v>
      </c>
      <c r="G8" s="70">
        <v>30381624.760000002</v>
      </c>
      <c r="H8" s="70">
        <v>34262836.140000001</v>
      </c>
      <c r="I8" s="70">
        <v>48724915.409999996</v>
      </c>
      <c r="J8" s="70">
        <v>34263198.840000004</v>
      </c>
      <c r="K8" s="70">
        <v>25009427.07</v>
      </c>
      <c r="L8" s="70">
        <v>21923584.879999999</v>
      </c>
      <c r="M8" s="70">
        <v>19260611.23</v>
      </c>
      <c r="N8" s="70">
        <v>15718223.34</v>
      </c>
      <c r="O8" s="70">
        <v>9757316</v>
      </c>
    </row>
    <row r="9" spans="1:15" x14ac:dyDescent="0.25">
      <c r="B9" s="75" t="s">
        <v>107</v>
      </c>
      <c r="D9" s="70">
        <v>63649750.299999997</v>
      </c>
      <c r="E9" s="70">
        <v>145503636.63999999</v>
      </c>
      <c r="F9" s="70">
        <v>287539187.31999999</v>
      </c>
      <c r="G9" s="70">
        <v>325298838.81</v>
      </c>
      <c r="H9" s="70">
        <v>276605414.42000002</v>
      </c>
      <c r="I9" s="70">
        <v>106520269.88</v>
      </c>
      <c r="J9" s="70">
        <v>36585795.130000003</v>
      </c>
      <c r="K9" s="70">
        <v>23602001.190000001</v>
      </c>
      <c r="L9" s="70">
        <v>37941258.979999997</v>
      </c>
      <c r="M9" s="70">
        <v>41864607.770000003</v>
      </c>
      <c r="N9" s="70">
        <v>30368526.43</v>
      </c>
      <c r="O9" s="70">
        <v>22067926.09</v>
      </c>
    </row>
    <row r="10" spans="1:15" x14ac:dyDescent="0.25">
      <c r="B10" s="75" t="s">
        <v>108</v>
      </c>
      <c r="D10" s="70">
        <v>288084167.74000001</v>
      </c>
      <c r="E10" s="70">
        <v>188215121.22999999</v>
      </c>
      <c r="F10" s="70">
        <v>202558710.77000001</v>
      </c>
      <c r="G10" s="70">
        <v>158901128.09</v>
      </c>
      <c r="H10" s="70">
        <v>169132938.08000001</v>
      </c>
      <c r="I10" s="70">
        <v>132056262.72</v>
      </c>
      <c r="J10" s="70">
        <v>103069854.95999999</v>
      </c>
      <c r="K10" s="70">
        <v>75966541.950000003</v>
      </c>
      <c r="L10" s="70">
        <v>62448206.18</v>
      </c>
      <c r="M10" s="70">
        <v>49950591.689999998</v>
      </c>
      <c r="N10" s="70">
        <v>40611513.450000003</v>
      </c>
      <c r="O10" s="70">
        <v>26876761.23</v>
      </c>
    </row>
    <row r="11" spans="1:15" x14ac:dyDescent="0.25">
      <c r="B11" s="75" t="s">
        <v>109</v>
      </c>
      <c r="D11" s="70">
        <v>37487964</v>
      </c>
      <c r="E11" s="70">
        <v>48424520.539999999</v>
      </c>
      <c r="F11" s="70">
        <v>70567576.480000004</v>
      </c>
      <c r="G11" s="70">
        <v>52888750.07</v>
      </c>
    </row>
    <row r="12" spans="1:15" x14ac:dyDescent="0.25">
      <c r="B12" s="75" t="s">
        <v>110</v>
      </c>
      <c r="D12" s="70">
        <v>-12843438.15</v>
      </c>
      <c r="E12" s="70">
        <v>-17743898.84</v>
      </c>
      <c r="F12" s="70">
        <v>-1086632.03</v>
      </c>
      <c r="G12" s="70">
        <v>11550922.310000001</v>
      </c>
      <c r="H12" s="70">
        <v>13425509.83</v>
      </c>
      <c r="I12" s="70">
        <v>1195018.8700000001</v>
      </c>
      <c r="J12" s="70">
        <v>-12482381.49</v>
      </c>
      <c r="K12" s="70">
        <v>-15009309.810000001</v>
      </c>
      <c r="L12" s="70">
        <v>-13148062.949999999</v>
      </c>
      <c r="M12" s="70">
        <v>-13165263.77</v>
      </c>
      <c r="N12" s="70">
        <v>23890594.489999998</v>
      </c>
      <c r="O12" s="70">
        <v>17430889.129999999</v>
      </c>
    </row>
    <row r="13" spans="1:15" x14ac:dyDescent="0.25">
      <c r="C13" s="75" t="s">
        <v>111</v>
      </c>
      <c r="D13" s="70">
        <v>7822986.1399999997</v>
      </c>
      <c r="F13" s="70">
        <v>2755000</v>
      </c>
      <c r="G13" s="70">
        <v>11213562.5</v>
      </c>
    </row>
    <row r="14" spans="1:15" x14ac:dyDescent="0.25">
      <c r="C14" s="75" t="s">
        <v>94</v>
      </c>
      <c r="D14" s="70">
        <v>32572127.48</v>
      </c>
      <c r="E14" s="70">
        <v>22648412.210000001</v>
      </c>
      <c r="F14" s="70">
        <v>8995034.3800000008</v>
      </c>
      <c r="G14" s="70">
        <v>8246271.8499999996</v>
      </c>
    </row>
    <row r="15" spans="1:15" x14ac:dyDescent="0.25">
      <c r="B15" s="75" t="s">
        <v>151</v>
      </c>
      <c r="D15" s="70">
        <f>D9+D10+D12</f>
        <v>338890479.89000005</v>
      </c>
      <c r="E15" s="70">
        <f t="shared" ref="E15:N15" si="1">E9+E10+E12</f>
        <v>315974859.03000003</v>
      </c>
      <c r="F15" s="70">
        <f t="shared" si="1"/>
        <v>489011266.06000006</v>
      </c>
      <c r="G15" s="70">
        <f t="shared" si="1"/>
        <v>495750889.20999998</v>
      </c>
      <c r="H15" s="70">
        <f t="shared" si="1"/>
        <v>459163862.32999998</v>
      </c>
      <c r="I15" s="70">
        <f t="shared" si="1"/>
        <v>239771551.47</v>
      </c>
      <c r="J15" s="70">
        <f t="shared" si="1"/>
        <v>127173268.60000001</v>
      </c>
      <c r="K15" s="70">
        <f t="shared" si="1"/>
        <v>84559233.329999998</v>
      </c>
      <c r="L15" s="70">
        <f t="shared" si="1"/>
        <v>87241402.209999993</v>
      </c>
      <c r="M15" s="70">
        <f t="shared" si="1"/>
        <v>78649935.690000013</v>
      </c>
      <c r="N15" s="70">
        <f t="shared" si="1"/>
        <v>94870634.36999999</v>
      </c>
      <c r="O15" s="70">
        <f>O9+O10+O12</f>
        <v>66375576.450000003</v>
      </c>
    </row>
    <row r="16" spans="1:15" x14ac:dyDescent="0.25">
      <c r="A16" s="75" t="s">
        <v>143</v>
      </c>
      <c r="B16" s="75" t="s">
        <v>112</v>
      </c>
      <c r="D16" s="70">
        <v>34572160.229999997</v>
      </c>
      <c r="E16" s="70">
        <v>4285224.1900000004</v>
      </c>
      <c r="F16" s="70">
        <v>1591601.01</v>
      </c>
      <c r="G16" s="70">
        <v>4536456.47</v>
      </c>
    </row>
    <row r="17" spans="1:15" x14ac:dyDescent="0.25">
      <c r="B17" s="75" t="s">
        <v>113</v>
      </c>
      <c r="D17" s="70">
        <v>14014892.300000001</v>
      </c>
      <c r="E17" s="70">
        <v>273166244.68000001</v>
      </c>
      <c r="F17" s="70">
        <v>63280814.82</v>
      </c>
      <c r="G17" s="70">
        <v>17702729.920000002</v>
      </c>
      <c r="H17" s="70">
        <v>14451892.1</v>
      </c>
      <c r="I17" s="70">
        <v>4880868.04</v>
      </c>
      <c r="J17" s="70">
        <v>6516609.4299999997</v>
      </c>
      <c r="K17" s="70">
        <v>10656664.34</v>
      </c>
      <c r="L17" s="70">
        <v>1100350.93</v>
      </c>
      <c r="O17" s="70">
        <v>666438.85</v>
      </c>
    </row>
    <row r="18" spans="1:15" ht="47.25" x14ac:dyDescent="0.25">
      <c r="C18" s="75" t="s">
        <v>146</v>
      </c>
      <c r="D18" s="70">
        <v>-5356968.22</v>
      </c>
      <c r="E18" s="70">
        <v>72523327.469999999</v>
      </c>
      <c r="F18" s="70">
        <v>3255217.59</v>
      </c>
      <c r="G18" s="70">
        <v>4201481.01</v>
      </c>
      <c r="H18" s="70">
        <v>1569429.26</v>
      </c>
      <c r="I18" s="70">
        <v>3144719.19</v>
      </c>
      <c r="J18" s="70">
        <v>3377479.69</v>
      </c>
    </row>
    <row r="19" spans="1:15" x14ac:dyDescent="0.25">
      <c r="B19" s="75" t="s">
        <v>114</v>
      </c>
      <c r="D19" s="70">
        <v>247726.31</v>
      </c>
      <c r="E19" s="70">
        <v>991859.52</v>
      </c>
      <c r="F19" s="70">
        <v>9660319.4000000004</v>
      </c>
      <c r="G19" s="70">
        <v>1110054.4099999999</v>
      </c>
      <c r="H19" s="70">
        <v>113847.21</v>
      </c>
    </row>
    <row r="20" spans="1:15" x14ac:dyDescent="0.25">
      <c r="B20" s="75" t="s">
        <v>98</v>
      </c>
      <c r="D20" s="70">
        <v>-32739976.91</v>
      </c>
      <c r="E20" s="70">
        <v>1325984.52</v>
      </c>
    </row>
    <row r="21" spans="1:15" x14ac:dyDescent="0.25">
      <c r="B21" s="75" t="s">
        <v>115</v>
      </c>
      <c r="D21" s="70">
        <v>-1877720155.72</v>
      </c>
      <c r="E21" s="70">
        <v>-17425960.27</v>
      </c>
      <c r="F21" s="70">
        <v>-31899429.829999998</v>
      </c>
      <c r="G21" s="70">
        <v>-8958754.7699999996</v>
      </c>
      <c r="H21" s="70">
        <v>-3011927.49</v>
      </c>
      <c r="I21" s="70">
        <v>-1004375.81</v>
      </c>
      <c r="J21" s="70">
        <v>-1323887.6599999999</v>
      </c>
      <c r="K21" s="70">
        <v>-784425.94</v>
      </c>
      <c r="L21" s="70">
        <v>-231748.53</v>
      </c>
      <c r="M21" s="70">
        <v>656003.34</v>
      </c>
      <c r="N21" s="70">
        <v>-60908.78</v>
      </c>
      <c r="O21" s="70">
        <v>862012.65</v>
      </c>
    </row>
    <row r="22" spans="1:15" x14ac:dyDescent="0.25">
      <c r="B22" s="75" t="s">
        <v>116</v>
      </c>
      <c r="D22" s="70">
        <v>676435.92</v>
      </c>
      <c r="E22" s="70">
        <v>-767848.08</v>
      </c>
      <c r="F22" s="70">
        <v>19135248.57</v>
      </c>
      <c r="G22" s="70">
        <v>54373.41</v>
      </c>
    </row>
    <row r="23" spans="1:15" ht="31.5" x14ac:dyDescent="0.25">
      <c r="A23" s="75" t="s">
        <v>117</v>
      </c>
      <c r="D23" s="70">
        <v>-1699345206.5999999</v>
      </c>
      <c r="E23" s="70">
        <v>1725575244.1600001</v>
      </c>
      <c r="F23" s="70">
        <v>1603261258.8599999</v>
      </c>
      <c r="G23" s="70">
        <v>1346232047.29</v>
      </c>
      <c r="H23" s="70">
        <v>1148168794.9100001</v>
      </c>
      <c r="I23" s="70">
        <v>827826642.08000004</v>
      </c>
      <c r="J23" s="70">
        <v>471988594.83999997</v>
      </c>
      <c r="K23" s="70">
        <v>380890521.86000001</v>
      </c>
      <c r="L23" s="70">
        <v>300445018.88999999</v>
      </c>
      <c r="M23" s="70">
        <v>280687584.04000002</v>
      </c>
      <c r="N23" s="70">
        <v>228618049.13999999</v>
      </c>
      <c r="O23" s="70">
        <v>116549545.41</v>
      </c>
    </row>
    <row r="24" spans="1:15" x14ac:dyDescent="0.25">
      <c r="B24" s="75" t="s">
        <v>118</v>
      </c>
      <c r="D24" s="70">
        <v>3242377.14</v>
      </c>
      <c r="E24" s="70">
        <v>5997838.0300000003</v>
      </c>
      <c r="F24" s="70">
        <v>15539954.51</v>
      </c>
      <c r="G24" s="70">
        <v>1608758.68</v>
      </c>
      <c r="H24" s="70">
        <v>18472939.010000002</v>
      </c>
      <c r="I24" s="70">
        <v>35596062.060000002</v>
      </c>
      <c r="J24" s="70">
        <v>22031382.899999999</v>
      </c>
      <c r="K24" s="70">
        <v>38655367.579999998</v>
      </c>
      <c r="L24" s="70">
        <v>51479203.829999998</v>
      </c>
      <c r="M24" s="70">
        <v>20918624.41</v>
      </c>
      <c r="N24" s="70">
        <v>2309221.0299999998</v>
      </c>
      <c r="O24" s="70">
        <v>3576824.35</v>
      </c>
    </row>
    <row r="25" spans="1:15" ht="31.5" x14ac:dyDescent="0.25">
      <c r="C25" s="75" t="s">
        <v>147</v>
      </c>
      <c r="D25" s="70"/>
      <c r="E25" s="70"/>
      <c r="F25" s="70"/>
      <c r="G25" s="70"/>
      <c r="H25" s="70">
        <v>2517946.7400000002</v>
      </c>
      <c r="I25" s="70">
        <v>146066.43</v>
      </c>
      <c r="J25" s="70">
        <v>32891.68</v>
      </c>
      <c r="K25" s="70">
        <v>5581.25</v>
      </c>
    </row>
    <row r="26" spans="1:15" x14ac:dyDescent="0.25">
      <c r="B26" s="75" t="s">
        <v>119</v>
      </c>
      <c r="D26" s="70">
        <v>41007879.43</v>
      </c>
      <c r="E26" s="70">
        <v>101517003.90000001</v>
      </c>
      <c r="F26" s="70">
        <v>76342284.480000004</v>
      </c>
      <c r="G26" s="70">
        <v>50455986.030000001</v>
      </c>
      <c r="H26" s="70">
        <v>6855213.3499999996</v>
      </c>
      <c r="I26" s="70">
        <v>38296752.520000003</v>
      </c>
      <c r="J26" s="70">
        <v>2606799.54</v>
      </c>
      <c r="K26" s="70">
        <v>1083445.02</v>
      </c>
      <c r="L26" s="70">
        <v>10724941.41</v>
      </c>
      <c r="M26" s="70">
        <v>4194529.84</v>
      </c>
      <c r="N26" s="70">
        <v>12943823.5</v>
      </c>
      <c r="O26" s="70">
        <v>2642749.42</v>
      </c>
    </row>
    <row r="27" spans="1:15" ht="31.5" x14ac:dyDescent="0.25">
      <c r="C27" s="75" t="s">
        <v>148</v>
      </c>
      <c r="D27" s="70"/>
      <c r="E27" s="70"/>
      <c r="F27" s="70"/>
      <c r="G27" s="70"/>
      <c r="H27" s="70">
        <v>4639673.8099999996</v>
      </c>
      <c r="I27" s="70">
        <v>37765766.590000004</v>
      </c>
      <c r="J27" s="70">
        <v>1241098.6100000001</v>
      </c>
      <c r="K27" s="70">
        <v>240204.86</v>
      </c>
      <c r="L27" s="70">
        <v>9369971.2300000004</v>
      </c>
      <c r="M27" s="70">
        <v>3548876.35</v>
      </c>
      <c r="N27" s="70">
        <v>12584530.58</v>
      </c>
      <c r="O27" s="70">
        <v>2548321.41</v>
      </c>
    </row>
    <row r="28" spans="1:15" ht="31.5" x14ac:dyDescent="0.25">
      <c r="A28" s="75" t="s">
        <v>120</v>
      </c>
      <c r="D28" s="70">
        <v>-1737110708.8900001</v>
      </c>
      <c r="E28" s="70">
        <v>1630056078.29</v>
      </c>
      <c r="F28" s="70">
        <v>1542458928.8900001</v>
      </c>
      <c r="G28" s="70">
        <v>1297384819.9400001</v>
      </c>
      <c r="H28" s="70">
        <v>1159786520.5699999</v>
      </c>
      <c r="I28" s="70">
        <v>825125951.62</v>
      </c>
      <c r="J28" s="70">
        <v>491413178.19999999</v>
      </c>
      <c r="K28" s="70">
        <v>418462444.42000002</v>
      </c>
      <c r="L28" s="70">
        <v>341199281.31</v>
      </c>
      <c r="M28" s="70">
        <v>297411678.61000001</v>
      </c>
      <c r="N28" s="70">
        <v>217983446.66999999</v>
      </c>
      <c r="O28" s="70">
        <v>117483620.34</v>
      </c>
    </row>
    <row r="29" spans="1:15" x14ac:dyDescent="0.25">
      <c r="B29" s="75" t="s">
        <v>121</v>
      </c>
      <c r="D29" s="70">
        <v>29835169.109999999</v>
      </c>
      <c r="E29" s="70">
        <v>265152567.09</v>
      </c>
      <c r="F29" s="70">
        <v>264901157.25999999</v>
      </c>
      <c r="G29" s="70">
        <v>228110638.80000001</v>
      </c>
      <c r="H29" s="70">
        <v>243319608.58000001</v>
      </c>
      <c r="I29" s="70">
        <v>179680867.03999999</v>
      </c>
      <c r="J29" s="70">
        <v>126690403.88</v>
      </c>
      <c r="K29" s="70">
        <v>109700428.54000001</v>
      </c>
      <c r="L29" s="70">
        <v>84785699.969999999</v>
      </c>
      <c r="M29" s="70">
        <v>75193108.790000007</v>
      </c>
      <c r="N29" s="70">
        <v>54645517.829999998</v>
      </c>
      <c r="O29" s="70">
        <v>29071584.789999999</v>
      </c>
    </row>
    <row r="30" spans="1:15" x14ac:dyDescent="0.25">
      <c r="A30" s="75" t="s">
        <v>122</v>
      </c>
      <c r="D30" s="70">
        <v>-1766945878</v>
      </c>
      <c r="E30" s="70">
        <v>1364903511.2</v>
      </c>
      <c r="F30" s="70">
        <v>1277557771.6300001</v>
      </c>
      <c r="G30" s="70">
        <v>1069274181.14</v>
      </c>
      <c r="H30" s="70">
        <v>916466911.99000001</v>
      </c>
      <c r="I30" s="70">
        <v>645445084.58000004</v>
      </c>
      <c r="J30" s="70">
        <v>364722774.31999999</v>
      </c>
      <c r="K30" s="70">
        <v>308762015.88</v>
      </c>
      <c r="L30" s="70">
        <v>256413581.34</v>
      </c>
      <c r="M30" s="70">
        <v>222218569.81999999</v>
      </c>
      <c r="N30" s="70">
        <v>163337928.84</v>
      </c>
      <c r="O30" s="70">
        <v>88412035.549999997</v>
      </c>
    </row>
    <row r="31" spans="1:15" ht="31.5" x14ac:dyDescent="0.25">
      <c r="B31" s="75" t="s">
        <v>123</v>
      </c>
      <c r="C31" s="75" t="s">
        <v>124</v>
      </c>
      <c r="D31" s="70">
        <v>-1766945878</v>
      </c>
      <c r="E31" s="70">
        <v>1364903511.2</v>
      </c>
      <c r="F31" s="70">
        <v>1277557771.6300001</v>
      </c>
      <c r="G31" s="70">
        <v>1069274181.14</v>
      </c>
    </row>
    <row r="32" spans="1:15" ht="31.5" x14ac:dyDescent="0.25">
      <c r="B32" s="75" t="s">
        <v>125</v>
      </c>
      <c r="C32" s="75" t="s">
        <v>126</v>
      </c>
      <c r="D32" s="70">
        <v>-1752398009.5999999</v>
      </c>
      <c r="E32" s="70">
        <v>1339790994.9400001</v>
      </c>
      <c r="F32" s="70">
        <v>1287186547.4100001</v>
      </c>
      <c r="G32" s="70">
        <v>1067612066.9299999</v>
      </c>
      <c r="H32" s="70">
        <v>902305171.90999997</v>
      </c>
      <c r="I32" s="70">
        <v>630560934.01999998</v>
      </c>
      <c r="J32" s="70">
        <v>361183249.79000002</v>
      </c>
      <c r="K32" s="70">
        <v>308423861.72000003</v>
      </c>
      <c r="L32" s="70">
        <v>256545865.97999999</v>
      </c>
      <c r="M32" s="70">
        <v>222218569.81999999</v>
      </c>
      <c r="N32" s="70">
        <v>163337928.84</v>
      </c>
      <c r="O32" s="70">
        <v>86995069.549999997</v>
      </c>
    </row>
    <row r="33" spans="1:15" x14ac:dyDescent="0.25">
      <c r="C33" s="75" t="s">
        <v>149</v>
      </c>
      <c r="D33" s="70">
        <v>-14547868.4</v>
      </c>
      <c r="E33" s="70">
        <v>25112516.260000002</v>
      </c>
      <c r="F33" s="70">
        <v>-9628775.7799999993</v>
      </c>
      <c r="G33" s="70">
        <v>1662114.21</v>
      </c>
      <c r="H33" s="70">
        <v>14161740.08</v>
      </c>
      <c r="I33" s="70">
        <v>14884150.560000001</v>
      </c>
      <c r="J33" s="70">
        <v>3539524.53</v>
      </c>
      <c r="K33" s="70">
        <v>338154.16</v>
      </c>
      <c r="L33" s="70">
        <v>-132284.64000000001</v>
      </c>
      <c r="O33" s="70">
        <v>1416966</v>
      </c>
    </row>
    <row r="34" spans="1:15" ht="47.25" x14ac:dyDescent="0.25">
      <c r="A34" s="75" t="s">
        <v>127</v>
      </c>
      <c r="D34" s="70">
        <v>-54643377.960000001</v>
      </c>
      <c r="E34" s="70">
        <v>-436587617.54000002</v>
      </c>
      <c r="F34" s="70">
        <v>27854228.039999999</v>
      </c>
      <c r="G34" s="70">
        <v>-367848.51</v>
      </c>
      <c r="H34" s="70">
        <v>-7080414.2000000002</v>
      </c>
    </row>
    <row r="35" spans="1:15" ht="47.25" x14ac:dyDescent="0.25">
      <c r="B35" s="75" t="s">
        <v>128</v>
      </c>
      <c r="D35" s="70">
        <v>-54643964.159999996</v>
      </c>
      <c r="E35" s="70">
        <v>-436587615.64999998</v>
      </c>
      <c r="F35" s="70">
        <v>27854228.039999999</v>
      </c>
      <c r="G35" s="70">
        <v>-367848.51</v>
      </c>
      <c r="H35" s="70">
        <v>-7080414.2000000002</v>
      </c>
    </row>
    <row r="36" spans="1:15" ht="47.25" x14ac:dyDescent="0.25">
      <c r="B36" s="75" t="s">
        <v>129</v>
      </c>
      <c r="D36" s="70">
        <v>-65726184.590000004</v>
      </c>
      <c r="E36" s="70">
        <v>-390940031.82999998</v>
      </c>
    </row>
    <row r="37" spans="1:15" ht="47.25" x14ac:dyDescent="0.25">
      <c r="C37" s="75" t="s">
        <v>130</v>
      </c>
      <c r="D37" s="70">
        <v>1356586.59</v>
      </c>
      <c r="E37" s="70">
        <v>-1356586.59</v>
      </c>
    </row>
    <row r="38" spans="1:15" ht="47.25" x14ac:dyDescent="0.25">
      <c r="C38" s="75" t="s">
        <v>131</v>
      </c>
      <c r="D38" s="70">
        <v>-67082771.18</v>
      </c>
      <c r="E38" s="70">
        <v>-389583445.24000001</v>
      </c>
    </row>
    <row r="39" spans="1:15" ht="47.25" x14ac:dyDescent="0.25">
      <c r="B39" s="75" t="s">
        <v>132</v>
      </c>
      <c r="D39" s="70">
        <v>11082220.43</v>
      </c>
      <c r="E39" s="70">
        <v>-45647583.82</v>
      </c>
      <c r="F39" s="70">
        <v>27854228.039999999</v>
      </c>
      <c r="G39" s="70">
        <v>-367848.51</v>
      </c>
      <c r="H39" s="70">
        <v>-7080414.2000000002</v>
      </c>
    </row>
    <row r="40" spans="1:15" ht="31.5" x14ac:dyDescent="0.25">
      <c r="C40" s="75" t="s">
        <v>133</v>
      </c>
      <c r="D40" s="70">
        <v>11082220.43</v>
      </c>
      <c r="E40" s="70">
        <v>7332056.4299999997</v>
      </c>
      <c r="F40" s="70">
        <v>-26055664.800000001</v>
      </c>
      <c r="G40" s="70">
        <v>-367848.51</v>
      </c>
      <c r="H40" s="70">
        <v>-7080414.2000000002</v>
      </c>
    </row>
    <row r="41" spans="1:15" x14ac:dyDescent="0.25">
      <c r="C41" s="75" t="s">
        <v>145</v>
      </c>
      <c r="D41" s="70"/>
      <c r="E41" s="70"/>
      <c r="F41" s="70">
        <v>53909892.840000004</v>
      </c>
      <c r="G41" s="70"/>
    </row>
    <row r="42" spans="1:15" ht="47.25" x14ac:dyDescent="0.25">
      <c r="B42" s="75" t="s">
        <v>134</v>
      </c>
      <c r="D42" s="70">
        <v>586.20000000000005</v>
      </c>
      <c r="E42" s="70">
        <v>-1.89</v>
      </c>
    </row>
    <row r="43" spans="1:15" ht="31.5" x14ac:dyDescent="0.25">
      <c r="A43" s="75" t="s">
        <v>135</v>
      </c>
      <c r="D43" s="70">
        <v>-1821589255.96</v>
      </c>
      <c r="E43" s="70">
        <v>928315893.65999997</v>
      </c>
      <c r="F43" s="70">
        <v>1305411999.6700001</v>
      </c>
      <c r="G43" s="70">
        <v>1068906332.63</v>
      </c>
      <c r="H43" s="70">
        <v>909386497.78999996</v>
      </c>
      <c r="I43" s="70">
        <v>645445084.58000004</v>
      </c>
      <c r="J43" s="70">
        <v>364722774.31999999</v>
      </c>
      <c r="K43" s="70">
        <v>308762015.88</v>
      </c>
      <c r="L43" s="70">
        <v>256413581.34</v>
      </c>
      <c r="M43" s="70">
        <v>222218569.81999999</v>
      </c>
      <c r="N43" s="70">
        <v>163337928.84</v>
      </c>
      <c r="O43" s="70">
        <v>88412035.549999997</v>
      </c>
    </row>
    <row r="44" spans="1:15" ht="47.25" x14ac:dyDescent="0.25">
      <c r="B44" s="75" t="s">
        <v>136</v>
      </c>
      <c r="D44" s="70">
        <v>-1807041973.76</v>
      </c>
      <c r="E44" s="70">
        <v>903203379.28999996</v>
      </c>
      <c r="F44" s="70">
        <v>1315040775.45</v>
      </c>
      <c r="G44" s="70">
        <v>1067244218.42</v>
      </c>
      <c r="H44" s="70">
        <v>895224757.71000004</v>
      </c>
      <c r="I44" s="70">
        <v>630560934.01999998</v>
      </c>
      <c r="J44" s="70">
        <v>361183249.79000002</v>
      </c>
      <c r="K44" s="70">
        <v>308423861.72000003</v>
      </c>
      <c r="L44" s="70">
        <v>256413581.34</v>
      </c>
      <c r="M44" s="70">
        <v>222218569.81999999</v>
      </c>
      <c r="N44" s="70">
        <v>163337928.84</v>
      </c>
      <c r="O44" s="70">
        <v>88412035.549999997</v>
      </c>
    </row>
    <row r="45" spans="1:15" ht="31.5" x14ac:dyDescent="0.25">
      <c r="B45" s="75" t="s">
        <v>137</v>
      </c>
      <c r="D45" s="70">
        <v>-14547282.199999999</v>
      </c>
      <c r="E45" s="70">
        <v>25112514.370000001</v>
      </c>
      <c r="F45" s="70">
        <v>-9628775.7799999993</v>
      </c>
      <c r="G45" s="70">
        <v>1662114.21</v>
      </c>
      <c r="H45" s="70">
        <v>14161740.08</v>
      </c>
      <c r="I45" s="70">
        <v>14884150.560000001</v>
      </c>
      <c r="J45" s="70">
        <v>3539524.53</v>
      </c>
      <c r="K45" s="70">
        <v>338154.16</v>
      </c>
      <c r="L45" s="70">
        <v>-132284.64000000001</v>
      </c>
    </row>
    <row r="46" spans="1:15" ht="31.5" x14ac:dyDescent="0.25">
      <c r="A46" s="75" t="s">
        <v>138</v>
      </c>
    </row>
    <row r="47" spans="1:15" x14ac:dyDescent="0.25">
      <c r="B47" s="75" t="s">
        <v>139</v>
      </c>
      <c r="D47" s="70">
        <v>-0.67020000000000002</v>
      </c>
      <c r="E47" s="70">
        <v>0.51239999999999997</v>
      </c>
      <c r="F47" s="70">
        <v>0.89</v>
      </c>
      <c r="G47" s="70">
        <v>0.73</v>
      </c>
      <c r="H47" s="70">
        <v>0.62</v>
      </c>
      <c r="I47" s="70">
        <v>0.45</v>
      </c>
      <c r="J47">
        <v>0.65</v>
      </c>
      <c r="K47">
        <v>0.55000000000000004</v>
      </c>
      <c r="L47" s="70">
        <v>0.46</v>
      </c>
      <c r="M47" s="70">
        <v>0.4</v>
      </c>
      <c r="N47" s="70">
        <v>1.26</v>
      </c>
      <c r="O47" s="70">
        <v>0.7</v>
      </c>
    </row>
    <row r="48" spans="1:15" x14ac:dyDescent="0.25">
      <c r="B48" s="75" t="s">
        <v>140</v>
      </c>
      <c r="D48" s="70">
        <v>-0.67020000000000002</v>
      </c>
      <c r="E48" s="70">
        <v>0.51239999999999997</v>
      </c>
      <c r="F48" s="70">
        <v>0.89</v>
      </c>
      <c r="G48" s="70">
        <v>0.73</v>
      </c>
      <c r="H48" s="70">
        <v>0.62</v>
      </c>
      <c r="I48" s="70">
        <v>0.45</v>
      </c>
      <c r="J48">
        <v>0.65</v>
      </c>
      <c r="K48">
        <v>0.55000000000000004</v>
      </c>
      <c r="L48" s="70">
        <v>0.46</v>
      </c>
      <c r="M48" s="70">
        <v>0.4</v>
      </c>
      <c r="N48" s="70">
        <v>1.26</v>
      </c>
      <c r="O48" s="70">
        <v>0.7</v>
      </c>
    </row>
    <row r="55" spans="1:15" s="78" customFormat="1" x14ac:dyDescent="0.25">
      <c r="A55" s="77" t="s">
        <v>150</v>
      </c>
      <c r="B55" s="77"/>
    </row>
    <row r="56" spans="1:15" x14ac:dyDescent="0.25">
      <c r="D56">
        <v>2020</v>
      </c>
      <c r="E56">
        <f>D56-1</f>
        <v>2019</v>
      </c>
      <c r="F56">
        <f t="shared" ref="F56:O56" si="2">E56-1</f>
        <v>2018</v>
      </c>
      <c r="G56">
        <f t="shared" si="2"/>
        <v>2017</v>
      </c>
      <c r="H56">
        <f t="shared" si="2"/>
        <v>2016</v>
      </c>
      <c r="I56">
        <f t="shared" si="2"/>
        <v>2015</v>
      </c>
      <c r="J56">
        <f t="shared" si="2"/>
        <v>2014</v>
      </c>
      <c r="K56">
        <f t="shared" si="2"/>
        <v>2013</v>
      </c>
      <c r="L56">
        <f t="shared" si="2"/>
        <v>2012</v>
      </c>
      <c r="M56">
        <f t="shared" si="2"/>
        <v>2011</v>
      </c>
      <c r="N56">
        <f t="shared" si="2"/>
        <v>2010</v>
      </c>
      <c r="O56">
        <f t="shared" si="2"/>
        <v>2009</v>
      </c>
    </row>
    <row r="57" spans="1:15" ht="31.5" x14ac:dyDescent="0.25">
      <c r="A57" s="75" t="s">
        <v>141</v>
      </c>
      <c r="B57" s="75" t="s">
        <v>101</v>
      </c>
      <c r="D57" s="70">
        <v>902586125.63</v>
      </c>
      <c r="E57" s="70">
        <v>2611753208.8600001</v>
      </c>
      <c r="F57" s="70">
        <v>3211192814.48</v>
      </c>
      <c r="G57" s="70">
        <v>3023831231.2600002</v>
      </c>
      <c r="H57" s="70">
        <v>2644228901.6500001</v>
      </c>
      <c r="I57" s="70">
        <v>1694513980</v>
      </c>
      <c r="J57" s="70">
        <v>935119130.20000005</v>
      </c>
      <c r="K57" s="70">
        <v>678715861.76999998</v>
      </c>
      <c r="L57" s="70">
        <v>586157062.79999995</v>
      </c>
      <c r="M57" s="70">
        <v>504532175.13999999</v>
      </c>
      <c r="N57" s="70">
        <v>444756661.94999999</v>
      </c>
      <c r="O57" s="70">
        <v>273295452.88999999</v>
      </c>
    </row>
    <row r="58" spans="1:15" x14ac:dyDescent="0.25">
      <c r="B58" s="75" t="s">
        <v>102</v>
      </c>
      <c r="D58" s="70">
        <v>902586125.63</v>
      </c>
      <c r="E58" s="70">
        <v>2611753208.8600001</v>
      </c>
      <c r="F58" s="70">
        <v>3211192814.48</v>
      </c>
      <c r="G58" s="70">
        <v>3023831231.2600002</v>
      </c>
      <c r="H58" s="70">
        <v>2644228901.6500001</v>
      </c>
      <c r="I58" s="70">
        <v>1694513980</v>
      </c>
      <c r="J58" s="70">
        <v>935119130.20000005</v>
      </c>
      <c r="K58" s="70">
        <v>678715861.76999998</v>
      </c>
      <c r="L58" s="70">
        <v>586157062.79999995</v>
      </c>
      <c r="M58" s="70">
        <v>504532175.13999999</v>
      </c>
      <c r="N58" s="70">
        <v>444756661.94999999</v>
      </c>
      <c r="O58" s="70">
        <v>273295452.88999999</v>
      </c>
    </row>
    <row r="59" spans="1:15" x14ac:dyDescent="0.25">
      <c r="B59" s="75" t="s">
        <v>103</v>
      </c>
    </row>
    <row r="60" spans="1:15" x14ac:dyDescent="0.25">
      <c r="B60" s="75" t="s">
        <v>104</v>
      </c>
      <c r="H60" s="70"/>
      <c r="I60" s="70"/>
    </row>
    <row r="61" spans="1:15" ht="31.5" x14ac:dyDescent="0.25">
      <c r="A61" s="75" t="s">
        <v>142</v>
      </c>
      <c r="D61" s="70">
        <v>740982414.36000001</v>
      </c>
      <c r="E61" s="70">
        <v>1147753469.26</v>
      </c>
      <c r="F61" s="70">
        <v>1701599539.4200001</v>
      </c>
      <c r="G61" s="70">
        <v>1701002798.1800001</v>
      </c>
      <c r="H61" s="70">
        <v>1510625846.05</v>
      </c>
      <c r="I61" s="70">
        <v>871568205.96000004</v>
      </c>
      <c r="J61" s="70">
        <v>469647144.79000002</v>
      </c>
      <c r="K61" s="70">
        <v>308482004.25</v>
      </c>
      <c r="L61" s="70">
        <v>256812394.84</v>
      </c>
      <c r="M61" s="70">
        <v>2238474591.0999999</v>
      </c>
      <c r="N61" s="70">
        <v>216138612.81</v>
      </c>
      <c r="O61" s="70">
        <v>157412346.33000001</v>
      </c>
    </row>
    <row r="62" spans="1:15" x14ac:dyDescent="0.25">
      <c r="A62" s="75" t="s">
        <v>144</v>
      </c>
      <c r="B62" s="75" t="s">
        <v>105</v>
      </c>
      <c r="D62" s="63">
        <f>D7/D6</f>
        <v>0.47594985600921164</v>
      </c>
      <c r="E62" s="63">
        <f t="shared" ref="E62:O62" si="3">E7/E6</f>
        <v>0.65100156196586467</v>
      </c>
      <c r="F62" s="63">
        <f t="shared" si="3"/>
        <v>0.63357634230876336</v>
      </c>
      <c r="G62" s="63">
        <f t="shared" si="3"/>
        <v>0.65433330301448445</v>
      </c>
      <c r="H62" s="63">
        <f t="shared" si="3"/>
        <v>0.67136890497531687</v>
      </c>
      <c r="I62" s="63">
        <f t="shared" si="3"/>
        <v>0.66783914246719722</v>
      </c>
      <c r="J62" s="63">
        <f t="shared" si="3"/>
        <v>0.6534411911036373</v>
      </c>
      <c r="K62" s="63">
        <f t="shared" si="3"/>
        <v>0.642270586874923</v>
      </c>
      <c r="L62" s="63">
        <f t="shared" si="3"/>
        <v>0.69264241077936595</v>
      </c>
      <c r="M62" s="63">
        <f t="shared" si="3"/>
        <v>0.5462631026245065</v>
      </c>
      <c r="N62" s="63">
        <f t="shared" si="3"/>
        <v>0.488061087042932</v>
      </c>
      <c r="O62" s="63">
        <f t="shared" si="3"/>
        <v>0.5218235319216844</v>
      </c>
    </row>
    <row r="63" spans="1:15" x14ac:dyDescent="0.25">
      <c r="B63" s="75" t="s">
        <v>106</v>
      </c>
      <c r="D63" s="63">
        <f>D8/D6</f>
        <v>1.610496662097869E-2</v>
      </c>
      <c r="E63" s="63">
        <f t="shared" ref="E63:O63" si="4">E8/E6</f>
        <v>3.1509195501118206E-2</v>
      </c>
      <c r="F63" s="63">
        <f t="shared" si="4"/>
        <v>1.8822322202153949E-2</v>
      </c>
      <c r="G63" s="63">
        <f t="shared" si="4"/>
        <v>1.7861008102107202E-2</v>
      </c>
      <c r="H63" s="63">
        <f t="shared" si="4"/>
        <v>2.2681219330114612E-2</v>
      </c>
      <c r="I63" s="63">
        <f t="shared" si="4"/>
        <v>5.5904879362059005E-2</v>
      </c>
      <c r="J63" s="63">
        <f t="shared" si="4"/>
        <v>7.2955194596829906E-2</v>
      </c>
      <c r="K63" s="63">
        <f t="shared" si="4"/>
        <v>8.1072564121866433E-2</v>
      </c>
      <c r="L63" s="63">
        <f t="shared" si="4"/>
        <v>8.5368094844716871E-2</v>
      </c>
      <c r="M63" s="63">
        <f t="shared" si="4"/>
        <v>8.6044568400562974E-2</v>
      </c>
      <c r="N63" s="63">
        <f t="shared" si="4"/>
        <v>7.2722884336346452E-2</v>
      </c>
      <c r="O63" s="63">
        <f t="shared" si="4"/>
        <v>6.1985709682166323E-2</v>
      </c>
    </row>
    <row r="64" spans="1:15" x14ac:dyDescent="0.25">
      <c r="B64" s="75" t="s">
        <v>107</v>
      </c>
      <c r="D64" s="63">
        <f>D9/D6</f>
        <v>8.5899137505139639E-2</v>
      </c>
      <c r="E64" s="63">
        <f t="shared" ref="E64:O64" si="5">E9/E6</f>
        <v>0.12677255223964748</v>
      </c>
      <c r="F64" s="63">
        <f t="shared" si="5"/>
        <v>0.16898170260319262</v>
      </c>
      <c r="G64" s="63">
        <f t="shared" si="5"/>
        <v>0.19123944955179131</v>
      </c>
      <c r="H64" s="63">
        <f t="shared" si="5"/>
        <v>0.18310650194637587</v>
      </c>
      <c r="I64" s="63">
        <f t="shared" si="5"/>
        <v>0.12221679169982098</v>
      </c>
      <c r="J64" s="63">
        <f t="shared" si="5"/>
        <v>7.7900601623712901E-2</v>
      </c>
      <c r="K64" s="63">
        <f t="shared" si="5"/>
        <v>7.6510139537580499E-2</v>
      </c>
      <c r="L64" s="63">
        <f t="shared" si="5"/>
        <v>0.14773920473596405</v>
      </c>
      <c r="M64" s="63">
        <f t="shared" si="5"/>
        <v>0.18702532665306829</v>
      </c>
      <c r="N64" s="63">
        <f t="shared" si="5"/>
        <v>0.1405048641479712</v>
      </c>
      <c r="O64" s="63">
        <f t="shared" si="5"/>
        <v>0.14019183758138445</v>
      </c>
    </row>
    <row r="65" spans="1:15" x14ac:dyDescent="0.25">
      <c r="B65" s="75" t="s">
        <v>108</v>
      </c>
      <c r="D65" s="63">
        <f>D10/D6</f>
        <v>0.38878678111250931</v>
      </c>
      <c r="E65" s="63">
        <f t="shared" ref="E65:O65" si="6">E10/E6</f>
        <v>0.16398566963282576</v>
      </c>
      <c r="F65" s="63">
        <f t="shared" si="6"/>
        <v>0.11904017724349132</v>
      </c>
      <c r="G65" s="63">
        <f t="shared" si="6"/>
        <v>9.3416147380837575E-2</v>
      </c>
      <c r="H65" s="63">
        <f t="shared" si="6"/>
        <v>0.11196216357759968</v>
      </c>
      <c r="I65" s="63">
        <f t="shared" si="6"/>
        <v>0.1515156952915061</v>
      </c>
      <c r="J65" s="63">
        <f t="shared" si="6"/>
        <v>0.21946232635159973</v>
      </c>
      <c r="K65" s="63">
        <f t="shared" si="6"/>
        <v>0.24625923361297664</v>
      </c>
      <c r="L65" s="63">
        <f t="shared" si="6"/>
        <v>0.24316663616998183</v>
      </c>
      <c r="M65" s="63">
        <f t="shared" si="6"/>
        <v>0.22314853106137886</v>
      </c>
      <c r="N65" s="63">
        <f t="shared" si="6"/>
        <v>0.18789568842888885</v>
      </c>
      <c r="O65" s="63">
        <f t="shared" si="6"/>
        <v>0.17074112581776418</v>
      </c>
    </row>
    <row r="66" spans="1:15" x14ac:dyDescent="0.25">
      <c r="B66" s="75" t="s">
        <v>109</v>
      </c>
      <c r="D66" s="63">
        <f>D11/D6</f>
        <v>5.0592245205143008E-2</v>
      </c>
      <c r="E66" s="63">
        <f t="shared" ref="E66:O66" si="7">E11/E6</f>
        <v>4.2190698470483491E-2</v>
      </c>
      <c r="F66" s="63">
        <f t="shared" si="7"/>
        <v>4.1471318512494054E-2</v>
      </c>
      <c r="G66" s="63">
        <f t="shared" si="7"/>
        <v>3.1092688458001769E-2</v>
      </c>
      <c r="H66" s="63">
        <f t="shared" si="7"/>
        <v>0</v>
      </c>
      <c r="I66" s="63">
        <f t="shared" si="7"/>
        <v>0</v>
      </c>
      <c r="J66" s="63">
        <f t="shared" si="7"/>
        <v>0</v>
      </c>
      <c r="K66" s="63">
        <f t="shared" si="7"/>
        <v>0</v>
      </c>
      <c r="L66" s="63">
        <f t="shared" si="7"/>
        <v>0</v>
      </c>
      <c r="M66" s="63">
        <f t="shared" si="7"/>
        <v>0</v>
      </c>
      <c r="N66" s="63">
        <f t="shared" si="7"/>
        <v>0</v>
      </c>
      <c r="O66" s="63">
        <f t="shared" si="7"/>
        <v>0</v>
      </c>
    </row>
    <row r="67" spans="1:15" x14ac:dyDescent="0.25">
      <c r="B67" s="75" t="s">
        <v>110</v>
      </c>
      <c r="D67" s="63">
        <f>D12/D6</f>
        <v>-1.7332986452982303E-2</v>
      </c>
      <c r="E67" s="63">
        <f t="shared" ref="E67:O67" si="8">E12/E6</f>
        <v>-1.5459677809939587E-2</v>
      </c>
      <c r="F67" s="63">
        <f t="shared" si="8"/>
        <v>-6.3859445470371059E-4</v>
      </c>
      <c r="G67" s="63">
        <f t="shared" si="8"/>
        <v>6.7906545023670691E-3</v>
      </c>
      <c r="H67" s="63">
        <f t="shared" si="8"/>
        <v>8.8873825806073427E-3</v>
      </c>
      <c r="I67" s="63">
        <f t="shared" si="8"/>
        <v>1.3711134273005417E-3</v>
      </c>
      <c r="J67" s="63">
        <f t="shared" si="8"/>
        <v>-2.6578212235446305E-2</v>
      </c>
      <c r="K67" s="63">
        <f t="shared" si="8"/>
        <v>-4.8655382172102836E-2</v>
      </c>
      <c r="L67" s="63">
        <f t="shared" si="8"/>
        <v>-5.1197150971593657E-2</v>
      </c>
      <c r="M67" s="63">
        <f t="shared" si="8"/>
        <v>-5.8814303733247544E-2</v>
      </c>
      <c r="N67" s="63">
        <f t="shared" si="8"/>
        <v>0.11053367179237611</v>
      </c>
      <c r="O67" s="63">
        <f t="shared" si="8"/>
        <v>0.11073393883258559</v>
      </c>
    </row>
    <row r="68" spans="1:15" x14ac:dyDescent="0.25">
      <c r="C68" s="75" t="s">
        <v>111</v>
      </c>
      <c r="D68" s="70">
        <v>7822986.1399999997</v>
      </c>
      <c r="F68" s="70">
        <v>2755000</v>
      </c>
      <c r="G68" s="70">
        <v>11213562.5</v>
      </c>
    </row>
    <row r="69" spans="1:15" x14ac:dyDescent="0.25">
      <c r="C69" s="75" t="s">
        <v>94</v>
      </c>
      <c r="D69" s="70">
        <v>32572127.48</v>
      </c>
      <c r="E69" s="70">
        <v>22648412.210000001</v>
      </c>
      <c r="F69" s="70">
        <v>8995034.3800000008</v>
      </c>
      <c r="G69" s="70">
        <v>8246271.8499999996</v>
      </c>
    </row>
    <row r="70" spans="1:15" ht="409.5" x14ac:dyDescent="0.25">
      <c r="A70" s="75" t="s">
        <v>153</v>
      </c>
      <c r="B70" s="75" t="s">
        <v>152</v>
      </c>
      <c r="D70" s="63">
        <f>D15/D6</f>
        <v>0.45735293216466671</v>
      </c>
      <c r="E70" s="63">
        <f t="shared" ref="E70:O70" si="9">E15/E6</f>
        <v>0.27529854406253368</v>
      </c>
      <c r="F70" s="63">
        <f t="shared" si="9"/>
        <v>0.28738328539198027</v>
      </c>
      <c r="G70" s="63">
        <f t="shared" si="9"/>
        <v>0.29144625143499597</v>
      </c>
      <c r="H70" s="63">
        <f t="shared" si="9"/>
        <v>0.30395604810458288</v>
      </c>
      <c r="I70" s="63">
        <f t="shared" si="9"/>
        <v>0.27510360041862764</v>
      </c>
      <c r="J70" s="63">
        <f t="shared" si="9"/>
        <v>0.27078471573986634</v>
      </c>
      <c r="K70" s="63">
        <f t="shared" si="9"/>
        <v>0.27411399097845429</v>
      </c>
      <c r="L70" s="63">
        <f t="shared" si="9"/>
        <v>0.33970868993435221</v>
      </c>
      <c r="M70" s="63">
        <f t="shared" si="9"/>
        <v>0.35135955398119967</v>
      </c>
      <c r="N70" s="63">
        <f>N15/N6</f>
        <v>0.43893422436923613</v>
      </c>
      <c r="O70" s="63">
        <f t="shared" si="9"/>
        <v>0.4216669022317342</v>
      </c>
    </row>
    <row r="71" spans="1:15" x14ac:dyDescent="0.25">
      <c r="A71" s="75" t="s">
        <v>143</v>
      </c>
      <c r="B71" s="75" t="s">
        <v>112</v>
      </c>
      <c r="D71" s="70">
        <v>34572160.229999997</v>
      </c>
      <c r="E71" s="70">
        <v>4285224.1900000004</v>
      </c>
      <c r="F71" s="70">
        <v>1591601.01</v>
      </c>
      <c r="G71" s="70">
        <v>4536456.47</v>
      </c>
    </row>
    <row r="72" spans="1:15" x14ac:dyDescent="0.25">
      <c r="B72" s="75" t="s">
        <v>113</v>
      </c>
      <c r="D72" s="70">
        <v>14014892.300000001</v>
      </c>
      <c r="E72" s="70">
        <v>273166244.68000001</v>
      </c>
      <c r="F72" s="70">
        <v>63280814.82</v>
      </c>
      <c r="G72" s="70">
        <v>17702729.920000002</v>
      </c>
      <c r="H72" s="70">
        <v>14451892.1</v>
      </c>
      <c r="I72" s="70">
        <v>4880868.04</v>
      </c>
      <c r="J72" s="70">
        <v>6516609.4299999997</v>
      </c>
      <c r="K72" s="70">
        <v>10656664.34</v>
      </c>
      <c r="L72" s="70">
        <v>1100350.93</v>
      </c>
      <c r="O72" s="70">
        <v>666438.85</v>
      </c>
    </row>
    <row r="73" spans="1:15" ht="47.25" x14ac:dyDescent="0.25">
      <c r="C73" s="75" t="s">
        <v>146</v>
      </c>
      <c r="D73" s="70">
        <v>-5356968.22</v>
      </c>
      <c r="E73" s="70">
        <v>72523327.469999999</v>
      </c>
      <c r="F73" s="70">
        <v>3255217.59</v>
      </c>
      <c r="G73" s="70">
        <v>4201481.01</v>
      </c>
      <c r="H73" s="70">
        <v>1569429.26</v>
      </c>
      <c r="I73" s="70">
        <v>3144719.19</v>
      </c>
      <c r="J73" s="70">
        <v>3377479.69</v>
      </c>
    </row>
    <row r="74" spans="1:15" x14ac:dyDescent="0.25">
      <c r="B74" s="75" t="s">
        <v>114</v>
      </c>
      <c r="D74" s="70">
        <v>247726.31</v>
      </c>
      <c r="E74" s="70">
        <v>991859.52</v>
      </c>
      <c r="F74" s="70">
        <v>9660319.4000000004</v>
      </c>
      <c r="G74" s="70">
        <v>1110054.4099999999</v>
      </c>
      <c r="H74" s="70">
        <v>113847.21</v>
      </c>
    </row>
    <row r="75" spans="1:15" x14ac:dyDescent="0.25">
      <c r="B75" s="75" t="s">
        <v>98</v>
      </c>
      <c r="D75" s="70">
        <v>-32739976.91</v>
      </c>
      <c r="E75" s="70">
        <v>1325984.52</v>
      </c>
    </row>
    <row r="76" spans="1:15" x14ac:dyDescent="0.25">
      <c r="B76" s="75" t="s">
        <v>115</v>
      </c>
      <c r="D76" s="70">
        <v>-1877720155.72</v>
      </c>
      <c r="E76" s="70">
        <v>-17425960.27</v>
      </c>
      <c r="F76" s="70">
        <v>-31899429.829999998</v>
      </c>
      <c r="G76" s="70">
        <v>-8958754.7699999996</v>
      </c>
      <c r="H76" s="70">
        <v>-3011927.49</v>
      </c>
      <c r="I76" s="70">
        <v>-1004375.81</v>
      </c>
      <c r="J76" s="70">
        <v>-1323887.6599999999</v>
      </c>
      <c r="K76" s="70">
        <v>-784425.94</v>
      </c>
      <c r="L76" s="70">
        <v>-231748.53</v>
      </c>
      <c r="M76" s="70">
        <v>656003.34</v>
      </c>
      <c r="N76" s="70">
        <v>-60908.78</v>
      </c>
      <c r="O76" s="70">
        <v>862012.65</v>
      </c>
    </row>
    <row r="77" spans="1:15" x14ac:dyDescent="0.25">
      <c r="B77" s="75" t="s">
        <v>116</v>
      </c>
      <c r="D77" s="70">
        <v>676435.92</v>
      </c>
      <c r="E77" s="70">
        <v>-767848.08</v>
      </c>
      <c r="F77" s="70">
        <v>19135248.57</v>
      </c>
      <c r="G77" s="70">
        <v>54373.41</v>
      </c>
    </row>
    <row r="78" spans="1:15" ht="31.5" x14ac:dyDescent="0.25">
      <c r="A78" s="75" t="s">
        <v>117</v>
      </c>
      <c r="D78" s="70">
        <v>-1699345206.5999999</v>
      </c>
      <c r="E78" s="70">
        <v>1725575244.1600001</v>
      </c>
      <c r="F78" s="70">
        <v>1603261258.8599999</v>
      </c>
      <c r="G78" s="70">
        <v>1346232047.29</v>
      </c>
      <c r="H78" s="70">
        <v>1148168794.9100001</v>
      </c>
      <c r="I78" s="70">
        <v>827826642.08000004</v>
      </c>
      <c r="J78" s="70">
        <v>471988594.83999997</v>
      </c>
      <c r="K78" s="70">
        <v>380890521.86000001</v>
      </c>
      <c r="L78" s="70">
        <v>300445018.88999999</v>
      </c>
      <c r="M78" s="70">
        <v>280687584.04000002</v>
      </c>
      <c r="N78" s="70">
        <v>228618049.13999999</v>
      </c>
      <c r="O78" s="70">
        <v>116549545.41</v>
      </c>
    </row>
    <row r="79" spans="1:15" x14ac:dyDescent="0.25">
      <c r="B79" s="75" t="s">
        <v>118</v>
      </c>
      <c r="D79" s="70">
        <v>3242377.14</v>
      </c>
      <c r="E79" s="70">
        <v>5997838.0300000003</v>
      </c>
      <c r="F79" s="70">
        <v>15539954.51</v>
      </c>
      <c r="G79" s="70">
        <v>1608758.68</v>
      </c>
      <c r="H79" s="70">
        <v>18472939.010000002</v>
      </c>
      <c r="I79" s="70">
        <v>35596062.060000002</v>
      </c>
      <c r="J79" s="70">
        <v>22031382.899999999</v>
      </c>
      <c r="K79" s="70">
        <v>38655367.579999998</v>
      </c>
      <c r="L79" s="70">
        <v>51479203.829999998</v>
      </c>
      <c r="M79" s="70">
        <v>20918624.41</v>
      </c>
      <c r="N79" s="70">
        <v>2309221.0299999998</v>
      </c>
      <c r="O79" s="70">
        <v>3576824.35</v>
      </c>
    </row>
    <row r="80" spans="1:15" ht="31.5" x14ac:dyDescent="0.25">
      <c r="C80" s="75" t="s">
        <v>147</v>
      </c>
      <c r="D80" s="70"/>
      <c r="E80" s="70"/>
      <c r="F80" s="70"/>
      <c r="G80" s="70"/>
      <c r="H80" s="70">
        <v>2517946.7400000002</v>
      </c>
      <c r="I80" s="70">
        <v>146066.43</v>
      </c>
      <c r="J80" s="70">
        <v>32891.68</v>
      </c>
      <c r="K80" s="70">
        <v>5581.25</v>
      </c>
    </row>
    <row r="81" spans="1:15" x14ac:dyDescent="0.25">
      <c r="B81" s="75" t="s">
        <v>119</v>
      </c>
      <c r="D81" s="70">
        <v>41007879.43</v>
      </c>
      <c r="E81" s="70">
        <v>101517003.90000001</v>
      </c>
      <c r="F81" s="70">
        <v>76342284.480000004</v>
      </c>
      <c r="G81" s="70">
        <v>50455986.030000001</v>
      </c>
      <c r="H81" s="70">
        <v>6855213.3499999996</v>
      </c>
      <c r="I81" s="70">
        <v>38296752.520000003</v>
      </c>
      <c r="J81" s="70">
        <v>2606799.54</v>
      </c>
      <c r="K81" s="70">
        <v>1083445.02</v>
      </c>
      <c r="L81" s="70">
        <v>10724941.41</v>
      </c>
      <c r="M81" s="70">
        <v>4194529.84</v>
      </c>
      <c r="N81" s="70">
        <v>12943823.5</v>
      </c>
      <c r="O81" s="70">
        <v>2642749.42</v>
      </c>
    </row>
    <row r="82" spans="1:15" ht="31.5" x14ac:dyDescent="0.25">
      <c r="C82" s="75" t="s">
        <v>148</v>
      </c>
      <c r="D82" s="70"/>
      <c r="E82" s="70"/>
      <c r="F82" s="70"/>
      <c r="G82" s="70"/>
      <c r="H82" s="70">
        <v>4639673.8099999996</v>
      </c>
      <c r="I82" s="70">
        <v>37765766.590000004</v>
      </c>
      <c r="J82" s="70">
        <v>1241098.6100000001</v>
      </c>
      <c r="K82" s="70">
        <v>240204.86</v>
      </c>
      <c r="L82" s="70">
        <v>9369971.2300000004</v>
      </c>
      <c r="M82" s="70">
        <v>3548876.35</v>
      </c>
      <c r="N82" s="70">
        <v>12584530.58</v>
      </c>
      <c r="O82" s="70">
        <v>2548321.41</v>
      </c>
    </row>
    <row r="83" spans="1:15" ht="31.5" x14ac:dyDescent="0.25">
      <c r="A83" s="75" t="s">
        <v>120</v>
      </c>
      <c r="D83" s="70">
        <v>-1737110708.8900001</v>
      </c>
      <c r="E83" s="70">
        <v>1630056078.29</v>
      </c>
      <c r="F83" s="70">
        <v>1542458928.8900001</v>
      </c>
      <c r="G83" s="70">
        <v>1297384819.9400001</v>
      </c>
      <c r="H83" s="70">
        <v>1159786520.5699999</v>
      </c>
      <c r="I83" s="70">
        <v>825125951.62</v>
      </c>
      <c r="J83" s="70">
        <v>491413178.19999999</v>
      </c>
      <c r="K83" s="70">
        <v>418462444.42000002</v>
      </c>
      <c r="L83" s="70">
        <v>341199281.31</v>
      </c>
      <c r="M83" s="70">
        <v>297411678.61000001</v>
      </c>
      <c r="N83" s="70">
        <v>217983446.66999999</v>
      </c>
      <c r="O83" s="70">
        <v>117483620.34</v>
      </c>
    </row>
    <row r="84" spans="1:15" x14ac:dyDescent="0.25">
      <c r="B84" s="75" t="s">
        <v>121</v>
      </c>
      <c r="D84" s="63">
        <f>D29/D28</f>
        <v>-1.7175168489442123E-2</v>
      </c>
      <c r="E84" s="63">
        <f t="shared" ref="E84:O84" si="10">E29/E28</f>
        <v>0.162664690265231</v>
      </c>
      <c r="F84" s="63">
        <f t="shared" si="10"/>
        <v>0.17173952077325705</v>
      </c>
      <c r="G84" s="63">
        <f t="shared" si="10"/>
        <v>0.17582342208270127</v>
      </c>
      <c r="H84" s="63">
        <f t="shared" si="10"/>
        <v>0.20979689301822183</v>
      </c>
      <c r="I84" s="63">
        <f t="shared" si="10"/>
        <v>0.21776174496417905</v>
      </c>
      <c r="J84" s="63">
        <f t="shared" si="10"/>
        <v>0.25780831589428466</v>
      </c>
      <c r="K84" s="63">
        <f t="shared" si="10"/>
        <v>0.26215119182809271</v>
      </c>
      <c r="L84" s="63">
        <f t="shared" si="10"/>
        <v>0.2484931962472896</v>
      </c>
      <c r="M84" s="63">
        <f t="shared" si="10"/>
        <v>0.25282500385131734</v>
      </c>
      <c r="N84" s="63">
        <f>N29/N28</f>
        <v>0.25068654828972664</v>
      </c>
      <c r="O84" s="63">
        <f t="shared" si="10"/>
        <v>0.24745223807256056</v>
      </c>
    </row>
    <row r="85" spans="1:15" x14ac:dyDescent="0.25">
      <c r="A85" s="75" t="s">
        <v>122</v>
      </c>
      <c r="D85" s="70">
        <v>-1766945878</v>
      </c>
      <c r="E85" s="70">
        <v>1364903511.2</v>
      </c>
      <c r="F85" s="70">
        <v>1277557771.6300001</v>
      </c>
      <c r="G85" s="70">
        <v>1069274181.14</v>
      </c>
      <c r="H85" s="70">
        <v>916466911.99000001</v>
      </c>
      <c r="I85" s="70">
        <v>645445084.58000004</v>
      </c>
      <c r="J85" s="70">
        <v>364722774.31999999</v>
      </c>
      <c r="K85" s="70">
        <v>308762015.88</v>
      </c>
      <c r="L85" s="70">
        <v>256413581.34</v>
      </c>
      <c r="M85" s="70">
        <v>222218569.81999999</v>
      </c>
      <c r="N85" s="70">
        <v>163337928.84</v>
      </c>
      <c r="O85" s="70">
        <v>88412035.549999997</v>
      </c>
    </row>
    <row r="86" spans="1:15" ht="31.5" x14ac:dyDescent="0.25">
      <c r="B86" s="75" t="s">
        <v>123</v>
      </c>
      <c r="C86" s="75" t="s">
        <v>124</v>
      </c>
      <c r="D86" s="70">
        <v>-1766945878</v>
      </c>
      <c r="E86" s="70">
        <v>1364903511.2</v>
      </c>
      <c r="F86" s="70">
        <v>1277557771.6300001</v>
      </c>
      <c r="G86" s="70">
        <v>1069274181.14</v>
      </c>
    </row>
    <row r="87" spans="1:15" ht="31.5" x14ac:dyDescent="0.25">
      <c r="B87" s="75" t="s">
        <v>125</v>
      </c>
      <c r="C87" s="75" t="s">
        <v>126</v>
      </c>
      <c r="D87" s="70">
        <v>-1752398009.5999999</v>
      </c>
      <c r="E87" s="70">
        <v>1339790994.9400001</v>
      </c>
      <c r="F87" s="70">
        <v>1287186547.4100001</v>
      </c>
      <c r="G87" s="70">
        <v>1067612066.9299999</v>
      </c>
      <c r="H87" s="70">
        <v>902305171.90999997</v>
      </c>
      <c r="I87" s="70">
        <v>630560934.01999998</v>
      </c>
      <c r="J87" s="70">
        <v>361183249.79000002</v>
      </c>
      <c r="K87" s="70">
        <v>308423861.72000003</v>
      </c>
      <c r="L87" s="70">
        <v>256545865.97999999</v>
      </c>
      <c r="M87" s="70">
        <v>222218569.81999999</v>
      </c>
      <c r="N87" s="70">
        <v>163337928.84</v>
      </c>
      <c r="O87" s="70">
        <v>86995069.549999997</v>
      </c>
    </row>
    <row r="88" spans="1:15" x14ac:dyDescent="0.25">
      <c r="C88" s="75" t="s">
        <v>149</v>
      </c>
      <c r="D88" s="70">
        <v>-14547868.4</v>
      </c>
      <c r="E88" s="70">
        <v>25112516.260000002</v>
      </c>
      <c r="F88" s="70">
        <v>-9628775.7799999993</v>
      </c>
      <c r="G88" s="70">
        <v>1662114.21</v>
      </c>
      <c r="H88" s="70">
        <v>14161740.08</v>
      </c>
      <c r="I88" s="70">
        <v>14884150.560000001</v>
      </c>
      <c r="J88" s="70">
        <v>3539524.53</v>
      </c>
      <c r="K88" s="70">
        <v>338154.16</v>
      </c>
      <c r="L88" s="70">
        <v>-132284.64000000001</v>
      </c>
      <c r="O88" s="70">
        <v>1416966</v>
      </c>
    </row>
    <row r="89" spans="1:15" ht="47.25" x14ac:dyDescent="0.25">
      <c r="A89" s="75" t="s">
        <v>127</v>
      </c>
      <c r="D89" s="70">
        <v>-54643377.960000001</v>
      </c>
      <c r="E89" s="70">
        <v>-436587617.54000002</v>
      </c>
      <c r="F89" s="70">
        <v>27854228.039999999</v>
      </c>
      <c r="G89" s="70">
        <v>-367848.51</v>
      </c>
      <c r="H89" s="70">
        <v>-7080414.2000000002</v>
      </c>
    </row>
    <row r="90" spans="1:15" ht="47.25" x14ac:dyDescent="0.25">
      <c r="B90" s="75" t="s">
        <v>128</v>
      </c>
      <c r="D90" s="70">
        <v>-54643964.159999996</v>
      </c>
      <c r="E90" s="70">
        <v>-436587615.64999998</v>
      </c>
      <c r="F90" s="70">
        <v>27854228.039999999</v>
      </c>
      <c r="G90" s="70">
        <v>-367848.51</v>
      </c>
      <c r="H90" s="70">
        <v>-7080414.2000000002</v>
      </c>
    </row>
    <row r="91" spans="1:15" ht="47.25" x14ac:dyDescent="0.25">
      <c r="B91" s="75" t="s">
        <v>129</v>
      </c>
      <c r="D91" s="70">
        <v>-65726184.590000004</v>
      </c>
      <c r="E91" s="70">
        <v>-390940031.82999998</v>
      </c>
    </row>
    <row r="92" spans="1:15" ht="47.25" x14ac:dyDescent="0.25">
      <c r="C92" s="75" t="s">
        <v>130</v>
      </c>
      <c r="D92" s="70">
        <v>1356586.59</v>
      </c>
      <c r="E92" s="70">
        <v>-1356586.59</v>
      </c>
    </row>
    <row r="93" spans="1:15" ht="47.25" x14ac:dyDescent="0.25">
      <c r="C93" s="75" t="s">
        <v>131</v>
      </c>
      <c r="D93" s="70">
        <v>-67082771.18</v>
      </c>
      <c r="E93" s="70">
        <v>-389583445.24000001</v>
      </c>
    </row>
    <row r="94" spans="1:15" ht="47.25" x14ac:dyDescent="0.25">
      <c r="B94" s="75" t="s">
        <v>132</v>
      </c>
      <c r="D94" s="70">
        <v>11082220.43</v>
      </c>
      <c r="E94" s="70">
        <v>-45647583.82</v>
      </c>
      <c r="F94" s="70">
        <v>27854228.039999999</v>
      </c>
      <c r="G94" s="70">
        <v>-367848.51</v>
      </c>
      <c r="H94" s="70">
        <v>-7080414.2000000002</v>
      </c>
    </row>
    <row r="95" spans="1:15" ht="31.5" x14ac:dyDescent="0.25">
      <c r="C95" s="75" t="s">
        <v>133</v>
      </c>
      <c r="D95" s="70">
        <v>11082220.43</v>
      </c>
      <c r="E95" s="70">
        <v>7332056.4299999997</v>
      </c>
      <c r="F95" s="70">
        <v>-26055664.800000001</v>
      </c>
      <c r="G95" s="70">
        <v>-367848.51</v>
      </c>
      <c r="H95" s="70">
        <v>-7080414.2000000002</v>
      </c>
    </row>
    <row r="96" spans="1:15" x14ac:dyDescent="0.25">
      <c r="C96" s="75" t="s">
        <v>145</v>
      </c>
      <c r="D96" s="70"/>
      <c r="E96" s="70"/>
      <c r="F96" s="70">
        <v>53909892.840000004</v>
      </c>
      <c r="G96" s="70"/>
    </row>
    <row r="97" spans="1:15" ht="47.25" x14ac:dyDescent="0.25">
      <c r="B97" s="75" t="s">
        <v>134</v>
      </c>
      <c r="D97" s="70">
        <v>586.20000000000005</v>
      </c>
      <c r="E97" s="70">
        <v>-1.89</v>
      </c>
    </row>
    <row r="98" spans="1:15" ht="31.5" x14ac:dyDescent="0.25">
      <c r="A98" s="75" t="s">
        <v>135</v>
      </c>
      <c r="D98" s="70">
        <v>-1821589255.96</v>
      </c>
      <c r="E98" s="70">
        <v>928315893.65999997</v>
      </c>
      <c r="F98" s="70">
        <v>1305411999.6700001</v>
      </c>
      <c r="G98" s="70">
        <v>1068906332.63</v>
      </c>
      <c r="H98" s="70">
        <v>909386497.78999996</v>
      </c>
      <c r="I98" s="70">
        <v>645445084.58000004</v>
      </c>
      <c r="J98" s="70">
        <v>364722774.31999999</v>
      </c>
      <c r="K98" s="70">
        <v>308762015.88</v>
      </c>
      <c r="L98" s="70">
        <v>256413581.34</v>
      </c>
      <c r="M98" s="70">
        <v>222218569.81999999</v>
      </c>
      <c r="N98" s="70">
        <v>163337928.84</v>
      </c>
      <c r="O98" s="70">
        <v>88412035.549999997</v>
      </c>
    </row>
    <row r="99" spans="1:15" ht="47.25" x14ac:dyDescent="0.25">
      <c r="B99" s="75" t="s">
        <v>136</v>
      </c>
      <c r="D99" s="70">
        <v>-1807041973.76</v>
      </c>
      <c r="E99" s="70">
        <v>903203379.28999996</v>
      </c>
      <c r="F99" s="70">
        <v>1315040775.45</v>
      </c>
      <c r="G99" s="70">
        <v>1067244218.42</v>
      </c>
      <c r="H99" s="70">
        <v>895224757.71000004</v>
      </c>
      <c r="I99" s="70">
        <v>630560934.01999998</v>
      </c>
      <c r="J99" s="70">
        <v>361183249.79000002</v>
      </c>
      <c r="K99" s="70">
        <v>308423861.72000003</v>
      </c>
      <c r="L99" s="70">
        <v>256413581.34</v>
      </c>
      <c r="M99" s="70">
        <v>222218569.81999999</v>
      </c>
      <c r="N99" s="70">
        <v>163337928.84</v>
      </c>
      <c r="O99" s="70">
        <v>88412035.549999997</v>
      </c>
    </row>
    <row r="100" spans="1:15" ht="31.5" x14ac:dyDescent="0.25">
      <c r="B100" s="75" t="s">
        <v>137</v>
      </c>
      <c r="D100" s="70">
        <v>-14547282.199999999</v>
      </c>
      <c r="E100" s="70">
        <v>25112514.370000001</v>
      </c>
      <c r="F100" s="70">
        <v>-9628775.7799999993</v>
      </c>
      <c r="G100" s="70">
        <v>1662114.21</v>
      </c>
      <c r="H100" s="70">
        <v>14161740.08</v>
      </c>
      <c r="I100" s="70">
        <v>14884150.560000001</v>
      </c>
      <c r="J100" s="70">
        <v>3539524.53</v>
      </c>
      <c r="K100" s="70">
        <v>338154.16</v>
      </c>
      <c r="L100" s="70">
        <v>-132284.64000000001</v>
      </c>
    </row>
    <row r="101" spans="1:15" ht="31.5" x14ac:dyDescent="0.25">
      <c r="A101" s="75" t="s">
        <v>138</v>
      </c>
    </row>
    <row r="102" spans="1:15" x14ac:dyDescent="0.25">
      <c r="B102" s="75" t="s">
        <v>139</v>
      </c>
      <c r="D102" s="70">
        <v>-0.67020000000000002</v>
      </c>
      <c r="E102" s="70">
        <v>0.51239999999999997</v>
      </c>
      <c r="F102" s="70">
        <v>0.89</v>
      </c>
      <c r="G102" s="70">
        <v>0.73</v>
      </c>
      <c r="H102" s="70">
        <v>0.62</v>
      </c>
      <c r="I102" s="70">
        <v>0.45</v>
      </c>
      <c r="J102">
        <v>0.65</v>
      </c>
      <c r="K102">
        <v>0.55000000000000004</v>
      </c>
      <c r="L102" s="70">
        <v>0.46</v>
      </c>
      <c r="M102" s="70">
        <v>0.4</v>
      </c>
      <c r="N102" s="70">
        <v>1.26</v>
      </c>
      <c r="O102" s="70">
        <v>0.7</v>
      </c>
    </row>
    <row r="103" spans="1:15" x14ac:dyDescent="0.25">
      <c r="B103" s="75" t="s">
        <v>140</v>
      </c>
      <c r="D103" s="70">
        <v>-0.67020000000000002</v>
      </c>
      <c r="E103" s="70">
        <v>0.51239999999999997</v>
      </c>
      <c r="F103" s="70">
        <v>0.89</v>
      </c>
      <c r="G103" s="70">
        <v>0.73</v>
      </c>
      <c r="H103" s="70">
        <v>0.62</v>
      </c>
      <c r="I103" s="70">
        <v>0.45</v>
      </c>
      <c r="J103">
        <v>0.65</v>
      </c>
      <c r="K103">
        <v>0.55000000000000004</v>
      </c>
      <c r="L103" s="70">
        <v>0.46</v>
      </c>
      <c r="M103" s="70">
        <v>0.4</v>
      </c>
      <c r="N103" s="70">
        <v>1.26</v>
      </c>
      <c r="O103" s="70">
        <v>0.7</v>
      </c>
    </row>
    <row r="104" spans="1:15" x14ac:dyDescent="0.25">
      <c r="D104" s="75"/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C32" workbookViewId="0">
      <selection activeCell="K43" sqref="K43"/>
    </sheetView>
  </sheetViews>
  <sheetFormatPr defaultRowHeight="15.75" outlineLevelRow="2" x14ac:dyDescent="0.25"/>
  <cols>
    <col min="1" max="1" width="13.125" style="75" customWidth="1"/>
    <col min="2" max="3" width="9" style="75"/>
    <col min="4" max="4" width="15.125" style="75" customWidth="1"/>
    <col min="5" max="12" width="16.125" bestFit="1" customWidth="1"/>
    <col min="13" max="14" width="16.625" bestFit="1" customWidth="1"/>
    <col min="15" max="15" width="16.125" bestFit="1" customWidth="1"/>
    <col min="16" max="16" width="14.375" bestFit="1" customWidth="1"/>
  </cols>
  <sheetData>
    <row r="1" spans="1:16" x14ac:dyDescent="0.25">
      <c r="E1">
        <v>2020</v>
      </c>
      <c r="F1">
        <f>E1-1</f>
        <v>2019</v>
      </c>
      <c r="G1">
        <f t="shared" ref="G1:P1" si="0">F1-1</f>
        <v>2018</v>
      </c>
      <c r="H1">
        <f t="shared" si="0"/>
        <v>2017</v>
      </c>
      <c r="I1">
        <f t="shared" si="0"/>
        <v>2016</v>
      </c>
      <c r="J1">
        <f t="shared" si="0"/>
        <v>2015</v>
      </c>
      <c r="K1">
        <f t="shared" si="0"/>
        <v>2014</v>
      </c>
      <c r="L1">
        <f t="shared" si="0"/>
        <v>2013</v>
      </c>
      <c r="M1">
        <f t="shared" si="0"/>
        <v>2012</v>
      </c>
      <c r="N1">
        <f t="shared" si="0"/>
        <v>2011</v>
      </c>
      <c r="O1">
        <f t="shared" si="0"/>
        <v>2010</v>
      </c>
      <c r="P1">
        <f t="shared" si="0"/>
        <v>2009</v>
      </c>
    </row>
    <row r="2" spans="1:16" ht="63" outlineLevel="2" x14ac:dyDescent="0.25">
      <c r="C2" s="75" t="s">
        <v>218</v>
      </c>
      <c r="E2" s="70">
        <v>807841498.5</v>
      </c>
      <c r="F2" s="70">
        <v>2667025005.1999998</v>
      </c>
      <c r="G2" s="70">
        <v>3423677691.02</v>
      </c>
      <c r="H2" s="70">
        <v>3575789215.4099998</v>
      </c>
      <c r="I2" s="70">
        <v>2797783278.29</v>
      </c>
      <c r="J2" s="70">
        <v>1723082214.6099999</v>
      </c>
      <c r="K2" s="70">
        <v>941202971.82000005</v>
      </c>
      <c r="L2" s="70">
        <v>676527597.10000002</v>
      </c>
      <c r="M2" s="70">
        <v>599209063.59000003</v>
      </c>
      <c r="N2" s="70">
        <v>504470939.25</v>
      </c>
      <c r="O2" s="70">
        <v>442316071.61000001</v>
      </c>
      <c r="P2" s="70">
        <v>275396606.56999999</v>
      </c>
    </row>
    <row r="3" spans="1:16" ht="31.5" outlineLevel="2" x14ac:dyDescent="0.25">
      <c r="C3" s="75" t="s">
        <v>193</v>
      </c>
      <c r="E3" s="70">
        <v>32176543.780000001</v>
      </c>
    </row>
    <row r="4" spans="1:16" ht="63" outlineLevel="2" x14ac:dyDescent="0.25">
      <c r="C4" s="75" t="s">
        <v>194</v>
      </c>
      <c r="E4" s="70">
        <v>103772075.59999999</v>
      </c>
      <c r="F4" s="70">
        <v>479656404.12</v>
      </c>
      <c r="G4" s="70">
        <v>98784621.780000001</v>
      </c>
      <c r="H4" s="70">
        <v>39689051.890000001</v>
      </c>
      <c r="I4" s="70">
        <v>35750306.859999999</v>
      </c>
      <c r="J4" s="70">
        <v>59932054.07</v>
      </c>
      <c r="K4" s="70">
        <v>46482270.890000001</v>
      </c>
      <c r="L4" s="70">
        <v>69069679.959999993</v>
      </c>
      <c r="M4" s="70">
        <v>99857152.959999993</v>
      </c>
      <c r="N4" s="70">
        <v>51410621.289999999</v>
      </c>
      <c r="O4" s="70">
        <v>19216183.260000002</v>
      </c>
      <c r="P4" s="70">
        <v>262859737.43000001</v>
      </c>
    </row>
    <row r="5" spans="1:16" ht="47.25" outlineLevel="1" x14ac:dyDescent="0.25">
      <c r="B5" s="75" t="s">
        <v>195</v>
      </c>
      <c r="E5" s="70">
        <v>943790117.88</v>
      </c>
      <c r="F5" s="70">
        <v>3146681409.3200002</v>
      </c>
      <c r="G5" s="70">
        <v>3522462312.8000002</v>
      </c>
      <c r="H5" s="70">
        <v>3615478267.3000002</v>
      </c>
      <c r="I5" s="70">
        <v>2833533585.1500001</v>
      </c>
      <c r="J5" s="70">
        <v>1783014268.6800001</v>
      </c>
      <c r="K5" s="70">
        <v>987685242.71000004</v>
      </c>
      <c r="L5" s="70">
        <v>745597277.05999994</v>
      </c>
      <c r="M5" s="70">
        <v>699066216.54999995</v>
      </c>
      <c r="N5" s="70">
        <v>555881560.53999996</v>
      </c>
      <c r="O5" s="70">
        <v>461532254.87</v>
      </c>
      <c r="P5" s="70">
        <v>538256344</v>
      </c>
    </row>
    <row r="6" spans="1:16" ht="63" outlineLevel="2" x14ac:dyDescent="0.25">
      <c r="C6" s="75" t="s">
        <v>196</v>
      </c>
      <c r="E6" s="70">
        <v>144882412.49000001</v>
      </c>
      <c r="F6" s="70">
        <v>589412294.51999998</v>
      </c>
      <c r="G6" s="70">
        <v>754670040.37</v>
      </c>
      <c r="H6" s="70">
        <v>805102783.23000002</v>
      </c>
      <c r="I6" s="70">
        <v>743282756.22000003</v>
      </c>
      <c r="J6" s="70">
        <v>297833419.16000003</v>
      </c>
      <c r="K6" s="70">
        <v>102257869.53</v>
      </c>
      <c r="L6" s="70">
        <v>66128303.619999997</v>
      </c>
      <c r="M6" s="70">
        <v>65084359.539999999</v>
      </c>
      <c r="N6" s="70">
        <v>43295103.490000002</v>
      </c>
      <c r="O6" s="70">
        <v>47935442.890000001</v>
      </c>
      <c r="P6" s="70">
        <v>35858616.630000003</v>
      </c>
    </row>
    <row r="7" spans="1:16" ht="63" outlineLevel="2" x14ac:dyDescent="0.25">
      <c r="C7" s="75" t="s">
        <v>197</v>
      </c>
      <c r="E7" s="70">
        <v>183145317.90000001</v>
      </c>
      <c r="F7" s="70">
        <v>240420521.03999999</v>
      </c>
      <c r="G7" s="70">
        <v>284435580.74000001</v>
      </c>
      <c r="H7" s="70">
        <v>261968591.91</v>
      </c>
      <c r="I7" s="70">
        <v>211200422.69999999</v>
      </c>
      <c r="J7" s="70">
        <v>173674829.72999999</v>
      </c>
      <c r="K7" s="70">
        <v>109764543.59</v>
      </c>
      <c r="L7" s="70">
        <v>68087192.400000006</v>
      </c>
      <c r="M7" s="70">
        <v>68589084.620000005</v>
      </c>
      <c r="N7" s="70">
        <v>50420443.920000002</v>
      </c>
      <c r="O7" s="70">
        <v>30986853.210000001</v>
      </c>
      <c r="P7" s="70">
        <v>19336232</v>
      </c>
    </row>
    <row r="8" spans="1:16" ht="31.5" outlineLevel="2" x14ac:dyDescent="0.25">
      <c r="C8" s="75" t="s">
        <v>198</v>
      </c>
      <c r="E8" s="70">
        <v>64685320.619999997</v>
      </c>
      <c r="F8" s="70">
        <v>414326350.83999997</v>
      </c>
      <c r="G8" s="70">
        <v>418790473.89999998</v>
      </c>
      <c r="H8" s="70">
        <v>365818980.60000002</v>
      </c>
      <c r="I8" s="70">
        <v>344751845.97000003</v>
      </c>
      <c r="J8" s="70">
        <v>250141411.53999999</v>
      </c>
      <c r="K8" s="70">
        <v>172024829.97999999</v>
      </c>
      <c r="L8" s="70">
        <v>130137083.98999999</v>
      </c>
      <c r="M8" s="70">
        <v>111544288.01000001</v>
      </c>
      <c r="N8" s="70">
        <v>96914556.099999994</v>
      </c>
      <c r="O8" s="70">
        <v>77391089.760000005</v>
      </c>
      <c r="P8" s="70">
        <v>56485475.049999997</v>
      </c>
    </row>
    <row r="9" spans="1:16" ht="63" outlineLevel="2" x14ac:dyDescent="0.25">
      <c r="C9" s="75" t="s">
        <v>199</v>
      </c>
      <c r="E9" s="70">
        <v>157135166.93000001</v>
      </c>
      <c r="F9" s="70">
        <v>331070743.41000003</v>
      </c>
      <c r="G9" s="70">
        <v>417322469.77999997</v>
      </c>
      <c r="H9" s="70">
        <v>418571042.18000001</v>
      </c>
      <c r="I9" s="70">
        <v>504046868.08999997</v>
      </c>
      <c r="J9" s="70">
        <v>146043480.88999999</v>
      </c>
      <c r="K9" s="70">
        <v>75635406.239999995</v>
      </c>
      <c r="L9" s="70">
        <v>51898036.219999999</v>
      </c>
      <c r="M9" s="70">
        <v>58297553.670000002</v>
      </c>
      <c r="N9" s="70">
        <v>70299340.459999993</v>
      </c>
      <c r="O9" s="70">
        <v>54858963.240000002</v>
      </c>
      <c r="P9" s="70">
        <v>275863777.36000001</v>
      </c>
    </row>
    <row r="10" spans="1:16" ht="47.25" outlineLevel="1" x14ac:dyDescent="0.25">
      <c r="B10" s="75" t="s">
        <v>200</v>
      </c>
      <c r="E10" s="70">
        <v>549848217.94000006</v>
      </c>
      <c r="F10" s="70">
        <v>1575229909.8099999</v>
      </c>
      <c r="G10" s="70">
        <v>1875218564.79</v>
      </c>
      <c r="H10" s="70">
        <v>1851461397.9200001</v>
      </c>
      <c r="I10" s="70">
        <v>1803281892.98</v>
      </c>
      <c r="J10" s="70">
        <v>867693141.32000005</v>
      </c>
      <c r="K10" s="70">
        <v>459682649.33999997</v>
      </c>
      <c r="L10" s="70">
        <v>316250616.23000002</v>
      </c>
      <c r="M10" s="70">
        <v>303515285.83999997</v>
      </c>
      <c r="N10" s="70">
        <v>260929443.97</v>
      </c>
      <c r="O10" s="70">
        <v>211172349.09999999</v>
      </c>
      <c r="P10" s="70">
        <v>387544101.04000002</v>
      </c>
    </row>
    <row r="11" spans="1:16" s="83" customFormat="1" ht="47.25" x14ac:dyDescent="0.25">
      <c r="A11" s="81" t="s">
        <v>219</v>
      </c>
      <c r="B11" s="81"/>
      <c r="C11" s="81"/>
      <c r="D11" s="81"/>
      <c r="E11" s="82">
        <v>393941899.94</v>
      </c>
      <c r="F11" s="82">
        <v>1571451499.51</v>
      </c>
      <c r="G11" s="82">
        <v>1647243748.01</v>
      </c>
      <c r="H11" s="82">
        <v>1764016869.3800001</v>
      </c>
      <c r="I11" s="82">
        <v>1030251692.17</v>
      </c>
      <c r="J11" s="82">
        <v>915321127.36000001</v>
      </c>
      <c r="K11" s="82">
        <v>528002593.37</v>
      </c>
      <c r="L11" s="82">
        <v>429346660.82999998</v>
      </c>
      <c r="M11" s="82">
        <v>395550930.70999998</v>
      </c>
      <c r="N11" s="82">
        <v>294952116.56999999</v>
      </c>
      <c r="O11" s="82">
        <v>250359905.77000001</v>
      </c>
      <c r="P11" s="82">
        <v>150712242.96000001</v>
      </c>
    </row>
    <row r="12" spans="1:16" ht="47.25" outlineLevel="1" x14ac:dyDescent="0.25">
      <c r="C12" s="75" t="s">
        <v>201</v>
      </c>
      <c r="E12" s="70">
        <v>1349803239.1199999</v>
      </c>
      <c r="F12" s="70">
        <v>1937501358.5799999</v>
      </c>
      <c r="G12" s="70">
        <v>871751381.96000004</v>
      </c>
      <c r="H12" s="70">
        <v>990929484.48000002</v>
      </c>
      <c r="I12" s="70">
        <v>1101745010.6800001</v>
      </c>
      <c r="J12" s="70">
        <v>625140000</v>
      </c>
      <c r="K12" s="70">
        <v>450000000</v>
      </c>
      <c r="L12" s="70">
        <v>1854000000</v>
      </c>
      <c r="P12" s="70">
        <v>8740848.7899999991</v>
      </c>
    </row>
    <row r="13" spans="1:16" ht="47.25" outlineLevel="1" x14ac:dyDescent="0.25">
      <c r="C13" s="75" t="s">
        <v>234</v>
      </c>
      <c r="E13" s="70"/>
      <c r="F13" s="70"/>
      <c r="G13" s="70">
        <v>1485808.25</v>
      </c>
      <c r="H13" s="70">
        <v>26266165.27</v>
      </c>
      <c r="I13" s="70">
        <v>15029618.68</v>
      </c>
      <c r="J13" s="70">
        <v>2530422.84</v>
      </c>
      <c r="K13" s="70">
        <v>3139129.74</v>
      </c>
      <c r="L13" s="70">
        <v>10656664.34</v>
      </c>
      <c r="M13" s="70">
        <v>1100350.93</v>
      </c>
    </row>
    <row r="14" spans="1:16" ht="110.25" outlineLevel="1" x14ac:dyDescent="0.25">
      <c r="C14" s="75" t="s">
        <v>202</v>
      </c>
      <c r="E14" s="70">
        <v>2136278.15</v>
      </c>
      <c r="F14" s="70">
        <v>1980388.82</v>
      </c>
      <c r="G14" s="70">
        <v>141723743.63</v>
      </c>
      <c r="H14" s="70">
        <v>18089330</v>
      </c>
      <c r="I14" s="70">
        <v>10552751.4</v>
      </c>
      <c r="J14" s="70">
        <v>118068046.02</v>
      </c>
      <c r="K14" s="70">
        <v>60940.26</v>
      </c>
      <c r="L14" s="70">
        <v>996723.28</v>
      </c>
      <c r="M14" s="70">
        <v>91182.96</v>
      </c>
      <c r="N14" s="70"/>
      <c r="O14" s="70">
        <v>115834</v>
      </c>
      <c r="P14" s="70">
        <v>12660</v>
      </c>
    </row>
    <row r="15" spans="1:16" ht="94.5" outlineLevel="1" x14ac:dyDescent="0.25">
      <c r="C15" s="75" t="s">
        <v>235</v>
      </c>
      <c r="E15" s="70"/>
      <c r="F15" s="70"/>
      <c r="G15" s="70"/>
      <c r="H15" s="70">
        <v>909473.05</v>
      </c>
      <c r="I15" s="70"/>
      <c r="J15" s="70"/>
      <c r="K15" s="70"/>
      <c r="L15" s="70"/>
      <c r="M15" s="70"/>
      <c r="N15" s="70"/>
      <c r="O15" s="70"/>
      <c r="P15" s="70"/>
    </row>
    <row r="16" spans="1:16" ht="63" outlineLevel="1" x14ac:dyDescent="0.25">
      <c r="C16" s="75" t="s">
        <v>243</v>
      </c>
      <c r="E16" s="70"/>
      <c r="F16" s="70"/>
      <c r="G16" s="70"/>
      <c r="H16" s="70"/>
      <c r="I16" s="70"/>
      <c r="J16" s="70"/>
      <c r="K16" s="70"/>
      <c r="L16" s="70"/>
      <c r="M16" s="70">
        <v>187005369.00999999</v>
      </c>
      <c r="N16" s="70"/>
      <c r="O16" s="70"/>
      <c r="P16" s="70"/>
    </row>
    <row r="17" spans="1:16" ht="47.25" outlineLevel="1" collapsed="1" x14ac:dyDescent="0.25">
      <c r="B17" s="75" t="s">
        <v>203</v>
      </c>
      <c r="E17" s="70">
        <v>1351939517.27</v>
      </c>
      <c r="F17" s="70">
        <v>1939481747.4000001</v>
      </c>
      <c r="G17" s="70">
        <v>1014960933.84</v>
      </c>
      <c r="H17" s="70">
        <v>1036194452.8</v>
      </c>
      <c r="I17" s="70">
        <v>1127327380.76</v>
      </c>
      <c r="J17" s="70">
        <v>745738468.86000001</v>
      </c>
      <c r="K17" s="70">
        <v>453200070</v>
      </c>
      <c r="L17" s="70">
        <v>1865653387.6199999</v>
      </c>
      <c r="M17" s="70">
        <v>188196902.90000001</v>
      </c>
      <c r="O17" s="70">
        <v>115834</v>
      </c>
      <c r="P17" s="70">
        <v>8753508.7899999991</v>
      </c>
    </row>
    <row r="18" spans="1:16" ht="110.25" outlineLevel="2" x14ac:dyDescent="0.25">
      <c r="C18" s="75" t="s">
        <v>204</v>
      </c>
      <c r="E18" s="70">
        <v>1017897394.85</v>
      </c>
      <c r="F18" s="70">
        <v>813257636.26999998</v>
      </c>
      <c r="G18" s="70">
        <v>664952562.63</v>
      </c>
      <c r="H18" s="70">
        <v>538238058.97000003</v>
      </c>
      <c r="I18" s="70">
        <v>698387357.59000003</v>
      </c>
      <c r="J18" s="70">
        <v>241765902.93000001</v>
      </c>
      <c r="K18" s="70">
        <v>464037384.68000001</v>
      </c>
      <c r="L18" s="70">
        <v>603746855.32000005</v>
      </c>
      <c r="M18" s="70">
        <v>503625399.32999998</v>
      </c>
      <c r="N18" s="70">
        <v>655039659.91999996</v>
      </c>
      <c r="O18" s="70">
        <v>46610120.020000003</v>
      </c>
      <c r="P18" s="70">
        <v>286357443.55000001</v>
      </c>
    </row>
    <row r="19" spans="1:16" ht="31.5" outlineLevel="2" x14ac:dyDescent="0.25">
      <c r="C19" s="75" t="s">
        <v>205</v>
      </c>
      <c r="E19" s="70">
        <v>897276184.29999995</v>
      </c>
      <c r="F19" s="70">
        <v>1962519693.46</v>
      </c>
      <c r="G19" s="70">
        <v>1191582151.5899999</v>
      </c>
      <c r="H19" s="70">
        <v>1243451484.9200001</v>
      </c>
      <c r="I19" s="70">
        <v>1656189900</v>
      </c>
      <c r="J19" s="70">
        <v>798650000</v>
      </c>
      <c r="K19" s="70">
        <v>333499999.70999998</v>
      </c>
      <c r="L19" s="70">
        <v>2104000000</v>
      </c>
      <c r="P19" s="70">
        <v>24457413.420000002</v>
      </c>
    </row>
    <row r="20" spans="1:16" ht="94.5" outlineLevel="2" x14ac:dyDescent="0.25">
      <c r="C20" s="75" t="s">
        <v>206</v>
      </c>
      <c r="E20" s="70">
        <v>377767506.94999999</v>
      </c>
      <c r="F20" s="70"/>
      <c r="G20" s="70">
        <v>445433440.82999998</v>
      </c>
      <c r="H20" s="70">
        <v>189008878.24000001</v>
      </c>
      <c r="I20" s="70"/>
      <c r="J20" s="70">
        <v>1296419983.6099999</v>
      </c>
      <c r="K20" s="70">
        <v>437161.86</v>
      </c>
      <c r="M20" s="70">
        <v>176000000</v>
      </c>
    </row>
    <row r="21" spans="1:16" ht="63" outlineLevel="2" x14ac:dyDescent="0.25">
      <c r="C21" s="75" t="s">
        <v>207</v>
      </c>
      <c r="E21" s="70"/>
      <c r="F21" s="70">
        <v>345075573.87</v>
      </c>
      <c r="G21" s="70">
        <v>197168.83</v>
      </c>
      <c r="K21" s="70">
        <v>252038.77</v>
      </c>
      <c r="N21">
        <v>50626.92</v>
      </c>
      <c r="O21" s="70">
        <v>360112.74</v>
      </c>
      <c r="P21" s="70">
        <v>215971.27</v>
      </c>
    </row>
    <row r="22" spans="1:16" ht="47.25" outlineLevel="1" x14ac:dyDescent="0.25">
      <c r="B22" s="75" t="s">
        <v>208</v>
      </c>
      <c r="E22" s="70">
        <v>2292941086.0999999</v>
      </c>
      <c r="F22" s="70">
        <v>3120852903.5999999</v>
      </c>
      <c r="G22" s="70">
        <v>2302165323.8800001</v>
      </c>
      <c r="H22" s="70">
        <v>1970698422.1300001</v>
      </c>
      <c r="I22" s="70">
        <v>2354577257.5900002</v>
      </c>
      <c r="J22" s="70">
        <v>2336835886.54</v>
      </c>
      <c r="K22" s="70">
        <v>798226585.01999998</v>
      </c>
      <c r="L22" s="70">
        <v>2707746855.3200002</v>
      </c>
      <c r="M22" s="70">
        <v>679625399.33000004</v>
      </c>
      <c r="N22" s="70">
        <v>655090286.84000003</v>
      </c>
      <c r="O22" s="70">
        <v>46970232.759999998</v>
      </c>
      <c r="P22" s="70">
        <v>311030828.24000001</v>
      </c>
    </row>
    <row r="23" spans="1:16" s="83" customFormat="1" ht="47.25" x14ac:dyDescent="0.25">
      <c r="A23" s="81" t="s">
        <v>220</v>
      </c>
      <c r="B23" s="81"/>
      <c r="C23" s="81"/>
      <c r="D23" s="81"/>
      <c r="E23" s="82">
        <v>-941001568.83000004</v>
      </c>
      <c r="F23" s="82">
        <v>-1181371156.2</v>
      </c>
      <c r="G23" s="82">
        <v>-1287204390.04</v>
      </c>
      <c r="H23" s="82">
        <v>-934503969.33000004</v>
      </c>
      <c r="I23" s="82">
        <v>-1227249876.8299999</v>
      </c>
      <c r="J23" s="82">
        <v>-1591097417.6800001</v>
      </c>
      <c r="K23" s="82">
        <v>-345026515.01999998</v>
      </c>
      <c r="L23" s="82">
        <v>-842093467.70000005</v>
      </c>
      <c r="M23" s="83">
        <v>-491428496.43000001</v>
      </c>
      <c r="N23" s="83">
        <v>-655090286.84000003</v>
      </c>
      <c r="O23" s="82">
        <v>-46854398.759999998</v>
      </c>
      <c r="P23" s="82">
        <v>-302277319.44999999</v>
      </c>
    </row>
    <row r="24" spans="1:16" ht="47.25" x14ac:dyDescent="0.25">
      <c r="C24" s="75" t="s">
        <v>209</v>
      </c>
      <c r="E24" s="70">
        <v>120000000</v>
      </c>
      <c r="F24" s="70">
        <v>13500000</v>
      </c>
      <c r="G24" s="70">
        <v>121500000</v>
      </c>
      <c r="H24" s="70"/>
      <c r="I24" s="70">
        <v>60000000</v>
      </c>
      <c r="J24" s="70">
        <v>632949988.27999997</v>
      </c>
      <c r="K24" s="70">
        <v>20000000</v>
      </c>
      <c r="L24" s="70">
        <v>20933950</v>
      </c>
      <c r="M24" s="70"/>
      <c r="N24" s="70"/>
      <c r="O24" s="70">
        <v>2128421000</v>
      </c>
      <c r="P24" s="70">
        <v>30977421.350000001</v>
      </c>
    </row>
    <row r="25" spans="1:16" ht="47.25" x14ac:dyDescent="0.25">
      <c r="D25" s="75" t="s">
        <v>210</v>
      </c>
      <c r="E25" s="70">
        <v>120000000</v>
      </c>
      <c r="F25" s="70">
        <v>13500000</v>
      </c>
      <c r="G25" s="70">
        <v>121500000</v>
      </c>
      <c r="H25" s="70"/>
      <c r="I25" s="70">
        <v>60000000</v>
      </c>
      <c r="J25" s="70"/>
      <c r="K25" s="70"/>
      <c r="L25" s="70"/>
    </row>
    <row r="26" spans="1:16" ht="47.25" x14ac:dyDescent="0.25">
      <c r="C26" s="75" t="s">
        <v>211</v>
      </c>
      <c r="E26" s="70">
        <v>300000000</v>
      </c>
      <c r="F26" s="70"/>
      <c r="G26" s="70"/>
      <c r="H26" s="70"/>
      <c r="I26" s="70"/>
      <c r="J26" s="70">
        <v>600000000</v>
      </c>
      <c r="K26" s="70"/>
      <c r="L26" s="70"/>
      <c r="M26" s="70"/>
      <c r="N26" s="70"/>
      <c r="O26" s="70">
        <v>20000000</v>
      </c>
      <c r="P26" s="70">
        <v>530000000</v>
      </c>
    </row>
    <row r="27" spans="1:16" ht="47.25" x14ac:dyDescent="0.25">
      <c r="B27" s="75" t="s">
        <v>212</v>
      </c>
      <c r="E27" s="70">
        <v>420000000</v>
      </c>
      <c r="F27" s="70">
        <v>13500000</v>
      </c>
      <c r="G27" s="70">
        <v>121500000</v>
      </c>
      <c r="H27" s="70"/>
      <c r="I27" s="70">
        <v>60000000</v>
      </c>
      <c r="J27" s="70">
        <v>1232949988.28</v>
      </c>
      <c r="K27" s="70">
        <v>20000000</v>
      </c>
      <c r="L27" s="70">
        <v>20933950</v>
      </c>
      <c r="M27" s="70"/>
      <c r="N27" s="70"/>
      <c r="O27" s="70">
        <v>2148421000</v>
      </c>
      <c r="P27" s="70">
        <v>560977421.35000002</v>
      </c>
    </row>
    <row r="28" spans="1:16" ht="47.25" x14ac:dyDescent="0.25">
      <c r="C28" s="75" t="s">
        <v>213</v>
      </c>
      <c r="E28" s="70">
        <v>6000000</v>
      </c>
      <c r="F28" s="70"/>
      <c r="G28" s="70">
        <v>200000000</v>
      </c>
      <c r="H28" s="70">
        <v>200000000</v>
      </c>
      <c r="I28" s="70">
        <v>200000000</v>
      </c>
      <c r="J28" s="70"/>
      <c r="K28" s="70">
        <v>30000000</v>
      </c>
      <c r="L28" s="70">
        <v>40000000</v>
      </c>
      <c r="M28" s="70">
        <v>159500000</v>
      </c>
      <c r="N28" s="70">
        <v>152500000</v>
      </c>
      <c r="O28" s="70">
        <v>38000000</v>
      </c>
      <c r="P28" s="70">
        <v>330000000</v>
      </c>
    </row>
    <row r="29" spans="1:16" ht="78.75" x14ac:dyDescent="0.25">
      <c r="C29" s="75" t="s">
        <v>214</v>
      </c>
      <c r="E29" s="70">
        <v>300917837.81</v>
      </c>
      <c r="F29" s="70">
        <v>174312936</v>
      </c>
      <c r="G29" s="70">
        <v>183329186</v>
      </c>
      <c r="H29" s="70">
        <v>166736170.19999999</v>
      </c>
      <c r="I29" s="70">
        <v>133282510.14</v>
      </c>
      <c r="J29" s="70">
        <v>94733530</v>
      </c>
      <c r="K29" s="70">
        <v>56900077.780000001</v>
      </c>
      <c r="L29" s="70">
        <v>87137599.989999995</v>
      </c>
      <c r="M29" s="70">
        <v>87906413.219999999</v>
      </c>
      <c r="N29" s="70">
        <v>70442130.099999994</v>
      </c>
      <c r="O29" s="70">
        <v>50176708.890000001</v>
      </c>
      <c r="P29" s="70">
        <v>32188248.75</v>
      </c>
    </row>
    <row r="30" spans="1:16" ht="47.25" x14ac:dyDescent="0.25">
      <c r="D30" s="75" t="s">
        <v>215</v>
      </c>
      <c r="E30" s="70">
        <v>3000000</v>
      </c>
      <c r="F30" s="70"/>
      <c r="G30" s="70">
        <v>6000000</v>
      </c>
      <c r="H30" s="70">
        <v>10000000</v>
      </c>
      <c r="I30" s="70">
        <v>8280000</v>
      </c>
      <c r="J30" s="70">
        <v>1000000</v>
      </c>
      <c r="K30" s="70"/>
      <c r="L30" s="70"/>
      <c r="M30" s="70"/>
      <c r="N30" s="70"/>
      <c r="O30" s="70"/>
      <c r="P30" s="70">
        <v>153450</v>
      </c>
    </row>
    <row r="31" spans="1:16" ht="31.5" x14ac:dyDescent="0.25">
      <c r="D31" s="75" t="s">
        <v>236</v>
      </c>
      <c r="E31" s="70"/>
      <c r="F31" s="70"/>
      <c r="G31" s="70"/>
      <c r="H31" s="70">
        <v>13691.49</v>
      </c>
      <c r="I31" s="70"/>
      <c r="J31" s="70"/>
      <c r="K31" s="70">
        <v>709504</v>
      </c>
      <c r="L31" s="70"/>
      <c r="M31" s="70"/>
      <c r="N31" s="70"/>
      <c r="O31" s="70"/>
      <c r="P31" s="70"/>
    </row>
    <row r="32" spans="1:16" ht="47.25" x14ac:dyDescent="0.25">
      <c r="B32" s="75" t="s">
        <v>216</v>
      </c>
      <c r="E32" s="70">
        <v>306917837.81</v>
      </c>
      <c r="F32" s="70">
        <v>174312936</v>
      </c>
      <c r="G32" s="70">
        <v>383329186</v>
      </c>
      <c r="H32" s="70">
        <v>366749861.69</v>
      </c>
      <c r="I32" s="70">
        <v>333282510.13999999</v>
      </c>
      <c r="J32" s="70">
        <v>94896994</v>
      </c>
      <c r="K32" s="70">
        <v>87609581.780000001</v>
      </c>
      <c r="L32" s="70">
        <v>127137599.98999999</v>
      </c>
      <c r="M32" s="70">
        <v>247406413.22</v>
      </c>
      <c r="N32" s="70">
        <v>222942130.09999999</v>
      </c>
      <c r="O32" s="70">
        <v>88176708.890000001</v>
      </c>
      <c r="P32" s="70">
        <v>362188248.75</v>
      </c>
    </row>
    <row r="33" spans="1:16" s="83" customFormat="1" ht="47.25" x14ac:dyDescent="0.25">
      <c r="A33" s="81" t="s">
        <v>221</v>
      </c>
      <c r="B33" s="81"/>
      <c r="C33" s="81"/>
      <c r="D33" s="81"/>
      <c r="E33" s="82">
        <v>113082162.19</v>
      </c>
      <c r="F33" s="82">
        <v>-160812936</v>
      </c>
      <c r="G33" s="82">
        <v>-261829186</v>
      </c>
      <c r="H33" s="82">
        <v>-366749861.69</v>
      </c>
      <c r="I33" s="82">
        <v>-273282510.13999999</v>
      </c>
      <c r="J33" s="82">
        <v>1138052994.28</v>
      </c>
      <c r="K33" s="82">
        <v>-67609581.780000001</v>
      </c>
      <c r="L33" s="82">
        <v>-106203649.98999999</v>
      </c>
      <c r="M33" s="82">
        <v>-247406413.22</v>
      </c>
      <c r="N33" s="82">
        <v>-222942130.09999999</v>
      </c>
      <c r="O33" s="82">
        <v>2060244291.1099999</v>
      </c>
      <c r="P33" s="82">
        <v>198789172.59999999</v>
      </c>
    </row>
    <row r="34" spans="1:16" s="83" customFormat="1" ht="63" x14ac:dyDescent="0.25">
      <c r="A34" s="81" t="s">
        <v>222</v>
      </c>
      <c r="B34" s="81"/>
      <c r="C34" s="81"/>
      <c r="D34" s="81"/>
      <c r="E34" s="82">
        <v>-9956266.6699999999</v>
      </c>
      <c r="F34" s="82">
        <v>2494267.5699999998</v>
      </c>
      <c r="G34" s="82">
        <v>-8419299.8000000007</v>
      </c>
      <c r="H34" s="82">
        <v>-7617266.6399999997</v>
      </c>
      <c r="I34" s="82">
        <v>-7453785.0199999996</v>
      </c>
      <c r="J34" s="82"/>
      <c r="K34" s="82"/>
      <c r="L34" s="82"/>
      <c r="M34" s="82"/>
      <c r="P34" s="82"/>
    </row>
    <row r="35" spans="1:16" s="83" customFormat="1" ht="47.25" x14ac:dyDescent="0.25">
      <c r="A35" s="81" t="s">
        <v>223</v>
      </c>
      <c r="B35" s="81"/>
      <c r="C35" s="81"/>
      <c r="D35" s="81"/>
      <c r="E35" s="82">
        <v>-443933773.37</v>
      </c>
      <c r="F35" s="82">
        <v>231761674.88</v>
      </c>
      <c r="G35" s="82">
        <v>89790872.170000002</v>
      </c>
      <c r="H35" s="82">
        <v>455145771.72000003</v>
      </c>
      <c r="I35" s="82">
        <v>-477734479.81999999</v>
      </c>
      <c r="J35" s="82">
        <v>462276703.95999998</v>
      </c>
      <c r="K35" s="82">
        <v>115366496.56999999</v>
      </c>
      <c r="L35" s="82">
        <v>-518950456.86000001</v>
      </c>
      <c r="M35" s="83">
        <v>-343283978.94</v>
      </c>
      <c r="N35" s="84">
        <v>-583080300.37</v>
      </c>
      <c r="O35" s="82">
        <v>2263749798.1199999</v>
      </c>
      <c r="P35" s="82">
        <v>47224096.109999999</v>
      </c>
    </row>
    <row r="36" spans="1:16" ht="47.25" x14ac:dyDescent="0.25">
      <c r="C36" s="75" t="s">
        <v>217</v>
      </c>
      <c r="E36" s="70">
        <v>1781710027.3499999</v>
      </c>
      <c r="F36" s="70">
        <v>1549948352.47</v>
      </c>
      <c r="G36" s="70">
        <v>1460157480.3</v>
      </c>
      <c r="H36" s="70">
        <v>1005011708.58</v>
      </c>
      <c r="I36" s="70">
        <v>1482746188.4000001</v>
      </c>
      <c r="J36" s="70">
        <v>1020469484.4400001</v>
      </c>
      <c r="K36" s="70">
        <v>905102987.87</v>
      </c>
      <c r="L36" s="70">
        <v>1424053444.73</v>
      </c>
      <c r="M36" s="70">
        <v>1767337423.6700001</v>
      </c>
      <c r="N36" s="70">
        <v>2350417724.04</v>
      </c>
      <c r="O36" s="70">
        <v>86667925.920000002</v>
      </c>
      <c r="P36" s="70">
        <v>39443829.810000002</v>
      </c>
    </row>
    <row r="37" spans="1:16" s="83" customFormat="1" ht="47.25" x14ac:dyDescent="0.25">
      <c r="A37" s="81" t="s">
        <v>224</v>
      </c>
      <c r="B37" s="81"/>
      <c r="C37" s="81"/>
      <c r="D37" s="81"/>
      <c r="E37" s="82">
        <v>1337776253.98</v>
      </c>
      <c r="F37" s="82">
        <v>1781710027.3499999</v>
      </c>
      <c r="G37" s="82">
        <v>1549948352.47</v>
      </c>
      <c r="H37" s="82">
        <v>1460157480.3</v>
      </c>
      <c r="I37" s="82">
        <v>1005011708.58</v>
      </c>
      <c r="J37" s="82">
        <v>1482746188.4000001</v>
      </c>
      <c r="K37" s="82">
        <v>1020469484.4400001</v>
      </c>
      <c r="L37" s="82">
        <v>905102987.87</v>
      </c>
      <c r="M37" s="84">
        <v>1424053444.73</v>
      </c>
      <c r="N37" s="84">
        <v>1767337423.6700001</v>
      </c>
      <c r="O37" s="82">
        <v>2350417724.04</v>
      </c>
      <c r="P37" s="82">
        <v>86667925.920000002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DCF速算</vt:lpstr>
      <vt:lpstr>增速估值</vt:lpstr>
      <vt:lpstr>真实数据估值</vt:lpstr>
      <vt:lpstr>各营业业务分析</vt:lpstr>
      <vt:lpstr>在建工程历史</vt:lpstr>
      <vt:lpstr>宋城发展史</vt:lpstr>
      <vt:lpstr>营业收入分析</vt:lpstr>
      <vt:lpstr>营业成本分析</vt:lpstr>
      <vt:lpstr>合并利润表预估</vt:lpstr>
      <vt:lpstr>合并资产表</vt:lpstr>
      <vt:lpstr>合并利润表</vt:lpstr>
      <vt:lpstr>合并现金流表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Administrator</cp:lastModifiedBy>
  <dcterms:created xsi:type="dcterms:W3CDTF">2020-11-02T06:31:47Z</dcterms:created>
  <dcterms:modified xsi:type="dcterms:W3CDTF">2021-08-29T15:13:28Z</dcterms:modified>
</cp:coreProperties>
</file>